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480" yWindow="570" windowWidth="14820" windowHeight="7125" firstSheet="6" activeTab="14"/>
  </bookViews>
  <sheets>
    <sheet name="Summary" sheetId="34" r:id="rId1"/>
    <sheet name="Lex WTPs 2007-2010" sheetId="30" r:id="rId2"/>
    <sheet name="2011 Actual Costs" sheetId="41" r:id="rId3"/>
    <sheet name="2012 Actual Costs" sheetId="43" r:id="rId4"/>
    <sheet name="ND WWTP 2012-2016" sheetId="44" r:id="rId5"/>
    <sheet name="RWV 2012-2016" sheetId="45" r:id="rId6"/>
    <sheet name="Supply Chain Assumptions" sheetId="40" r:id="rId7"/>
    <sheet name="Price Changes" sheetId="21" r:id="rId8"/>
    <sheet name="Chemical Assumptions" sheetId="17" r:id="rId9"/>
    <sheet name="SD 3 pass" sheetId="48" r:id="rId10"/>
    <sheet name="2014 SD Allocation" sheetId="47" r:id="rId11"/>
    <sheet name="Pumpage 2013" sheetId="25" r:id="rId12"/>
    <sheet name="Pumpage 2014" sheetId="26" r:id="rId13"/>
    <sheet name="Chem F13" sheetId="22" r:id="rId14"/>
    <sheet name="Chem F14" sheetId="23"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 localSheetId="10">#REF!</definedName>
    <definedName name="\B" localSheetId="9">#REF!</definedName>
    <definedName name="\B">#REF!</definedName>
    <definedName name="\H">'Lex WTPs 2007-2010'!$CX$34</definedName>
    <definedName name="\I">'Lex WTPs 2007-2010'!$CX$37</definedName>
    <definedName name="\L">'Lex WTPs 2007-2010'!$CW$24</definedName>
    <definedName name="\M" localSheetId="10">#REF!</definedName>
    <definedName name="\M" localSheetId="9">#REF!</definedName>
    <definedName name="\M">#REF!</definedName>
    <definedName name="\P">'Lex WTPs 2007-2010'!$CW$1</definedName>
    <definedName name="\Q">'Lex WTPs 2007-2010'!$CW$4</definedName>
    <definedName name="\R">'Lex WTPs 2007-2010'!$CW$2</definedName>
    <definedName name="\S">'Lex WTPs 2007-2010'!$CW$3</definedName>
    <definedName name="\T">'Lex WTPs 2007-2010'!$CW$15</definedName>
    <definedName name="\X">'Lex WTPs 2007-2010'!$CX$30</definedName>
    <definedName name="_000" localSheetId="10">#REF!</definedName>
    <definedName name="_000" localSheetId="9">#REF!</definedName>
    <definedName name="_000">#REF!</definedName>
    <definedName name="FORMS1">'Lex WTPs 2007-2010'!$A$106:$L$444</definedName>
    <definedName name="FORMS2">'Lex WTPs 2007-2010'!$A$450:$L$606</definedName>
    <definedName name="FORMS3">'Lex WTPs 2007-2010'!$A$614:$L$783</definedName>
    <definedName name="LIST" localSheetId="10">#REF!</definedName>
    <definedName name="LIST" localSheetId="9">#REF!</definedName>
    <definedName name="LIST">#REF!</definedName>
    <definedName name="LIST2" localSheetId="10">#REF!</definedName>
    <definedName name="LIST2" localSheetId="9">#REF!</definedName>
    <definedName name="LIST2">#REF!</definedName>
    <definedName name="new" localSheetId="10" hidden="1">{"Print Sch N",#N/A,FALSE,"Sch L";"Print All Sch M Exhibits",#N/A,FALSE,"Sch M";"Print Sch N",#N/A,FALSE,"Sch N"}</definedName>
    <definedName name="new" localSheetId="9" hidden="1">{"Print Sch N",#N/A,FALSE,"Sch L";"Print All Sch M Exhibits",#N/A,FALSE,"Sch M";"Print Sch N",#N/A,FALSE,"Sch N"}</definedName>
    <definedName name="new" hidden="1">{"Print Sch N",#N/A,FALSE,"Sch L";"Print All Sch M Exhibits",#N/A,FALSE,"Sch M";"Print Sch N",#N/A,FALSE,"Sch N"}</definedName>
    <definedName name="NEWCOSTS" localSheetId="10">#REF!</definedName>
    <definedName name="NEWCOSTS" localSheetId="9">#REF!</definedName>
    <definedName name="NEWCOSTS">#REF!</definedName>
    <definedName name="O_REV" localSheetId="10">#REF!</definedName>
    <definedName name="O_REV" localSheetId="9">#REF!</definedName>
    <definedName name="O_REV">#REF!</definedName>
    <definedName name="OPA" localSheetId="10" hidden="1">{"Print Sch N",#N/A,FALSE,"Sch L";"Print All Sch M Exhibits",#N/A,FALSE,"Sch M";"Print Sch N",#N/A,FALSE,"Sch N"}</definedName>
    <definedName name="OPA" localSheetId="9" hidden="1">{"Print Sch N",#N/A,FALSE,"Sch L";"Print All Sch M Exhibits",#N/A,FALSE,"Sch M";"Print Sch N",#N/A,FALSE,"Sch N"}</definedName>
    <definedName name="OPA" hidden="1">{"Print Sch N",#N/A,FALSE,"Sch L";"Print All Sch M Exhibits",#N/A,FALSE,"Sch M";"Print Sch N",#N/A,FALSE,"Sch N"}</definedName>
    <definedName name="_xlnm.Print_Area" localSheetId="2">'2011 Actual Costs'!$A$1:$O$490</definedName>
    <definedName name="_xlnm.Print_Area" localSheetId="3">'2012 Actual Costs'!$A$1:$N$491</definedName>
    <definedName name="_xlnm.Print_Area" localSheetId="10">'2014 SD Allocation'!$A$1:$V$16</definedName>
    <definedName name="_xlnm.Print_Area" localSheetId="13">'Chem F13'!$A$1:$N$491</definedName>
    <definedName name="_xlnm.Print_Area" localSheetId="14">'Chem F14'!$A$1:$N$491</definedName>
    <definedName name="_xlnm.Print_Area" localSheetId="8">'Chemical Assumptions'!$A$1:$G$152</definedName>
    <definedName name="_xlnm.Print_Area" localSheetId="1">'Lex WTPs 2007-2010'!$B$7:$BJ$61</definedName>
    <definedName name="_xlnm.Print_Area" localSheetId="7">'Price Changes'!$A$1:$F$84</definedName>
    <definedName name="_xlnm.Print_Area" localSheetId="9">#REF!</definedName>
    <definedName name="_xlnm.Print_Area">#REF!</definedName>
    <definedName name="QUARTER.1">'Lex WTPs 2007-2010'!$B$791:$N$891</definedName>
    <definedName name="QUARTER.2">'Lex WTPs 2007-2010'!$B$893:$N$993</definedName>
    <definedName name="QUARTER.3">'Lex WTPs 2007-2010'!$B$999:$N$1098</definedName>
    <definedName name="QUARTER.4">'Lex WTPs 2007-2010'!$B$1101:$N$1210</definedName>
    <definedName name="Rate_Case_Labor" localSheetId="10">#REF!</definedName>
    <definedName name="Rate_Case_Labor" localSheetId="9">#REF!</definedName>
    <definedName name="Rate_Case_Labor">#REF!</definedName>
    <definedName name="SFR" localSheetId="10" hidden="1">{"Print Sch N",#N/A,FALSE,"Sch L";"Print All Sch M Exhibits",#N/A,FALSE,"Sch M";"Print Sch N",#N/A,FALSE,"Sch N"}</definedName>
    <definedName name="SFR" localSheetId="9" hidden="1">{"Print Sch N",#N/A,FALSE,"Sch L";"Print All Sch M Exhibits",#N/A,FALSE,"Sch M";"Print Sch N",#N/A,FALSE,"Sch N"}</definedName>
    <definedName name="SFR" hidden="1">{"Print Sch N",#N/A,FALSE,"Sch L";"Print All Sch M Exhibits",#N/A,FALSE,"Sch M";"Print Sch N",#N/A,FALSE,"Sch N"}</definedName>
    <definedName name="SFRcharts" localSheetId="10" hidden="1">{"Print Sch N",#N/A,FALSE,"Sch L";"Print All Sch M Exhibits",#N/A,FALSE,"Sch M";"Print Sch N",#N/A,FALSE,"Sch N"}</definedName>
    <definedName name="SFRcharts" localSheetId="9" hidden="1">{"Print Sch N",#N/A,FALSE,"Sch L";"Print All Sch M Exhibits",#N/A,FALSE,"Sch M";"Print Sch N",#N/A,FALSE,"Sch N"}</definedName>
    <definedName name="SFRcharts" hidden="1">{"Print Sch N",#N/A,FALSE,"Sch L";"Print All Sch M Exhibits",#N/A,FALSE,"Sch M";"Print Sch N",#N/A,FALSE,"Sch N"}</definedName>
    <definedName name="State_Name" localSheetId="7">[1]Table!$C$3</definedName>
    <definedName name="State_Name" localSheetId="6">[1]Table!$C$3</definedName>
    <definedName name="State_Name">[2]Table!$C$3</definedName>
    <definedName name="W_REV" localSheetId="10">#REF!</definedName>
    <definedName name="W_REV" localSheetId="9">#REF!</definedName>
    <definedName name="W_REV">#REF!</definedName>
    <definedName name="WASTE">'Lex WTPs 2007-2010'!$B$31:$BN$35</definedName>
    <definedName name="wrn.Print._.Sch._.L._.M._.N." localSheetId="2" hidden="1">{"Print Sch N",#N/A,FALSE,"Sch L";"Print All Sch M Exhibits",#N/A,FALSE,"Sch M";"Print Sch N",#N/A,FALSE,"Sch N"}</definedName>
    <definedName name="wrn.Print._.Sch._.L._.M._.N." localSheetId="3" hidden="1">{"Print Sch N",#N/A,FALSE,"Sch L";"Print All Sch M Exhibits",#N/A,FALSE,"Sch M";"Print Sch N",#N/A,FALSE,"Sch N"}</definedName>
    <definedName name="wrn.Print._.Sch._.L._.M._.N." localSheetId="10" hidden="1">{"Print Sch N",#N/A,FALSE,"Sch L";"Print All Sch M Exhibits",#N/A,FALSE,"Sch M";"Print Sch N",#N/A,FALSE,"Sch N"}</definedName>
    <definedName name="wrn.Print._.Sch._.L._.M._.N." localSheetId="13" hidden="1">{"Print Sch N",#N/A,FALSE,"Sch L";"Print All Sch M Exhibits",#N/A,FALSE,"Sch M";"Print Sch N",#N/A,FALSE,"Sch N"}</definedName>
    <definedName name="wrn.Print._.Sch._.L._.M._.N." localSheetId="14" hidden="1">{"Print Sch N",#N/A,FALSE,"Sch L";"Print All Sch M Exhibits",#N/A,FALSE,"Sch M";"Print Sch N",#N/A,FALSE,"Sch N"}</definedName>
    <definedName name="wrn.Print._.Sch._.L._.M._.N." localSheetId="4" hidden="1">{"Print Sch N",#N/A,FALSE,"Sch L";"Print All Sch M Exhibits",#N/A,FALSE,"Sch M";"Print Sch N",#N/A,FALSE,"Sch N"}</definedName>
    <definedName name="wrn.Print._.Sch._.L._.M._.N." localSheetId="5" hidden="1">{"Print Sch N",#N/A,FALSE,"Sch L";"Print All Sch M Exhibits",#N/A,FALSE,"Sch M";"Print Sch N",#N/A,FALSE,"Sch N"}</definedName>
    <definedName name="wrn.Print._.Sch._.L._.M._.N." localSheetId="9" hidden="1">{"Print Sch N",#N/A,FALSE,"Sch L";"Print All Sch M Exhibits",#N/A,FALSE,"Sch M";"Print Sch N",#N/A,FALSE,"Sch N"}</definedName>
    <definedName name="wrn.Print._.Sch._.L._.M._.N." localSheetId="6" hidden="1">{"Print Sch N",#N/A,FALSE,"Sch L";"Print All Sch M Exhibits",#N/A,FALSE,"Sch M";"Print Sch N",#N/A,FALSE,"Sch N"}</definedName>
    <definedName name="wrn.Print._.Sch._.L._.M._.N." hidden="1">{"Print Sch N",#N/A,FALSE,"Sch L";"Print All Sch M Exhibits",#N/A,FALSE,"Sch M";"Print Sch N",#N/A,FALSE,"Sch N"}</definedName>
  </definedNames>
  <calcPr calcId="125725"/>
</workbook>
</file>

<file path=xl/calcChain.xml><?xml version="1.0" encoding="utf-8"?>
<calcChain xmlns="http://schemas.openxmlformats.org/spreadsheetml/2006/main">
  <c r="D4" i="34"/>
  <c r="C4"/>
  <c r="D9"/>
  <c r="C9"/>
  <c r="L15" i="48"/>
  <c r="K15"/>
  <c r="L14"/>
  <c r="K14"/>
  <c r="L13"/>
  <c r="K13"/>
  <c r="L12"/>
  <c r="K12"/>
  <c r="L11"/>
  <c r="K11"/>
  <c r="L10"/>
  <c r="K10"/>
  <c r="L9"/>
  <c r="K9"/>
  <c r="L8"/>
  <c r="K8"/>
  <c r="L7"/>
  <c r="K7"/>
  <c r="L6"/>
  <c r="K6"/>
  <c r="L5"/>
  <c r="K5"/>
  <c r="L4"/>
  <c r="K4"/>
  <c r="L3"/>
  <c r="K3"/>
  <c r="I32"/>
  <c r="H32"/>
  <c r="F32"/>
  <c r="E32"/>
  <c r="C32"/>
  <c r="B32"/>
  <c r="I31"/>
  <c r="H31"/>
  <c r="F31"/>
  <c r="E31"/>
  <c r="C31"/>
  <c r="B31"/>
  <c r="I30"/>
  <c r="H30"/>
  <c r="F30"/>
  <c r="E30"/>
  <c r="C30"/>
  <c r="B30"/>
  <c r="I29"/>
  <c r="H29"/>
  <c r="F29"/>
  <c r="E29"/>
  <c r="C29"/>
  <c r="B29"/>
  <c r="I28"/>
  <c r="H28"/>
  <c r="F28"/>
  <c r="E28"/>
  <c r="C28"/>
  <c r="B28"/>
  <c r="I27"/>
  <c r="H27"/>
  <c r="F27"/>
  <c r="E27"/>
  <c r="C27"/>
  <c r="B27"/>
  <c r="I26"/>
  <c r="H26"/>
  <c r="F26"/>
  <c r="E26"/>
  <c r="C26"/>
  <c r="B26"/>
  <c r="I25"/>
  <c r="H25"/>
  <c r="F25"/>
  <c r="E25"/>
  <c r="C25"/>
  <c r="B25"/>
  <c r="I24"/>
  <c r="H24"/>
  <c r="F24"/>
  <c r="E24"/>
  <c r="C24"/>
  <c r="B24"/>
  <c r="I23"/>
  <c r="H23"/>
  <c r="F23"/>
  <c r="E23"/>
  <c r="C23"/>
  <c r="B23"/>
  <c r="I22"/>
  <c r="H22"/>
  <c r="F22"/>
  <c r="E22"/>
  <c r="C22"/>
  <c r="B22"/>
  <c r="I21"/>
  <c r="H21"/>
  <c r="F21"/>
  <c r="E21"/>
  <c r="C21"/>
  <c r="B21"/>
  <c r="I20"/>
  <c r="H20"/>
  <c r="F20"/>
  <c r="E20"/>
  <c r="C20"/>
  <c r="B20"/>
  <c r="C4" i="26"/>
  <c r="F4" s="1"/>
  <c r="D4"/>
  <c r="C5"/>
  <c r="D5"/>
  <c r="F5"/>
  <c r="C6"/>
  <c r="D6"/>
  <c r="C7"/>
  <c r="D7"/>
  <c r="C8"/>
  <c r="F8" s="1"/>
  <c r="D8"/>
  <c r="C9"/>
  <c r="F9" s="1"/>
  <c r="D9"/>
  <c r="C10"/>
  <c r="D10"/>
  <c r="C11"/>
  <c r="D11"/>
  <c r="C12"/>
  <c r="D12"/>
  <c r="F12" s="1"/>
  <c r="C13"/>
  <c r="F13" s="1"/>
  <c r="D13"/>
  <c r="C14"/>
  <c r="F14" s="1"/>
  <c r="D14"/>
  <c r="C15"/>
  <c r="D15"/>
  <c r="C4" i="25"/>
  <c r="D4"/>
  <c r="F4"/>
  <c r="C5"/>
  <c r="D5"/>
  <c r="C6"/>
  <c r="D6"/>
  <c r="C7"/>
  <c r="D7"/>
  <c r="F7" s="1"/>
  <c r="C8"/>
  <c r="D8"/>
  <c r="F8"/>
  <c r="C9"/>
  <c r="D9"/>
  <c r="C10"/>
  <c r="D10"/>
  <c r="C11"/>
  <c r="F11" s="1"/>
  <c r="D11"/>
  <c r="C12"/>
  <c r="D12"/>
  <c r="F12"/>
  <c r="C13"/>
  <c r="D13"/>
  <c r="C14"/>
  <c r="D14"/>
  <c r="C15"/>
  <c r="D15"/>
  <c r="F15" s="1"/>
  <c r="T24" i="26"/>
  <c r="G55" i="30"/>
  <c r="C3" i="21"/>
  <c r="D3" s="1"/>
  <c r="F3" s="1"/>
  <c r="E3"/>
  <c r="E21" s="1"/>
  <c r="E39" s="1"/>
  <c r="E57" s="1"/>
  <c r="G50" i="30"/>
  <c r="C4" i="21"/>
  <c r="C22" s="1"/>
  <c r="E4"/>
  <c r="E22" s="1"/>
  <c r="E40" s="1"/>
  <c r="E58" s="1"/>
  <c r="C6"/>
  <c r="D6" s="1"/>
  <c r="E6"/>
  <c r="E24" s="1"/>
  <c r="E42" s="1"/>
  <c r="E60" s="1"/>
  <c r="G48" i="30"/>
  <c r="C5" i="21"/>
  <c r="D5" s="1"/>
  <c r="F5" s="1"/>
  <c r="C20" i="23" s="1"/>
  <c r="E5" i="21"/>
  <c r="G59" i="30"/>
  <c r="C8" i="21"/>
  <c r="C26" s="1"/>
  <c r="E8"/>
  <c r="E26" s="1"/>
  <c r="E44" s="1"/>
  <c r="E62" s="1"/>
  <c r="G49" i="30"/>
  <c r="C9" i="21"/>
  <c r="D9"/>
  <c r="F9" s="1"/>
  <c r="C40" i="23" s="1"/>
  <c r="E9" i="21"/>
  <c r="G60" i="30"/>
  <c r="C10" i="21"/>
  <c r="D10"/>
  <c r="F10" s="1"/>
  <c r="C45" i="23" s="1"/>
  <c r="E10" i="21"/>
  <c r="G52" i="30"/>
  <c r="C11" i="21"/>
  <c r="C29" s="1"/>
  <c r="E11"/>
  <c r="E29" s="1"/>
  <c r="E47" s="1"/>
  <c r="G58" i="30"/>
  <c r="C12" i="21"/>
  <c r="C30" s="1"/>
  <c r="E12"/>
  <c r="E30"/>
  <c r="E48" s="1"/>
  <c r="E66" s="1"/>
  <c r="G57" i="30"/>
  <c r="C154" i="41"/>
  <c r="C154" i="23"/>
  <c r="C13" i="21"/>
  <c r="C31" s="1"/>
  <c r="E13"/>
  <c r="E31"/>
  <c r="G54" i="30"/>
  <c r="C14" i="21"/>
  <c r="D14" s="1"/>
  <c r="E14"/>
  <c r="E32" s="1"/>
  <c r="E50" s="1"/>
  <c r="E68" s="1"/>
  <c r="G56" i="30"/>
  <c r="C16" i="21"/>
  <c r="D16" s="1"/>
  <c r="F16" s="1"/>
  <c r="C75" i="23" s="1"/>
  <c r="D75" s="1"/>
  <c r="E75" s="1"/>
  <c r="E16" i="21"/>
  <c r="E34"/>
  <c r="C18"/>
  <c r="D18" s="1"/>
  <c r="C36"/>
  <c r="D36" s="1"/>
  <c r="E18"/>
  <c r="E36" s="1"/>
  <c r="E54" s="1"/>
  <c r="E72" s="1"/>
  <c r="C15"/>
  <c r="D15" s="1"/>
  <c r="F15" s="1"/>
  <c r="C70" i="23" s="1"/>
  <c r="E15" i="21"/>
  <c r="G47" i="30"/>
  <c r="C7" i="21"/>
  <c r="C25" s="1"/>
  <c r="E7"/>
  <c r="E25" s="1"/>
  <c r="E43" s="1"/>
  <c r="E61" s="1"/>
  <c r="C17"/>
  <c r="C35" s="1"/>
  <c r="E17"/>
  <c r="E35" s="1"/>
  <c r="E53" s="1"/>
  <c r="E71" s="1"/>
  <c r="T26" i="26"/>
  <c r="G23" i="30"/>
  <c r="G18"/>
  <c r="D4" i="21"/>
  <c r="F4" s="1"/>
  <c r="C15" i="23" s="1"/>
  <c r="D15" s="1"/>
  <c r="E15" s="1"/>
  <c r="F15" s="1"/>
  <c r="G15" s="1"/>
  <c r="H15" s="1"/>
  <c r="I15" s="1"/>
  <c r="J15" s="1"/>
  <c r="K15" s="1"/>
  <c r="L15" s="1"/>
  <c r="M15" s="1"/>
  <c r="N15" s="1"/>
  <c r="G16" i="30"/>
  <c r="G19"/>
  <c r="G13"/>
  <c r="D8" i="21"/>
  <c r="G17" i="30"/>
  <c r="G14"/>
  <c r="G20"/>
  <c r="G26"/>
  <c r="D12" i="21"/>
  <c r="F12" s="1"/>
  <c r="C55" i="23" s="1"/>
  <c r="D55" s="1"/>
  <c r="E55" s="1"/>
  <c r="F55" s="1"/>
  <c r="G55" s="1"/>
  <c r="H55" s="1"/>
  <c r="I55" s="1"/>
  <c r="J55" s="1"/>
  <c r="K55" s="1"/>
  <c r="L55" s="1"/>
  <c r="M55" s="1"/>
  <c r="N55" s="1"/>
  <c r="G25" i="30"/>
  <c r="D13" i="21"/>
  <c r="F13" s="1"/>
  <c r="C60" i="23" s="1"/>
  <c r="D60" s="1"/>
  <c r="E60" s="1"/>
  <c r="F60" s="1"/>
  <c r="G60" s="1"/>
  <c r="H60" s="1"/>
  <c r="I60" s="1"/>
  <c r="J60" s="1"/>
  <c r="K60" s="1"/>
  <c r="L60" s="1"/>
  <c r="M60" s="1"/>
  <c r="N60" s="1"/>
  <c r="G22" i="30"/>
  <c r="G24"/>
  <c r="G21"/>
  <c r="D7" i="21"/>
  <c r="F7"/>
  <c r="C30" i="23" s="1"/>
  <c r="D30" s="1"/>
  <c r="T30" i="26"/>
  <c r="C198" i="23"/>
  <c r="C21" i="21"/>
  <c r="C39" s="1"/>
  <c r="C197" i="43"/>
  <c r="C203" s="1"/>
  <c r="C203" i="23" s="1"/>
  <c r="E23" i="21"/>
  <c r="E41" s="1"/>
  <c r="E59" s="1"/>
  <c r="C24"/>
  <c r="C42" s="1"/>
  <c r="C223" i="43"/>
  <c r="C223" i="23" s="1"/>
  <c r="C27" i="21"/>
  <c r="C45" s="1"/>
  <c r="E27"/>
  <c r="E45" s="1"/>
  <c r="E63" s="1"/>
  <c r="C233" i="23"/>
  <c r="C28" i="21"/>
  <c r="C46" s="1"/>
  <c r="E28"/>
  <c r="E46" s="1"/>
  <c r="E64" s="1"/>
  <c r="C243" i="23"/>
  <c r="C249" i="43"/>
  <c r="C248"/>
  <c r="C248" i="23" s="1"/>
  <c r="E49" i="21"/>
  <c r="E67" s="1"/>
  <c r="C253" i="23"/>
  <c r="C264" i="43"/>
  <c r="C263"/>
  <c r="C263" i="23" s="1"/>
  <c r="E52" i="21"/>
  <c r="C258" i="43"/>
  <c r="C258" i="23" s="1"/>
  <c r="E33" i="21"/>
  <c r="E51" s="1"/>
  <c r="E69" s="1"/>
  <c r="C218" i="23"/>
  <c r="T28" i="26"/>
  <c r="C297" i="43"/>
  <c r="C297" i="23" s="1"/>
  <c r="C307" i="43"/>
  <c r="C307" i="23"/>
  <c r="C317" i="43"/>
  <c r="C317" i="23" s="1"/>
  <c r="C337" i="43"/>
  <c r="C337" i="23"/>
  <c r="C357" i="43"/>
  <c r="C357" i="23" s="1"/>
  <c r="E70" i="21"/>
  <c r="C367" i="23"/>
  <c r="C362" i="43"/>
  <c r="C362" i="23"/>
  <c r="C75" i="21"/>
  <c r="D75" s="1"/>
  <c r="F75" s="1"/>
  <c r="C56" i="44" s="1"/>
  <c r="D82" s="1"/>
  <c r="E75" i="21"/>
  <c r="C77"/>
  <c r="D77" s="1"/>
  <c r="F77" s="1"/>
  <c r="C57" i="44" s="1"/>
  <c r="E77" i="21"/>
  <c r="C79"/>
  <c r="D79" s="1"/>
  <c r="F79" s="1"/>
  <c r="C58" i="44" s="1"/>
  <c r="E79" i="21"/>
  <c r="C78"/>
  <c r="D78" s="1"/>
  <c r="F78" s="1"/>
  <c r="C59" i="44" s="1"/>
  <c r="E78" i="21"/>
  <c r="C76"/>
  <c r="D76" s="1"/>
  <c r="F76" s="1"/>
  <c r="C60" i="44" s="1"/>
  <c r="E76" i="21"/>
  <c r="C82"/>
  <c r="D82" s="1"/>
  <c r="F82" s="1"/>
  <c r="C31" i="45" s="1"/>
  <c r="E82" i="21"/>
  <c r="C83"/>
  <c r="D83" s="1"/>
  <c r="F83" s="1"/>
  <c r="C32" i="45" s="1"/>
  <c r="E83" i="21"/>
  <c r="L55" i="30"/>
  <c r="L50"/>
  <c r="D109" i="23" s="1"/>
  <c r="L48" i="30"/>
  <c r="L59"/>
  <c r="L49"/>
  <c r="L60"/>
  <c r="L52"/>
  <c r="L58"/>
  <c r="L57"/>
  <c r="D154" i="41"/>
  <c r="D154" i="23"/>
  <c r="L54" i="30"/>
  <c r="L56"/>
  <c r="L47"/>
  <c r="L23"/>
  <c r="L18"/>
  <c r="L16"/>
  <c r="L19"/>
  <c r="L13"/>
  <c r="L17"/>
  <c r="L14"/>
  <c r="L20"/>
  <c r="L26"/>
  <c r="L25"/>
  <c r="L22"/>
  <c r="L24"/>
  <c r="L21"/>
  <c r="D198" i="23"/>
  <c r="D197" i="43"/>
  <c r="D208" s="1"/>
  <c r="D208" i="23" s="1"/>
  <c r="D203" i="43"/>
  <c r="D203" i="23" s="1"/>
  <c r="D213" i="43"/>
  <c r="D213" i="23" s="1"/>
  <c r="D223" i="43"/>
  <c r="D223" i="23"/>
  <c r="D228" i="43"/>
  <c r="D228" i="23" s="1"/>
  <c r="D233"/>
  <c r="D243"/>
  <c r="D249" i="43"/>
  <c r="D248" s="1"/>
  <c r="D248" i="23" s="1"/>
  <c r="D253"/>
  <c r="D264" i="43"/>
  <c r="D263" s="1"/>
  <c r="D263" i="23" s="1"/>
  <c r="D273" i="43"/>
  <c r="D273" i="23" s="1"/>
  <c r="D258" i="43"/>
  <c r="D258" i="23"/>
  <c r="D218"/>
  <c r="D268" i="43"/>
  <c r="D268" i="23" s="1"/>
  <c r="D297" i="43"/>
  <c r="D297" i="23" s="1"/>
  <c r="D307" i="43"/>
  <c r="D307" i="23"/>
  <c r="D317" i="43"/>
  <c r="D317" i="23" s="1"/>
  <c r="D337" i="43"/>
  <c r="D337" i="23"/>
  <c r="D357" i="43"/>
  <c r="D357" i="23" s="1"/>
  <c r="D367"/>
  <c r="D352" i="43"/>
  <c r="D352" i="23"/>
  <c r="D362" i="43"/>
  <c r="D362" i="23" s="1"/>
  <c r="Q55" i="30"/>
  <c r="Q50"/>
  <c r="E109" i="23" s="1"/>
  <c r="E109" i="41"/>
  <c r="Q48" i="30"/>
  <c r="Q59"/>
  <c r="Q49"/>
  <c r="Q60"/>
  <c r="Q52"/>
  <c r="Q58"/>
  <c r="Q57"/>
  <c r="E154" i="23" s="1"/>
  <c r="E154" i="41"/>
  <c r="Q54" i="30"/>
  <c r="Q56"/>
  <c r="Q47"/>
  <c r="Q23"/>
  <c r="Q18"/>
  <c r="Q16"/>
  <c r="Q19"/>
  <c r="Q13"/>
  <c r="Q17"/>
  <c r="Q14"/>
  <c r="Q20"/>
  <c r="Q26"/>
  <c r="Q25"/>
  <c r="Q22"/>
  <c r="Q24"/>
  <c r="Q21"/>
  <c r="E30" i="23"/>
  <c r="E198"/>
  <c r="E197" i="43"/>
  <c r="E208" s="1"/>
  <c r="E208" i="23" s="1"/>
  <c r="E223" i="43"/>
  <c r="E223" i="23" s="1"/>
  <c r="E233"/>
  <c r="E243"/>
  <c r="E249" i="43"/>
  <c r="E253" i="23"/>
  <c r="E264" i="43"/>
  <c r="E218" i="23"/>
  <c r="E297" i="43"/>
  <c r="E297" i="23" s="1"/>
  <c r="E307" i="43"/>
  <c r="E307" i="23"/>
  <c r="E317" i="43"/>
  <c r="E317" i="23"/>
  <c r="E337" i="43"/>
  <c r="E337" i="23" s="1"/>
  <c r="E342"/>
  <c r="E347"/>
  <c r="E357" i="43"/>
  <c r="E357" i="23" s="1"/>
  <c r="E367"/>
  <c r="E362" i="43"/>
  <c r="E362" i="23" s="1"/>
  <c r="V55" i="30"/>
  <c r="V50"/>
  <c r="F109" i="41"/>
  <c r="F109" i="23"/>
  <c r="V48" i="30"/>
  <c r="V59"/>
  <c r="V49"/>
  <c r="V60"/>
  <c r="V52"/>
  <c r="V58"/>
  <c r="V57"/>
  <c r="F154" i="23" s="1"/>
  <c r="F154" i="41"/>
  <c r="V54" i="30"/>
  <c r="V56"/>
  <c r="V47"/>
  <c r="V23"/>
  <c r="V18"/>
  <c r="V16"/>
  <c r="V19"/>
  <c r="V13"/>
  <c r="V17"/>
  <c r="V14"/>
  <c r="V20"/>
  <c r="V26"/>
  <c r="V25"/>
  <c r="V22"/>
  <c r="V24"/>
  <c r="F75" i="23"/>
  <c r="V21" i="30"/>
  <c r="F30" i="23"/>
  <c r="G30" s="1"/>
  <c r="H30" s="1"/>
  <c r="I30" s="1"/>
  <c r="J30" s="1"/>
  <c r="K30" s="1"/>
  <c r="L30" s="1"/>
  <c r="M30" s="1"/>
  <c r="N30" s="1"/>
  <c r="F198"/>
  <c r="F197" i="43"/>
  <c r="F208" s="1"/>
  <c r="F208" i="23" s="1"/>
  <c r="F223" i="43"/>
  <c r="F223" i="23" s="1"/>
  <c r="F233"/>
  <c r="F243"/>
  <c r="F249" i="43"/>
  <c r="F248"/>
  <c r="F248" i="23" s="1"/>
  <c r="F253"/>
  <c r="F273" i="43"/>
  <c r="F273" i="23" s="1"/>
  <c r="F218"/>
  <c r="F268" i="43"/>
  <c r="F268" i="23" s="1"/>
  <c r="F297" i="43"/>
  <c r="F297" i="23" s="1"/>
  <c r="F307" i="43"/>
  <c r="F307" i="23"/>
  <c r="F302" i="43"/>
  <c r="F302" i="23" s="1"/>
  <c r="F317" i="43"/>
  <c r="F317" i="23"/>
  <c r="F322" i="43"/>
  <c r="F322" i="23" s="1"/>
  <c r="F327" i="43"/>
  <c r="F327" i="23"/>
  <c r="F332" i="43"/>
  <c r="F332" i="23" s="1"/>
  <c r="F337" i="43"/>
  <c r="F337" i="23"/>
  <c r="F342"/>
  <c r="F347" i="43"/>
  <c r="F347" i="23" s="1"/>
  <c r="F357" i="43"/>
  <c r="F357" i="23"/>
  <c r="F367"/>
  <c r="F352" i="43"/>
  <c r="F352" i="23" s="1"/>
  <c r="F312" i="43"/>
  <c r="F312" i="23"/>
  <c r="F362" i="43"/>
  <c r="F362" i="23" s="1"/>
  <c r="E82" i="44"/>
  <c r="AA55" i="30"/>
  <c r="AA50"/>
  <c r="G109" i="23" s="1"/>
  <c r="G109" i="41"/>
  <c r="AA48" i="30"/>
  <c r="AA59"/>
  <c r="AA49"/>
  <c r="AA60"/>
  <c r="AA52"/>
  <c r="AA58"/>
  <c r="AA57"/>
  <c r="G154" i="41"/>
  <c r="G154" i="23" s="1"/>
  <c r="AA54" i="30"/>
  <c r="AA56"/>
  <c r="AA47"/>
  <c r="AA23"/>
  <c r="AA18"/>
  <c r="AA16"/>
  <c r="AA19"/>
  <c r="AA13"/>
  <c r="AA17"/>
  <c r="AA14"/>
  <c r="AA20"/>
  <c r="AA26"/>
  <c r="AA25"/>
  <c r="AA22"/>
  <c r="AA24"/>
  <c r="G75" i="23"/>
  <c r="AA21" i="30"/>
  <c r="G198" i="23"/>
  <c r="G213"/>
  <c r="G233"/>
  <c r="G243"/>
  <c r="G248"/>
  <c r="G253"/>
  <c r="G218"/>
  <c r="G297"/>
  <c r="G307"/>
  <c r="G317"/>
  <c r="G337"/>
  <c r="G357"/>
  <c r="G367"/>
  <c r="G362"/>
  <c r="F82" i="44"/>
  <c r="AF55" i="30"/>
  <c r="AF50"/>
  <c r="H109" i="23" s="1"/>
  <c r="H109" i="41"/>
  <c r="AF48" i="30"/>
  <c r="AF59"/>
  <c r="AF49"/>
  <c r="AF60"/>
  <c r="AF52"/>
  <c r="AF58"/>
  <c r="AF57"/>
  <c r="AF54"/>
  <c r="AF56"/>
  <c r="AF47"/>
  <c r="AF23"/>
  <c r="AF18"/>
  <c r="AF16"/>
  <c r="AF19"/>
  <c r="AF13"/>
  <c r="AF17"/>
  <c r="AF14"/>
  <c r="AF20"/>
  <c r="AF26"/>
  <c r="AF25"/>
  <c r="AF22"/>
  <c r="AF24"/>
  <c r="H75" i="23"/>
  <c r="AF21" i="30"/>
  <c r="H198" i="23"/>
  <c r="H233"/>
  <c r="H243"/>
  <c r="H253"/>
  <c r="H218"/>
  <c r="H307"/>
  <c r="H317"/>
  <c r="H357"/>
  <c r="H367"/>
  <c r="H362"/>
  <c r="G82" i="44"/>
  <c r="AK55" i="30"/>
  <c r="I104" i="23" s="1"/>
  <c r="I105" i="41"/>
  <c r="I104"/>
  <c r="AK50" i="30"/>
  <c r="I109" i="23" s="1"/>
  <c r="I109" i="41"/>
  <c r="AK48" i="30"/>
  <c r="I114" i="23" s="1"/>
  <c r="I115" i="41"/>
  <c r="I114"/>
  <c r="AK59" i="30"/>
  <c r="AK49"/>
  <c r="I134" i="23" s="1"/>
  <c r="I135" i="41"/>
  <c r="I134"/>
  <c r="AK60" i="30"/>
  <c r="I140" i="41"/>
  <c r="I139" s="1"/>
  <c r="I139" i="23" s="1"/>
  <c r="AK52" i="30"/>
  <c r="I144" i="23" s="1"/>
  <c r="I145" i="41"/>
  <c r="I144"/>
  <c r="AK58" i="30"/>
  <c r="I150" i="41"/>
  <c r="I149" s="1"/>
  <c r="I149" i="23" s="1"/>
  <c r="AK57" i="30"/>
  <c r="I154" i="23" s="1"/>
  <c r="I154" i="41"/>
  <c r="AK54" i="30"/>
  <c r="I159" i="23" s="1"/>
  <c r="I160" i="41"/>
  <c r="I159"/>
  <c r="AK56" i="30"/>
  <c r="I170" i="41"/>
  <c r="I169" s="1"/>
  <c r="I169" i="23" s="1"/>
  <c r="AK47" i="30"/>
  <c r="I125" i="41"/>
  <c r="I124"/>
  <c r="I124" i="23" s="1"/>
  <c r="AK23" i="30"/>
  <c r="I9" i="41"/>
  <c r="I8" s="1"/>
  <c r="I8" i="23" s="1"/>
  <c r="AK18" i="30"/>
  <c r="I13" i="23" s="1"/>
  <c r="I14" i="41"/>
  <c r="I13"/>
  <c r="AK16" i="30"/>
  <c r="I19" i="41"/>
  <c r="I18" s="1"/>
  <c r="I18" i="23" s="1"/>
  <c r="AK19" i="30"/>
  <c r="AK13"/>
  <c r="AK17"/>
  <c r="I39" i="41"/>
  <c r="I38"/>
  <c r="I38" i="23" s="1"/>
  <c r="AK14" i="30"/>
  <c r="I43" i="23" s="1"/>
  <c r="I44" i="41"/>
  <c r="I43" s="1"/>
  <c r="AK20" i="30"/>
  <c r="I49" i="41"/>
  <c r="I48" s="1"/>
  <c r="AK26" i="30"/>
  <c r="AK25"/>
  <c r="I59" i="41"/>
  <c r="I58" s="1"/>
  <c r="AK22" i="30"/>
  <c r="I64" i="41"/>
  <c r="I63" s="1"/>
  <c r="I63" i="23" s="1"/>
  <c r="AK24" i="30"/>
  <c r="I73" i="23" s="1"/>
  <c r="I74" i="41"/>
  <c r="I73"/>
  <c r="I75" i="23"/>
  <c r="AK21" i="30"/>
  <c r="I29" i="41"/>
  <c r="I28" s="1"/>
  <c r="I28" i="23" s="1"/>
  <c r="I198"/>
  <c r="I213"/>
  <c r="I233"/>
  <c r="I243"/>
  <c r="I248"/>
  <c r="I253"/>
  <c r="I218"/>
  <c r="I297"/>
  <c r="I307"/>
  <c r="I317"/>
  <c r="I337"/>
  <c r="I357"/>
  <c r="I367"/>
  <c r="I362"/>
  <c r="H82" i="44"/>
  <c r="AP55" i="30"/>
  <c r="AP50"/>
  <c r="J109" i="23" s="1"/>
  <c r="J109" i="41"/>
  <c r="AP48" i="30"/>
  <c r="AP59"/>
  <c r="AP49"/>
  <c r="AP60"/>
  <c r="AP52"/>
  <c r="AP58"/>
  <c r="AP57"/>
  <c r="J154" i="23"/>
  <c r="AP54" i="30"/>
  <c r="AP56"/>
  <c r="AP47"/>
  <c r="AP23"/>
  <c r="AP18"/>
  <c r="AP16"/>
  <c r="AP19"/>
  <c r="AP13"/>
  <c r="AP17"/>
  <c r="AP14"/>
  <c r="AP20"/>
  <c r="AP26"/>
  <c r="AP25"/>
  <c r="AP22"/>
  <c r="AP24"/>
  <c r="J75" i="23"/>
  <c r="AP21" i="30"/>
  <c r="J198" i="23"/>
  <c r="J213"/>
  <c r="J233"/>
  <c r="J243"/>
  <c r="J253"/>
  <c r="J218"/>
  <c r="J297"/>
  <c r="J307"/>
  <c r="J317"/>
  <c r="J337"/>
  <c r="J357"/>
  <c r="J367"/>
  <c r="J362"/>
  <c r="I82" i="44"/>
  <c r="AU55" i="30"/>
  <c r="AU50"/>
  <c r="K109" i="23"/>
  <c r="AU48" i="30"/>
  <c r="AU59"/>
  <c r="AU49"/>
  <c r="AU60"/>
  <c r="AU52"/>
  <c r="AU58"/>
  <c r="AU57"/>
  <c r="K154" i="23"/>
  <c r="AU54" i="30"/>
  <c r="AU56"/>
  <c r="AU47"/>
  <c r="AU23"/>
  <c r="AU18"/>
  <c r="AU16"/>
  <c r="AU19"/>
  <c r="AU13"/>
  <c r="AU17"/>
  <c r="AU14"/>
  <c r="AU20"/>
  <c r="AU26"/>
  <c r="AU25"/>
  <c r="AU22"/>
  <c r="AU24"/>
  <c r="K75" i="23"/>
  <c r="AU21" i="30"/>
  <c r="K198" i="23"/>
  <c r="K233"/>
  <c r="K243"/>
  <c r="K253"/>
  <c r="K218"/>
  <c r="K297"/>
  <c r="K307"/>
  <c r="K317"/>
  <c r="K337"/>
  <c r="K357"/>
  <c r="K367"/>
  <c r="K362"/>
  <c r="J82" i="44"/>
  <c r="AZ55" i="30"/>
  <c r="AZ50"/>
  <c r="L109" i="23"/>
  <c r="AZ48" i="30"/>
  <c r="AZ59"/>
  <c r="AZ49"/>
  <c r="AZ60"/>
  <c r="AZ52"/>
  <c r="AZ58"/>
  <c r="AZ57"/>
  <c r="L154" i="23"/>
  <c r="AZ54" i="30"/>
  <c r="AZ56"/>
  <c r="AZ47"/>
  <c r="AZ23"/>
  <c r="AZ18"/>
  <c r="AZ16"/>
  <c r="AZ19"/>
  <c r="AZ13"/>
  <c r="AZ17"/>
  <c r="AZ14"/>
  <c r="AZ20"/>
  <c r="AZ26"/>
  <c r="AZ25"/>
  <c r="AZ22"/>
  <c r="AZ24"/>
  <c r="L75" i="23"/>
  <c r="AZ21" i="30"/>
  <c r="L198" i="23"/>
  <c r="L213"/>
  <c r="L233"/>
  <c r="L243"/>
  <c r="L248"/>
  <c r="L253"/>
  <c r="L218"/>
  <c r="L297"/>
  <c r="L307"/>
  <c r="L317"/>
  <c r="L337"/>
  <c r="L357"/>
  <c r="L367"/>
  <c r="L362"/>
  <c r="K82" i="44"/>
  <c r="BE55" i="30"/>
  <c r="BE50"/>
  <c r="M109" i="23" s="1"/>
  <c r="M109" i="41"/>
  <c r="BE48" i="30"/>
  <c r="BE59"/>
  <c r="BE49"/>
  <c r="BE60"/>
  <c r="BE52"/>
  <c r="BE58"/>
  <c r="BE57"/>
  <c r="M154" i="23" s="1"/>
  <c r="BE54" i="30"/>
  <c r="BE56"/>
  <c r="BE47"/>
  <c r="BE23"/>
  <c r="BE18"/>
  <c r="BE16"/>
  <c r="BE19"/>
  <c r="BE13"/>
  <c r="BE17"/>
  <c r="BE14"/>
  <c r="BE20"/>
  <c r="BE26"/>
  <c r="BE25"/>
  <c r="BE22"/>
  <c r="BE24"/>
  <c r="M75" i="23"/>
  <c r="BE21" i="30"/>
  <c r="M198" i="23"/>
  <c r="M213"/>
  <c r="M233"/>
  <c r="M243"/>
  <c r="M248"/>
  <c r="M253"/>
  <c r="M218"/>
  <c r="M291"/>
  <c r="M297"/>
  <c r="M307"/>
  <c r="M317"/>
  <c r="M337"/>
  <c r="M357"/>
  <c r="M367"/>
  <c r="M362"/>
  <c r="L82" i="44"/>
  <c r="BJ55" i="30"/>
  <c r="BJ50"/>
  <c r="N109" i="23" s="1"/>
  <c r="N109" i="41"/>
  <c r="BJ48" i="30"/>
  <c r="BJ59"/>
  <c r="BJ49"/>
  <c r="BJ60"/>
  <c r="BJ52"/>
  <c r="BJ58"/>
  <c r="BJ57"/>
  <c r="N154" i="41"/>
  <c r="BJ54" i="30"/>
  <c r="BJ56"/>
  <c r="BJ47"/>
  <c r="BJ23"/>
  <c r="BJ18"/>
  <c r="BJ16"/>
  <c r="BJ19"/>
  <c r="BJ13"/>
  <c r="BJ17"/>
  <c r="BJ14"/>
  <c r="BJ20"/>
  <c r="BJ26"/>
  <c r="BJ25"/>
  <c r="BJ22"/>
  <c r="BJ24"/>
  <c r="N75" i="23"/>
  <c r="BJ21" i="30"/>
  <c r="N198" i="23"/>
  <c r="N213"/>
  <c r="N233"/>
  <c r="N243"/>
  <c r="N248"/>
  <c r="N253"/>
  <c r="N218"/>
  <c r="N297"/>
  <c r="N307"/>
  <c r="N317"/>
  <c r="N357"/>
  <c r="N367"/>
  <c r="N362"/>
  <c r="M82" i="44"/>
  <c r="T24" i="25"/>
  <c r="C25" i="22"/>
  <c r="C121" s="1"/>
  <c r="D121" s="1"/>
  <c r="E121" s="1"/>
  <c r="C20"/>
  <c r="C116"/>
  <c r="C40"/>
  <c r="C136"/>
  <c r="D136" s="1"/>
  <c r="E136" s="1"/>
  <c r="F136" s="1"/>
  <c r="G136" s="1"/>
  <c r="H136" s="1"/>
  <c r="I136" s="1"/>
  <c r="J136" s="1"/>
  <c r="K136" s="1"/>
  <c r="L136" s="1"/>
  <c r="C45"/>
  <c r="C154"/>
  <c r="C181"/>
  <c r="D181" s="1"/>
  <c r="C70"/>
  <c r="C166"/>
  <c r="D166" s="1"/>
  <c r="T26" i="25"/>
  <c r="C15" i="22"/>
  <c r="C35"/>
  <c r="C55"/>
  <c r="C60"/>
  <c r="C75"/>
  <c r="C30"/>
  <c r="D30" s="1"/>
  <c r="T30" i="25"/>
  <c r="C203" i="22"/>
  <c r="C223"/>
  <c r="C233"/>
  <c r="C243"/>
  <c r="C248"/>
  <c r="C253"/>
  <c r="C263"/>
  <c r="C258"/>
  <c r="C218"/>
  <c r="T28" i="25"/>
  <c r="C297" i="22"/>
  <c r="C307"/>
  <c r="C317"/>
  <c r="C337"/>
  <c r="C357"/>
  <c r="C367"/>
  <c r="C362"/>
  <c r="B56" i="44"/>
  <c r="B73"/>
  <c r="B57"/>
  <c r="B58"/>
  <c r="B59"/>
  <c r="B60"/>
  <c r="B31" i="45"/>
  <c r="B32"/>
  <c r="D109" i="22"/>
  <c r="D116"/>
  <c r="D154"/>
  <c r="D15"/>
  <c r="D20"/>
  <c r="D25"/>
  <c r="D35"/>
  <c r="D40"/>
  <c r="D55"/>
  <c r="D60"/>
  <c r="D75"/>
  <c r="D70"/>
  <c r="D203"/>
  <c r="D208"/>
  <c r="D213"/>
  <c r="D223"/>
  <c r="D228"/>
  <c r="D233"/>
  <c r="D243"/>
  <c r="D248"/>
  <c r="D253"/>
  <c r="D263"/>
  <c r="D273"/>
  <c r="D258"/>
  <c r="D218"/>
  <c r="D268"/>
  <c r="D297"/>
  <c r="D307"/>
  <c r="D317"/>
  <c r="D337"/>
  <c r="D357"/>
  <c r="D367"/>
  <c r="D352"/>
  <c r="D362"/>
  <c r="C73" i="44"/>
  <c r="E109" i="22"/>
  <c r="E116"/>
  <c r="E154"/>
  <c r="E181"/>
  <c r="E166"/>
  <c r="F166" s="1"/>
  <c r="G166" s="1"/>
  <c r="H166" s="1"/>
  <c r="I166" s="1"/>
  <c r="J166" s="1"/>
  <c r="E15"/>
  <c r="E20"/>
  <c r="E25"/>
  <c r="E35"/>
  <c r="E40"/>
  <c r="E55"/>
  <c r="E60"/>
  <c r="E75"/>
  <c r="E70"/>
  <c r="E30"/>
  <c r="E208"/>
  <c r="E223"/>
  <c r="E233"/>
  <c r="E243"/>
  <c r="E253"/>
  <c r="E218"/>
  <c r="E297"/>
  <c r="E307"/>
  <c r="E317"/>
  <c r="E337"/>
  <c r="E342"/>
  <c r="E347"/>
  <c r="E357"/>
  <c r="E367"/>
  <c r="E362"/>
  <c r="D73" i="44"/>
  <c r="F109" i="22"/>
  <c r="F121"/>
  <c r="F116"/>
  <c r="F154"/>
  <c r="F181"/>
  <c r="F15"/>
  <c r="F20"/>
  <c r="F25"/>
  <c r="F35"/>
  <c r="F40"/>
  <c r="F55"/>
  <c r="F60"/>
  <c r="F75"/>
  <c r="F70"/>
  <c r="F30"/>
  <c r="S7" i="25"/>
  <c r="J51" s="1"/>
  <c r="F197" i="22" s="1"/>
  <c r="F208"/>
  <c r="F223"/>
  <c r="F233"/>
  <c r="F243"/>
  <c r="F248"/>
  <c r="F253"/>
  <c r="F273"/>
  <c r="F218"/>
  <c r="F268"/>
  <c r="F297"/>
  <c r="F307"/>
  <c r="F302"/>
  <c r="F317"/>
  <c r="F322"/>
  <c r="F327"/>
  <c r="F332"/>
  <c r="F337"/>
  <c r="F342"/>
  <c r="F347"/>
  <c r="F357"/>
  <c r="F367"/>
  <c r="F352"/>
  <c r="F312"/>
  <c r="F362"/>
  <c r="E73" i="44"/>
  <c r="G109" i="22"/>
  <c r="G121"/>
  <c r="G116"/>
  <c r="G154"/>
  <c r="G181"/>
  <c r="G15"/>
  <c r="G20"/>
  <c r="G25"/>
  <c r="G35"/>
  <c r="G40"/>
  <c r="G55"/>
  <c r="G60"/>
  <c r="G75"/>
  <c r="G70"/>
  <c r="G30"/>
  <c r="G213"/>
  <c r="G233"/>
  <c r="G243"/>
  <c r="G248"/>
  <c r="G253"/>
  <c r="G218"/>
  <c r="G297"/>
  <c r="G307"/>
  <c r="G317"/>
  <c r="G337"/>
  <c r="G357"/>
  <c r="G367"/>
  <c r="G362"/>
  <c r="F73" i="44"/>
  <c r="H109" i="22"/>
  <c r="H121"/>
  <c r="H116"/>
  <c r="H181"/>
  <c r="H15"/>
  <c r="H20"/>
  <c r="H25"/>
  <c r="H35"/>
  <c r="H40"/>
  <c r="H55"/>
  <c r="H60"/>
  <c r="H75"/>
  <c r="H70"/>
  <c r="H30"/>
  <c r="H233"/>
  <c r="H243"/>
  <c r="H253"/>
  <c r="H218"/>
  <c r="H307"/>
  <c r="H317"/>
  <c r="H357"/>
  <c r="H367"/>
  <c r="H362"/>
  <c r="G73" i="44"/>
  <c r="I104" i="22"/>
  <c r="I109"/>
  <c r="I121"/>
  <c r="I114"/>
  <c r="I116"/>
  <c r="I134"/>
  <c r="I139"/>
  <c r="I144"/>
  <c r="I149"/>
  <c r="I154"/>
  <c r="I159"/>
  <c r="I169"/>
  <c r="I181"/>
  <c r="I124"/>
  <c r="I8"/>
  <c r="I13"/>
  <c r="I15"/>
  <c r="I18"/>
  <c r="I20"/>
  <c r="I25"/>
  <c r="I35"/>
  <c r="I38"/>
  <c r="I40"/>
  <c r="I43"/>
  <c r="I48"/>
  <c r="I55"/>
  <c r="I58"/>
  <c r="I60"/>
  <c r="I63"/>
  <c r="I73"/>
  <c r="I75"/>
  <c r="I70"/>
  <c r="I28"/>
  <c r="I30"/>
  <c r="I213"/>
  <c r="I233"/>
  <c r="I243"/>
  <c r="I248"/>
  <c r="I253"/>
  <c r="I218"/>
  <c r="I297"/>
  <c r="I307"/>
  <c r="I317"/>
  <c r="I337"/>
  <c r="I357"/>
  <c r="I367"/>
  <c r="I362"/>
  <c r="H73" i="44"/>
  <c r="J109" i="22"/>
  <c r="J121"/>
  <c r="J116"/>
  <c r="J154"/>
  <c r="J181"/>
  <c r="J15"/>
  <c r="J20"/>
  <c r="J25"/>
  <c r="J35"/>
  <c r="J40"/>
  <c r="J55"/>
  <c r="J60"/>
  <c r="J75"/>
  <c r="J70"/>
  <c r="J30"/>
  <c r="J213"/>
  <c r="J233"/>
  <c r="J243"/>
  <c r="J253"/>
  <c r="J218"/>
  <c r="J297"/>
  <c r="J307"/>
  <c r="J317"/>
  <c r="J337"/>
  <c r="J357"/>
  <c r="J367"/>
  <c r="J362"/>
  <c r="I73" i="44"/>
  <c r="K109" i="22"/>
  <c r="K121"/>
  <c r="K116"/>
  <c r="K154"/>
  <c r="K181"/>
  <c r="K166"/>
  <c r="K15"/>
  <c r="K20"/>
  <c r="K25"/>
  <c r="K35"/>
  <c r="K40"/>
  <c r="K55"/>
  <c r="K60"/>
  <c r="K75"/>
  <c r="K70"/>
  <c r="K30"/>
  <c r="K233"/>
  <c r="K243"/>
  <c r="K253"/>
  <c r="K218"/>
  <c r="K297"/>
  <c r="K307"/>
  <c r="K317"/>
  <c r="K337"/>
  <c r="K357"/>
  <c r="K367"/>
  <c r="K362"/>
  <c r="J73" i="44"/>
  <c r="L109" i="22"/>
  <c r="L121"/>
  <c r="L116"/>
  <c r="L154"/>
  <c r="L181"/>
  <c r="L166"/>
  <c r="M166" s="1"/>
  <c r="N166" s="1"/>
  <c r="L15"/>
  <c r="L20"/>
  <c r="L25"/>
  <c r="L35"/>
  <c r="L40"/>
  <c r="L55"/>
  <c r="L60"/>
  <c r="L75"/>
  <c r="L70"/>
  <c r="L30"/>
  <c r="M30" s="1"/>
  <c r="N30" s="1"/>
  <c r="L213"/>
  <c r="L233"/>
  <c r="L243"/>
  <c r="L248"/>
  <c r="L253"/>
  <c r="L218"/>
  <c r="L297"/>
  <c r="L307"/>
  <c r="L317"/>
  <c r="L337"/>
  <c r="L357"/>
  <c r="L367"/>
  <c r="L362"/>
  <c r="K73" i="44"/>
  <c r="M109" i="22"/>
  <c r="M121"/>
  <c r="M116"/>
  <c r="N116" s="1"/>
  <c r="M136"/>
  <c r="N136" s="1"/>
  <c r="M154"/>
  <c r="M181"/>
  <c r="R14" i="25"/>
  <c r="M15" i="22"/>
  <c r="M20"/>
  <c r="M25"/>
  <c r="M35"/>
  <c r="M40"/>
  <c r="M55"/>
  <c r="M60"/>
  <c r="M75"/>
  <c r="M70"/>
  <c r="M213"/>
  <c r="M233"/>
  <c r="M243"/>
  <c r="M248"/>
  <c r="M253"/>
  <c r="M218"/>
  <c r="M297"/>
  <c r="M307"/>
  <c r="M317"/>
  <c r="M337"/>
  <c r="M357"/>
  <c r="M367"/>
  <c r="M362"/>
  <c r="L73" i="44"/>
  <c r="N109" i="22"/>
  <c r="N121"/>
  <c r="N154"/>
  <c r="N181"/>
  <c r="R15" i="25"/>
  <c r="N15" i="22"/>
  <c r="N20"/>
  <c r="N25"/>
  <c r="N35"/>
  <c r="N40"/>
  <c r="N55"/>
  <c r="N60"/>
  <c r="N75"/>
  <c r="N70"/>
  <c r="N213"/>
  <c r="N233"/>
  <c r="N243"/>
  <c r="N248"/>
  <c r="N253"/>
  <c r="N218"/>
  <c r="N291"/>
  <c r="N297"/>
  <c r="N307"/>
  <c r="N317"/>
  <c r="N357"/>
  <c r="N367"/>
  <c r="N362"/>
  <c r="M73" i="44"/>
  <c r="I15" i="26"/>
  <c r="I14"/>
  <c r="I13"/>
  <c r="O13"/>
  <c r="I12"/>
  <c r="O12"/>
  <c r="I11"/>
  <c r="O11"/>
  <c r="I10"/>
  <c r="O10"/>
  <c r="I9"/>
  <c r="O9"/>
  <c r="I8"/>
  <c r="O8"/>
  <c r="I7"/>
  <c r="I6"/>
  <c r="R6" s="1"/>
  <c r="I47" s="1"/>
  <c r="E7" i="23" s="1"/>
  <c r="V6" i="26"/>
  <c r="I67" s="1"/>
  <c r="I5"/>
  <c r="O5"/>
  <c r="I4"/>
  <c r="R4" s="1"/>
  <c r="G47" s="1"/>
  <c r="C7" i="23" s="1"/>
  <c r="O4" i="26"/>
  <c r="V4"/>
  <c r="G64"/>
  <c r="H64"/>
  <c r="I64"/>
  <c r="J64"/>
  <c r="K64"/>
  <c r="L64"/>
  <c r="M64"/>
  <c r="N64"/>
  <c r="O64"/>
  <c r="P64"/>
  <c r="Q64"/>
  <c r="R64"/>
  <c r="K4"/>
  <c r="T4" s="1"/>
  <c r="G49" s="1"/>
  <c r="C291" i="23" s="1"/>
  <c r="K5" i="26"/>
  <c r="K6"/>
  <c r="T6" s="1"/>
  <c r="I49" s="1"/>
  <c r="E291" i="23" s="1"/>
  <c r="K7" i="26"/>
  <c r="T7" s="1"/>
  <c r="J49" s="1"/>
  <c r="F291" i="23" s="1"/>
  <c r="K8" i="26"/>
  <c r="T8" s="1"/>
  <c r="K49" s="1"/>
  <c r="G291" i="23" s="1"/>
  <c r="K9" i="26"/>
  <c r="K10"/>
  <c r="T10" s="1"/>
  <c r="M49" s="1"/>
  <c r="I291" i="23" s="1"/>
  <c r="K11" i="26"/>
  <c r="T11" s="1"/>
  <c r="N49" s="1"/>
  <c r="J291" i="23" s="1"/>
  <c r="K12" i="26"/>
  <c r="T12" s="1"/>
  <c r="O49" s="1"/>
  <c r="K291" i="23" s="1"/>
  <c r="K13" i="26"/>
  <c r="K14"/>
  <c r="T14" s="1"/>
  <c r="Q49" s="1"/>
  <c r="K15"/>
  <c r="T15" s="1"/>
  <c r="R49" s="1"/>
  <c r="N291" i="23" s="1"/>
  <c r="G19" i="26"/>
  <c r="H19"/>
  <c r="P19"/>
  <c r="Q19"/>
  <c r="Q59" s="1"/>
  <c r="M4"/>
  <c r="M5"/>
  <c r="S5" s="1"/>
  <c r="H51" s="1"/>
  <c r="D197" i="23" s="1"/>
  <c r="M6" i="26"/>
  <c r="S6" s="1"/>
  <c r="I51" s="1"/>
  <c r="E197" i="23" s="1"/>
  <c r="M7" i="26"/>
  <c r="S7" s="1"/>
  <c r="J51" s="1"/>
  <c r="F197" i="23" s="1"/>
  <c r="M8" i="26"/>
  <c r="M9"/>
  <c r="S9" s="1"/>
  <c r="L51" s="1"/>
  <c r="H197" i="23" s="1"/>
  <c r="M10" i="26"/>
  <c r="S10" s="1"/>
  <c r="M51" s="1"/>
  <c r="I197" i="23" s="1"/>
  <c r="M11" i="26"/>
  <c r="S11" s="1"/>
  <c r="N51" s="1"/>
  <c r="J197" i="23" s="1"/>
  <c r="M12" i="26"/>
  <c r="M13"/>
  <c r="S13" s="1"/>
  <c r="P51" s="1"/>
  <c r="L197" i="23" s="1"/>
  <c r="M14" i="26"/>
  <c r="S14" s="1"/>
  <c r="Q51" s="1"/>
  <c r="M197" i="23" s="1"/>
  <c r="M15" i="26"/>
  <c r="S15" s="1"/>
  <c r="R51" s="1"/>
  <c r="N197" i="23" s="1"/>
  <c r="H30" i="26"/>
  <c r="H41" s="1"/>
  <c r="I30"/>
  <c r="J30"/>
  <c r="L30"/>
  <c r="M30"/>
  <c r="N30"/>
  <c r="P30"/>
  <c r="P41" s="1"/>
  <c r="Q30"/>
  <c r="R30"/>
  <c r="Q41"/>
  <c r="G28"/>
  <c r="I28"/>
  <c r="J28"/>
  <c r="K28"/>
  <c r="M28"/>
  <c r="N28"/>
  <c r="O28"/>
  <c r="Q28"/>
  <c r="R28"/>
  <c r="Q39"/>
  <c r="G26"/>
  <c r="H26"/>
  <c r="I26"/>
  <c r="Q26"/>
  <c r="R26"/>
  <c r="Q37"/>
  <c r="D16"/>
  <c r="D34"/>
  <c r="D33"/>
  <c r="D25"/>
  <c r="D24"/>
  <c r="O16"/>
  <c r="M16"/>
  <c r="E16"/>
  <c r="C16"/>
  <c r="P15"/>
  <c r="P14"/>
  <c r="P13"/>
  <c r="P12"/>
  <c r="P11"/>
  <c r="P10"/>
  <c r="P9"/>
  <c r="P8"/>
  <c r="P7"/>
  <c r="P6"/>
  <c r="P5"/>
  <c r="P4"/>
  <c r="I15" i="25"/>
  <c r="I14"/>
  <c r="I13"/>
  <c r="O13"/>
  <c r="I12"/>
  <c r="O12"/>
  <c r="I11"/>
  <c r="O11"/>
  <c r="I10"/>
  <c r="O10"/>
  <c r="I9"/>
  <c r="O9"/>
  <c r="I8"/>
  <c r="O8"/>
  <c r="I7"/>
  <c r="I6"/>
  <c r="I5"/>
  <c r="O5"/>
  <c r="I4"/>
  <c r="O4"/>
  <c r="G64" s="1"/>
  <c r="H64"/>
  <c r="I64"/>
  <c r="J64"/>
  <c r="K64"/>
  <c r="L64"/>
  <c r="M64"/>
  <c r="N64"/>
  <c r="O64"/>
  <c r="P64"/>
  <c r="Q64"/>
  <c r="R64"/>
  <c r="K4"/>
  <c r="T4" s="1"/>
  <c r="G49" s="1"/>
  <c r="C291" i="22" s="1"/>
  <c r="K5" i="25"/>
  <c r="K6"/>
  <c r="T6" s="1"/>
  <c r="I49" s="1"/>
  <c r="K7"/>
  <c r="T7" s="1"/>
  <c r="J49" s="1"/>
  <c r="K8"/>
  <c r="T8" s="1"/>
  <c r="K49" s="1"/>
  <c r="K9"/>
  <c r="L28" s="1"/>
  <c r="K10"/>
  <c r="T10" s="1"/>
  <c r="M49" s="1"/>
  <c r="K11"/>
  <c r="T11" s="1"/>
  <c r="N49" s="1"/>
  <c r="K12"/>
  <c r="T12" s="1"/>
  <c r="O49" s="1"/>
  <c r="K13"/>
  <c r="K14"/>
  <c r="T14" s="1"/>
  <c r="Q49" s="1"/>
  <c r="K15"/>
  <c r="T15" s="1"/>
  <c r="R49" s="1"/>
  <c r="G19"/>
  <c r="G39" s="1"/>
  <c r="K19"/>
  <c r="K39" s="1"/>
  <c r="O19"/>
  <c r="O39" s="1"/>
  <c r="M4"/>
  <c r="M5"/>
  <c r="S5" s="1"/>
  <c r="H51" s="1"/>
  <c r="D197" i="22" s="1"/>
  <c r="M6" i="25"/>
  <c r="S6" s="1"/>
  <c r="I51" s="1"/>
  <c r="E197" i="22" s="1"/>
  <c r="M7" i="25"/>
  <c r="J30" s="1"/>
  <c r="M8"/>
  <c r="M9"/>
  <c r="S9" s="1"/>
  <c r="L51" s="1"/>
  <c r="H197" i="22" s="1"/>
  <c r="M10" i="25"/>
  <c r="S10" s="1"/>
  <c r="M51" s="1"/>
  <c r="I197" i="22" s="1"/>
  <c r="M11" i="25"/>
  <c r="N30" s="1"/>
  <c r="M12"/>
  <c r="M13"/>
  <c r="S13" s="1"/>
  <c r="P51" s="1"/>
  <c r="L197" i="22" s="1"/>
  <c r="M14" i="25"/>
  <c r="S14" s="1"/>
  <c r="Q51" s="1"/>
  <c r="M197" i="22" s="1"/>
  <c r="M15" i="25"/>
  <c r="S15" s="1"/>
  <c r="R51" s="1"/>
  <c r="N197" i="22" s="1"/>
  <c r="H30" i="25"/>
  <c r="I30"/>
  <c r="L30"/>
  <c r="M30"/>
  <c r="P30"/>
  <c r="Q30"/>
  <c r="G28"/>
  <c r="I28"/>
  <c r="J28"/>
  <c r="K28"/>
  <c r="M28"/>
  <c r="N28"/>
  <c r="O28"/>
  <c r="Q28"/>
  <c r="R28"/>
  <c r="G26"/>
  <c r="H26"/>
  <c r="I26"/>
  <c r="L26"/>
  <c r="P26"/>
  <c r="Q26"/>
  <c r="R26"/>
  <c r="G37"/>
  <c r="D16"/>
  <c r="D32"/>
  <c r="D28"/>
  <c r="D24"/>
  <c r="O16"/>
  <c r="M16"/>
  <c r="E16"/>
  <c r="C16"/>
  <c r="P15"/>
  <c r="P14"/>
  <c r="P13"/>
  <c r="P12"/>
  <c r="P11"/>
  <c r="P10"/>
  <c r="P9"/>
  <c r="P8"/>
  <c r="P7"/>
  <c r="P6"/>
  <c r="P5"/>
  <c r="P4"/>
  <c r="D15" i="47"/>
  <c r="C15"/>
  <c r="D14"/>
  <c r="C14"/>
  <c r="D13"/>
  <c r="C13"/>
  <c r="D12"/>
  <c r="C12"/>
  <c r="D11"/>
  <c r="C11"/>
  <c r="D10"/>
  <c r="C10"/>
  <c r="D9"/>
  <c r="C9"/>
  <c r="D8"/>
  <c r="C8"/>
  <c r="D7"/>
  <c r="C7"/>
  <c r="D6"/>
  <c r="C6"/>
  <c r="D5"/>
  <c r="C5"/>
  <c r="D4"/>
  <c r="C4"/>
  <c r="I4"/>
  <c r="K4"/>
  <c r="M4"/>
  <c r="O4"/>
  <c r="T24"/>
  <c r="T26"/>
  <c r="T30"/>
  <c r="S4"/>
  <c r="T28"/>
  <c r="F5"/>
  <c r="I5"/>
  <c r="K5"/>
  <c r="M5"/>
  <c r="O5"/>
  <c r="P5"/>
  <c r="S5"/>
  <c r="I6"/>
  <c r="K6"/>
  <c r="M6"/>
  <c r="P6"/>
  <c r="S6"/>
  <c r="T6"/>
  <c r="I49" s="1"/>
  <c r="F7"/>
  <c r="I7"/>
  <c r="K7"/>
  <c r="T7" s="1"/>
  <c r="M7"/>
  <c r="P7"/>
  <c r="S7"/>
  <c r="F8"/>
  <c r="I8"/>
  <c r="R8" s="1"/>
  <c r="V8" s="1"/>
  <c r="K67" s="1"/>
  <c r="K8"/>
  <c r="M8"/>
  <c r="O8"/>
  <c r="P8"/>
  <c r="S8"/>
  <c r="F9"/>
  <c r="I9"/>
  <c r="K9"/>
  <c r="T9" s="1"/>
  <c r="L49" s="1"/>
  <c r="M9"/>
  <c r="G9" s="1"/>
  <c r="Q9" s="1"/>
  <c r="O9"/>
  <c r="S9"/>
  <c r="L51" s="1"/>
  <c r="F10"/>
  <c r="I10"/>
  <c r="R10" s="1"/>
  <c r="K10"/>
  <c r="M10"/>
  <c r="O10"/>
  <c r="P10"/>
  <c r="S10"/>
  <c r="F11"/>
  <c r="I11"/>
  <c r="K11"/>
  <c r="T11" s="1"/>
  <c r="M11"/>
  <c r="O11"/>
  <c r="S11"/>
  <c r="N51" s="1"/>
  <c r="F12"/>
  <c r="I12"/>
  <c r="R12" s="1"/>
  <c r="V12" s="1"/>
  <c r="O67" s="1"/>
  <c r="K12"/>
  <c r="M12"/>
  <c r="O12"/>
  <c r="P12"/>
  <c r="S12"/>
  <c r="F13"/>
  <c r="I13"/>
  <c r="K13"/>
  <c r="T13" s="1"/>
  <c r="P49" s="1"/>
  <c r="M13"/>
  <c r="O13"/>
  <c r="S13"/>
  <c r="P51" s="1"/>
  <c r="F14"/>
  <c r="I14"/>
  <c r="K14"/>
  <c r="M14"/>
  <c r="P14"/>
  <c r="R14"/>
  <c r="Q47" s="1"/>
  <c r="S14"/>
  <c r="V14"/>
  <c r="Q67" s="1"/>
  <c r="F15"/>
  <c r="I15"/>
  <c r="K15"/>
  <c r="M15"/>
  <c r="P15"/>
  <c r="S15"/>
  <c r="C16"/>
  <c r="E16"/>
  <c r="J19"/>
  <c r="J37" s="1"/>
  <c r="L19"/>
  <c r="N19"/>
  <c r="N37" s="1"/>
  <c r="P19"/>
  <c r="R19"/>
  <c r="L24"/>
  <c r="L35" s="1"/>
  <c r="D25"/>
  <c r="G26"/>
  <c r="H26"/>
  <c r="I26"/>
  <c r="J26"/>
  <c r="K26"/>
  <c r="L26"/>
  <c r="L37" s="1"/>
  <c r="M26"/>
  <c r="N26"/>
  <c r="O26"/>
  <c r="P26"/>
  <c r="P37" s="1"/>
  <c r="Q26"/>
  <c r="D27"/>
  <c r="G28"/>
  <c r="I28"/>
  <c r="J28"/>
  <c r="J39" s="1"/>
  <c r="L28"/>
  <c r="N28"/>
  <c r="N39" s="1"/>
  <c r="P28"/>
  <c r="R28"/>
  <c r="R39" s="1"/>
  <c r="D29"/>
  <c r="G30"/>
  <c r="H30"/>
  <c r="I30"/>
  <c r="K30"/>
  <c r="L30"/>
  <c r="M30"/>
  <c r="N30"/>
  <c r="O30"/>
  <c r="P30"/>
  <c r="Q30"/>
  <c r="R30"/>
  <c r="R41" s="1"/>
  <c r="D31"/>
  <c r="D33"/>
  <c r="D34"/>
  <c r="D35"/>
  <c r="L39"/>
  <c r="P39"/>
  <c r="L41"/>
  <c r="P41"/>
  <c r="L45"/>
  <c r="K47"/>
  <c r="O47"/>
  <c r="J49"/>
  <c r="J59" s="1"/>
  <c r="N49"/>
  <c r="N59" s="1"/>
  <c r="G51"/>
  <c r="H51"/>
  <c r="I51"/>
  <c r="K51"/>
  <c r="M51"/>
  <c r="O51"/>
  <c r="Q51"/>
  <c r="R51"/>
  <c r="L55"/>
  <c r="H64"/>
  <c r="I64"/>
  <c r="J64"/>
  <c r="K64"/>
  <c r="M64"/>
  <c r="O64"/>
  <c r="Q64"/>
  <c r="R64"/>
  <c r="F152" i="17"/>
  <c r="C152"/>
  <c r="F149"/>
  <c r="C149"/>
  <c r="F150"/>
  <c r="C150"/>
  <c r="C15" i="41"/>
  <c r="C16" s="1"/>
  <c r="C25"/>
  <c r="C26"/>
  <c r="C35"/>
  <c r="C36" s="1"/>
  <c r="C55"/>
  <c r="C56"/>
  <c r="C75"/>
  <c r="C76"/>
  <c r="C85"/>
  <c r="C86"/>
  <c r="C70"/>
  <c r="C71"/>
  <c r="C80"/>
  <c r="C81"/>
  <c r="D25"/>
  <c r="D26"/>
  <c r="D35"/>
  <c r="D36"/>
  <c r="D55"/>
  <c r="D56"/>
  <c r="D75"/>
  <c r="D76"/>
  <c r="D85"/>
  <c r="E85" s="1"/>
  <c r="E86" s="1"/>
  <c r="D86"/>
  <c r="D70"/>
  <c r="D71"/>
  <c r="D80"/>
  <c r="E80" s="1"/>
  <c r="E81" s="1"/>
  <c r="D81"/>
  <c r="E15"/>
  <c r="E16"/>
  <c r="E25"/>
  <c r="E26" s="1"/>
  <c r="E35"/>
  <c r="E36"/>
  <c r="E51"/>
  <c r="E55"/>
  <c r="E56"/>
  <c r="E75"/>
  <c r="E76" s="1"/>
  <c r="E70"/>
  <c r="F15"/>
  <c r="F16"/>
  <c r="F25"/>
  <c r="F26" s="1"/>
  <c r="F35"/>
  <c r="F36"/>
  <c r="F55"/>
  <c r="F56" s="1"/>
  <c r="F75"/>
  <c r="F76"/>
  <c r="F85"/>
  <c r="F80"/>
  <c r="G15"/>
  <c r="G16" s="1"/>
  <c r="G25"/>
  <c r="G26"/>
  <c r="G35"/>
  <c r="G36" s="1"/>
  <c r="G55"/>
  <c r="G56"/>
  <c r="G75"/>
  <c r="G76" s="1"/>
  <c r="H15"/>
  <c r="H16"/>
  <c r="H35"/>
  <c r="H36" s="1"/>
  <c r="H55"/>
  <c r="H56"/>
  <c r="I11"/>
  <c r="I16"/>
  <c r="I21"/>
  <c r="I25"/>
  <c r="I26"/>
  <c r="I35"/>
  <c r="I36"/>
  <c r="I41"/>
  <c r="I46"/>
  <c r="I51"/>
  <c r="I55"/>
  <c r="I56"/>
  <c r="I61"/>
  <c r="I66"/>
  <c r="I76"/>
  <c r="I31"/>
  <c r="J15"/>
  <c r="J16" s="1"/>
  <c r="J25"/>
  <c r="J26"/>
  <c r="J35"/>
  <c r="J36" s="1"/>
  <c r="J55"/>
  <c r="J56"/>
  <c r="K25"/>
  <c r="K26" s="1"/>
  <c r="K35"/>
  <c r="K36"/>
  <c r="K55"/>
  <c r="K56" s="1"/>
  <c r="L25"/>
  <c r="L26"/>
  <c r="L35"/>
  <c r="L36" s="1"/>
  <c r="M25"/>
  <c r="M26"/>
  <c r="M35"/>
  <c r="M36" s="1"/>
  <c r="M55"/>
  <c r="M56"/>
  <c r="M76"/>
  <c r="N15"/>
  <c r="N16"/>
  <c r="N25"/>
  <c r="N26"/>
  <c r="N35"/>
  <c r="N36"/>
  <c r="N55"/>
  <c r="N56"/>
  <c r="N75"/>
  <c r="N76"/>
  <c r="C480"/>
  <c r="D480"/>
  <c r="E480"/>
  <c r="F480"/>
  <c r="G480"/>
  <c r="H480"/>
  <c r="I480"/>
  <c r="J480"/>
  <c r="K480"/>
  <c r="L480"/>
  <c r="M480"/>
  <c r="N480"/>
  <c r="O480"/>
  <c r="C111"/>
  <c r="C112"/>
  <c r="C120"/>
  <c r="C122" s="1"/>
  <c r="C121"/>
  <c r="C131"/>
  <c r="C132" s="1"/>
  <c r="C137"/>
  <c r="C155"/>
  <c r="C156"/>
  <c r="C157" s="1"/>
  <c r="C180"/>
  <c r="C181"/>
  <c r="C182"/>
  <c r="C165"/>
  <c r="C167" s="1"/>
  <c r="C166"/>
  <c r="D166" s="1"/>
  <c r="C175"/>
  <c r="C177" s="1"/>
  <c r="C176"/>
  <c r="D111"/>
  <c r="D112"/>
  <c r="D120"/>
  <c r="D121"/>
  <c r="D122" s="1"/>
  <c r="D131"/>
  <c r="D132" s="1"/>
  <c r="D155"/>
  <c r="D157" s="1"/>
  <c r="D156"/>
  <c r="D180"/>
  <c r="D181"/>
  <c r="D182" s="1"/>
  <c r="D165"/>
  <c r="D175"/>
  <c r="D177" s="1"/>
  <c r="E111"/>
  <c r="E112" s="1"/>
  <c r="E120"/>
  <c r="E121"/>
  <c r="F121" s="1"/>
  <c r="G121" s="1"/>
  <c r="E155"/>
  <c r="E156"/>
  <c r="E157"/>
  <c r="E180"/>
  <c r="E182" s="1"/>
  <c r="E181"/>
  <c r="E165"/>
  <c r="E175"/>
  <c r="E177"/>
  <c r="F111"/>
  <c r="F112"/>
  <c r="F120"/>
  <c r="F131"/>
  <c r="F132" s="1"/>
  <c r="F147"/>
  <c r="F155"/>
  <c r="F156"/>
  <c r="F157" s="1"/>
  <c r="F180"/>
  <c r="F181"/>
  <c r="F182"/>
  <c r="F165"/>
  <c r="F175"/>
  <c r="F177" s="1"/>
  <c r="F178" s="1"/>
  <c r="G111"/>
  <c r="G112" s="1"/>
  <c r="G120"/>
  <c r="G131"/>
  <c r="G132" s="1"/>
  <c r="G155"/>
  <c r="G156"/>
  <c r="G157" s="1"/>
  <c r="G180"/>
  <c r="G181"/>
  <c r="G182"/>
  <c r="G165"/>
  <c r="G175"/>
  <c r="G177" s="1"/>
  <c r="G178" s="1"/>
  <c r="H111"/>
  <c r="H112" s="1"/>
  <c r="H120"/>
  <c r="H131"/>
  <c r="H132" s="1"/>
  <c r="H156"/>
  <c r="H157"/>
  <c r="H180"/>
  <c r="H182" s="1"/>
  <c r="H183" s="1"/>
  <c r="H181"/>
  <c r="H165"/>
  <c r="H175"/>
  <c r="H177"/>
  <c r="I107"/>
  <c r="I111"/>
  <c r="I112" s="1"/>
  <c r="I120"/>
  <c r="I117"/>
  <c r="I132"/>
  <c r="I137"/>
  <c r="I142"/>
  <c r="I147"/>
  <c r="I152"/>
  <c r="I157"/>
  <c r="I162"/>
  <c r="I172"/>
  <c r="I180"/>
  <c r="I181"/>
  <c r="I182"/>
  <c r="I165"/>
  <c r="I127"/>
  <c r="I175"/>
  <c r="I177" s="1"/>
  <c r="I178" s="1"/>
  <c r="J111"/>
  <c r="J112" s="1"/>
  <c r="J120"/>
  <c r="J131"/>
  <c r="J132" s="1"/>
  <c r="J156"/>
  <c r="J157" s="1"/>
  <c r="J180"/>
  <c r="J181"/>
  <c r="J182"/>
  <c r="J165"/>
  <c r="J177"/>
  <c r="K111"/>
  <c r="K112"/>
  <c r="K120"/>
  <c r="K131"/>
  <c r="K132" s="1"/>
  <c r="K156"/>
  <c r="K157" s="1"/>
  <c r="K180"/>
  <c r="K182" s="1"/>
  <c r="K183" s="1"/>
  <c r="K181"/>
  <c r="K165"/>
  <c r="K177"/>
  <c r="L111"/>
  <c r="L112" s="1"/>
  <c r="L120"/>
  <c r="L131"/>
  <c r="L132" s="1"/>
  <c r="L156"/>
  <c r="L157" s="1"/>
  <c r="L180"/>
  <c r="L181"/>
  <c r="L182"/>
  <c r="L165"/>
  <c r="L177"/>
  <c r="M111"/>
  <c r="M112"/>
  <c r="M120"/>
  <c r="M131"/>
  <c r="M132" s="1"/>
  <c r="M156"/>
  <c r="M157" s="1"/>
  <c r="M180"/>
  <c r="M182" s="1"/>
  <c r="M183" s="1"/>
  <c r="M181"/>
  <c r="M165"/>
  <c r="M177"/>
  <c r="N111"/>
  <c r="N112" s="1"/>
  <c r="N120"/>
  <c r="N131"/>
  <c r="N132" s="1"/>
  <c r="N155"/>
  <c r="N157" s="1"/>
  <c r="N156"/>
  <c r="N180"/>
  <c r="N181"/>
  <c r="N182" s="1"/>
  <c r="N183" s="1"/>
  <c r="N165"/>
  <c r="N175"/>
  <c r="N177" s="1"/>
  <c r="N178" s="1"/>
  <c r="C199"/>
  <c r="C200"/>
  <c r="C201" s="1"/>
  <c r="C234"/>
  <c r="C235"/>
  <c r="C236"/>
  <c r="C254"/>
  <c r="C256" s="1"/>
  <c r="C255"/>
  <c r="C219"/>
  <c r="C221" s="1"/>
  <c r="C220"/>
  <c r="D220" s="1"/>
  <c r="D199"/>
  <c r="D201" s="1"/>
  <c r="D200"/>
  <c r="D234"/>
  <c r="D236" s="1"/>
  <c r="D235"/>
  <c r="E235" s="1"/>
  <c r="D254"/>
  <c r="D255"/>
  <c r="E255" s="1"/>
  <c r="F255" s="1"/>
  <c r="D219"/>
  <c r="E199"/>
  <c r="E200"/>
  <c r="E201" s="1"/>
  <c r="E234"/>
  <c r="E254"/>
  <c r="E219"/>
  <c r="F199"/>
  <c r="F201" s="1"/>
  <c r="F200"/>
  <c r="F234"/>
  <c r="F254"/>
  <c r="F219"/>
  <c r="G199"/>
  <c r="G200"/>
  <c r="G201" s="1"/>
  <c r="G234"/>
  <c r="G254"/>
  <c r="G219"/>
  <c r="H199"/>
  <c r="H201" s="1"/>
  <c r="H200"/>
  <c r="H234"/>
  <c r="H254"/>
  <c r="H219"/>
  <c r="I199"/>
  <c r="I200"/>
  <c r="I201" s="1"/>
  <c r="I234"/>
  <c r="I254"/>
  <c r="I219"/>
  <c r="J283"/>
  <c r="J484" s="1"/>
  <c r="K199"/>
  <c r="K200"/>
  <c r="K201" s="1"/>
  <c r="K234"/>
  <c r="K235"/>
  <c r="K236"/>
  <c r="K254"/>
  <c r="K256" s="1"/>
  <c r="K255"/>
  <c r="K219"/>
  <c r="K221" s="1"/>
  <c r="K220"/>
  <c r="L220" s="1"/>
  <c r="L199"/>
  <c r="L201" s="1"/>
  <c r="L200"/>
  <c r="L234"/>
  <c r="L236" s="1"/>
  <c r="L235"/>
  <c r="M235" s="1"/>
  <c r="L254"/>
  <c r="L255"/>
  <c r="M255" s="1"/>
  <c r="N255" s="1"/>
  <c r="N256" s="1"/>
  <c r="L219"/>
  <c r="M199"/>
  <c r="M200"/>
  <c r="M201" s="1"/>
  <c r="M234"/>
  <c r="M254"/>
  <c r="M219"/>
  <c r="N199"/>
  <c r="N201" s="1"/>
  <c r="N200"/>
  <c r="N234"/>
  <c r="N254"/>
  <c r="N219"/>
  <c r="C299"/>
  <c r="C300" s="1"/>
  <c r="C308"/>
  <c r="C309"/>
  <c r="C310"/>
  <c r="C404" s="1"/>
  <c r="C319"/>
  <c r="C320" s="1"/>
  <c r="C339"/>
  <c r="C340"/>
  <c r="C434" s="1"/>
  <c r="C358"/>
  <c r="C360" s="1"/>
  <c r="C359"/>
  <c r="C368"/>
  <c r="C370" s="1"/>
  <c r="C369"/>
  <c r="C363"/>
  <c r="C364"/>
  <c r="C365" s="1"/>
  <c r="D299"/>
  <c r="D300" s="1"/>
  <c r="D308"/>
  <c r="D309"/>
  <c r="D310"/>
  <c r="D319"/>
  <c r="D320" s="1"/>
  <c r="D321" s="1"/>
  <c r="D339"/>
  <c r="D340"/>
  <c r="D358"/>
  <c r="D360" s="1"/>
  <c r="D359"/>
  <c r="D368"/>
  <c r="D370" s="1"/>
  <c r="D371" s="1"/>
  <c r="D369"/>
  <c r="D363"/>
  <c r="D364"/>
  <c r="D365" s="1"/>
  <c r="D366" s="1"/>
  <c r="E298"/>
  <c r="E300" s="1"/>
  <c r="E299"/>
  <c r="E308"/>
  <c r="E309"/>
  <c r="E310" s="1"/>
  <c r="E319"/>
  <c r="E320" s="1"/>
  <c r="E339"/>
  <c r="E340" s="1"/>
  <c r="E358"/>
  <c r="E359"/>
  <c r="E360"/>
  <c r="E454" s="1"/>
  <c r="E368"/>
  <c r="E370" s="1"/>
  <c r="E371" s="1"/>
  <c r="E369"/>
  <c r="E363"/>
  <c r="F298"/>
  <c r="F300" s="1"/>
  <c r="F299"/>
  <c r="F308"/>
  <c r="F319"/>
  <c r="F320"/>
  <c r="F358"/>
  <c r="F360" s="1"/>
  <c r="F359"/>
  <c r="F368"/>
  <c r="F370" s="1"/>
  <c r="F371" s="1"/>
  <c r="F369"/>
  <c r="G369" s="1"/>
  <c r="F363"/>
  <c r="G299"/>
  <c r="G300" s="1"/>
  <c r="G308"/>
  <c r="G319"/>
  <c r="G320" s="1"/>
  <c r="G321" s="1"/>
  <c r="G358"/>
  <c r="G359"/>
  <c r="G360" s="1"/>
  <c r="G368"/>
  <c r="G363"/>
  <c r="H299"/>
  <c r="H300" s="1"/>
  <c r="H308"/>
  <c r="H319"/>
  <c r="H320"/>
  <c r="H339"/>
  <c r="H340" s="1"/>
  <c r="H358"/>
  <c r="H359"/>
  <c r="H360" s="1"/>
  <c r="H368"/>
  <c r="H363"/>
  <c r="I299"/>
  <c r="I300" s="1"/>
  <c r="I308"/>
  <c r="I319"/>
  <c r="I320"/>
  <c r="I414" s="1"/>
  <c r="I358"/>
  <c r="I360" s="1"/>
  <c r="I359"/>
  <c r="I368"/>
  <c r="I363"/>
  <c r="J298"/>
  <c r="J300" s="1"/>
  <c r="J299"/>
  <c r="J308"/>
  <c r="J319"/>
  <c r="J320" s="1"/>
  <c r="J321" s="1"/>
  <c r="J358"/>
  <c r="J360" s="1"/>
  <c r="J359"/>
  <c r="J368"/>
  <c r="J363"/>
  <c r="K299"/>
  <c r="K300"/>
  <c r="K308"/>
  <c r="K319"/>
  <c r="K320" s="1"/>
  <c r="K321" s="1"/>
  <c r="K358"/>
  <c r="K359"/>
  <c r="K360"/>
  <c r="K454" s="1"/>
  <c r="K368"/>
  <c r="K363"/>
  <c r="L299"/>
  <c r="L300" s="1"/>
  <c r="L308"/>
  <c r="L319"/>
  <c r="L320"/>
  <c r="L339"/>
  <c r="L340" s="1"/>
  <c r="L358"/>
  <c r="L359"/>
  <c r="L360"/>
  <c r="L454" s="1"/>
  <c r="L455" s="1"/>
  <c r="L368"/>
  <c r="L363"/>
  <c r="M298"/>
  <c r="M300" s="1"/>
  <c r="M299"/>
  <c r="M308"/>
  <c r="M319"/>
  <c r="M320"/>
  <c r="M339"/>
  <c r="M340" s="1"/>
  <c r="M358"/>
  <c r="M359"/>
  <c r="M360" s="1"/>
  <c r="M368"/>
  <c r="M363"/>
  <c r="N298"/>
  <c r="N299"/>
  <c r="N300"/>
  <c r="N308"/>
  <c r="N319"/>
  <c r="N320" s="1"/>
  <c r="N321" s="1"/>
  <c r="N358"/>
  <c r="N359"/>
  <c r="N360"/>
  <c r="N454" s="1"/>
  <c r="N368"/>
  <c r="N363"/>
  <c r="O486"/>
  <c r="O487"/>
  <c r="C399"/>
  <c r="C419"/>
  <c r="C424"/>
  <c r="C429"/>
  <c r="C466"/>
  <c r="D399"/>
  <c r="D419"/>
  <c r="D429"/>
  <c r="D434"/>
  <c r="D466"/>
  <c r="E399"/>
  <c r="E419"/>
  <c r="E429"/>
  <c r="E439"/>
  <c r="E466"/>
  <c r="F399"/>
  <c r="F419"/>
  <c r="F429"/>
  <c r="F434"/>
  <c r="F466"/>
  <c r="G399"/>
  <c r="G419"/>
  <c r="G429"/>
  <c r="G434"/>
  <c r="G466"/>
  <c r="H399"/>
  <c r="H419"/>
  <c r="H429"/>
  <c r="H439"/>
  <c r="H466"/>
  <c r="I399"/>
  <c r="I419"/>
  <c r="I429"/>
  <c r="I434"/>
  <c r="I439"/>
  <c r="I466"/>
  <c r="J389"/>
  <c r="J399"/>
  <c r="J419"/>
  <c r="J424"/>
  <c r="J429"/>
  <c r="J434"/>
  <c r="J444"/>
  <c r="J466"/>
  <c r="J409"/>
  <c r="K399"/>
  <c r="K419"/>
  <c r="K424"/>
  <c r="K429"/>
  <c r="K434"/>
  <c r="K466"/>
  <c r="L399"/>
  <c r="L419"/>
  <c r="L429"/>
  <c r="L466"/>
  <c r="M399"/>
  <c r="M419"/>
  <c r="M429"/>
  <c r="M466"/>
  <c r="N399"/>
  <c r="N419"/>
  <c r="N429"/>
  <c r="N434"/>
  <c r="N466"/>
  <c r="C385"/>
  <c r="D385"/>
  <c r="O385" s="1"/>
  <c r="E385"/>
  <c r="F385"/>
  <c r="G385"/>
  <c r="H385"/>
  <c r="I385"/>
  <c r="J385"/>
  <c r="K385"/>
  <c r="L385"/>
  <c r="M385"/>
  <c r="N385"/>
  <c r="C387"/>
  <c r="C392"/>
  <c r="C397"/>
  <c r="C214"/>
  <c r="C281" s="1"/>
  <c r="C412"/>
  <c r="C135"/>
  <c r="C417"/>
  <c r="C422"/>
  <c r="C427"/>
  <c r="C244"/>
  <c r="C432"/>
  <c r="C437"/>
  <c r="C442"/>
  <c r="C452"/>
  <c r="C462"/>
  <c r="C447"/>
  <c r="C407"/>
  <c r="C457"/>
  <c r="D387"/>
  <c r="D392"/>
  <c r="D397"/>
  <c r="D214"/>
  <c r="D402" s="1"/>
  <c r="D412"/>
  <c r="D417"/>
  <c r="D422"/>
  <c r="D427"/>
  <c r="D244"/>
  <c r="D432"/>
  <c r="D437"/>
  <c r="D442"/>
  <c r="D452"/>
  <c r="D462"/>
  <c r="D447"/>
  <c r="D407"/>
  <c r="D457"/>
  <c r="E387"/>
  <c r="E475" s="1"/>
  <c r="E474" s="1"/>
  <c r="E392"/>
  <c r="E397"/>
  <c r="E402"/>
  <c r="E412"/>
  <c r="E417"/>
  <c r="E422"/>
  <c r="E49"/>
  <c r="E427"/>
  <c r="E244"/>
  <c r="E432"/>
  <c r="E437"/>
  <c r="E442"/>
  <c r="E452"/>
  <c r="E462"/>
  <c r="E447"/>
  <c r="E407"/>
  <c r="E457"/>
  <c r="F387"/>
  <c r="F392"/>
  <c r="F470" s="1"/>
  <c r="F469" s="1"/>
  <c r="F397"/>
  <c r="F402"/>
  <c r="F412"/>
  <c r="F417"/>
  <c r="F422"/>
  <c r="F145"/>
  <c r="F427"/>
  <c r="F432"/>
  <c r="F437"/>
  <c r="F442"/>
  <c r="F452"/>
  <c r="F462"/>
  <c r="F447"/>
  <c r="F407"/>
  <c r="F457"/>
  <c r="F475"/>
  <c r="F474" s="1"/>
  <c r="G387"/>
  <c r="G392"/>
  <c r="G397"/>
  <c r="G475" s="1"/>
  <c r="G474" s="1"/>
  <c r="G402"/>
  <c r="G412"/>
  <c r="G417"/>
  <c r="G422"/>
  <c r="G427"/>
  <c r="G244"/>
  <c r="G432"/>
  <c r="G437"/>
  <c r="G442"/>
  <c r="G452"/>
  <c r="G462"/>
  <c r="G447"/>
  <c r="G407"/>
  <c r="G457"/>
  <c r="H387"/>
  <c r="H392"/>
  <c r="H470" s="1"/>
  <c r="H469" s="1"/>
  <c r="H397"/>
  <c r="H402"/>
  <c r="H412"/>
  <c r="H417"/>
  <c r="H422"/>
  <c r="H427"/>
  <c r="H244"/>
  <c r="H432"/>
  <c r="H437"/>
  <c r="H442"/>
  <c r="H452"/>
  <c r="H462"/>
  <c r="H447"/>
  <c r="H407"/>
  <c r="H457"/>
  <c r="H475"/>
  <c r="I387"/>
  <c r="I392"/>
  <c r="I397"/>
  <c r="I402"/>
  <c r="I475" s="1"/>
  <c r="I474" s="1"/>
  <c r="I412"/>
  <c r="I417"/>
  <c r="I422"/>
  <c r="I427"/>
  <c r="I244"/>
  <c r="I432"/>
  <c r="I155"/>
  <c r="I437"/>
  <c r="I442"/>
  <c r="I452"/>
  <c r="I462"/>
  <c r="I447"/>
  <c r="I407"/>
  <c r="I457"/>
  <c r="J387"/>
  <c r="J470" s="1"/>
  <c r="J469" s="1"/>
  <c r="J392"/>
  <c r="J397"/>
  <c r="J402"/>
  <c r="J412"/>
  <c r="J417"/>
  <c r="J422"/>
  <c r="J427"/>
  <c r="J432"/>
  <c r="J437"/>
  <c r="J442"/>
  <c r="J452"/>
  <c r="J462"/>
  <c r="J461" s="1"/>
  <c r="J447"/>
  <c r="J407"/>
  <c r="J457"/>
  <c r="J475"/>
  <c r="J474" s="1"/>
  <c r="K387"/>
  <c r="K392"/>
  <c r="K397"/>
  <c r="K475" s="1"/>
  <c r="K474" s="1"/>
  <c r="K402"/>
  <c r="K412"/>
  <c r="K417"/>
  <c r="K422"/>
  <c r="K427"/>
  <c r="K244"/>
  <c r="K432"/>
  <c r="K437"/>
  <c r="K442"/>
  <c r="K452"/>
  <c r="K462"/>
  <c r="K447"/>
  <c r="K407"/>
  <c r="K457"/>
  <c r="L387"/>
  <c r="L392"/>
  <c r="L397"/>
  <c r="L214"/>
  <c r="L402"/>
  <c r="L412"/>
  <c r="L417"/>
  <c r="L422"/>
  <c r="L427"/>
  <c r="L244"/>
  <c r="L432" s="1"/>
  <c r="L437"/>
  <c r="L442"/>
  <c r="L452"/>
  <c r="O452" s="1"/>
  <c r="L462"/>
  <c r="L447"/>
  <c r="L407"/>
  <c r="L457"/>
  <c r="L456" s="1"/>
  <c r="M387"/>
  <c r="M392"/>
  <c r="M397"/>
  <c r="M475" s="1"/>
  <c r="M474" s="1"/>
  <c r="M402"/>
  <c r="M412"/>
  <c r="M417"/>
  <c r="M422"/>
  <c r="M427"/>
  <c r="M244"/>
  <c r="M432"/>
  <c r="M437"/>
  <c r="M442"/>
  <c r="M452"/>
  <c r="M462"/>
  <c r="M447"/>
  <c r="O447" s="1"/>
  <c r="M407"/>
  <c r="M457"/>
  <c r="N387"/>
  <c r="N392"/>
  <c r="N397"/>
  <c r="N214"/>
  <c r="N402"/>
  <c r="N412"/>
  <c r="N417"/>
  <c r="N422"/>
  <c r="N427"/>
  <c r="N244"/>
  <c r="N432" s="1"/>
  <c r="N437"/>
  <c r="N442"/>
  <c r="O442" s="1"/>
  <c r="N452"/>
  <c r="N462"/>
  <c r="N447"/>
  <c r="N407"/>
  <c r="N457"/>
  <c r="H474"/>
  <c r="O197"/>
  <c r="O291"/>
  <c r="C375"/>
  <c r="D375"/>
  <c r="E281"/>
  <c r="E375"/>
  <c r="F281"/>
  <c r="F375"/>
  <c r="G281"/>
  <c r="G375"/>
  <c r="G470"/>
  <c r="H281"/>
  <c r="H375"/>
  <c r="I281"/>
  <c r="I375"/>
  <c r="J281"/>
  <c r="J375"/>
  <c r="K281"/>
  <c r="K375"/>
  <c r="K470"/>
  <c r="L375"/>
  <c r="M281"/>
  <c r="M375"/>
  <c r="N281"/>
  <c r="N375"/>
  <c r="K469"/>
  <c r="G469"/>
  <c r="O466"/>
  <c r="O462"/>
  <c r="N461"/>
  <c r="M461"/>
  <c r="L461"/>
  <c r="K461"/>
  <c r="I461"/>
  <c r="H461"/>
  <c r="G461"/>
  <c r="F461"/>
  <c r="E461"/>
  <c r="D461"/>
  <c r="C461"/>
  <c r="O457"/>
  <c r="N456"/>
  <c r="M456"/>
  <c r="K456"/>
  <c r="J456"/>
  <c r="I456"/>
  <c r="H456"/>
  <c r="G456"/>
  <c r="F456"/>
  <c r="E456"/>
  <c r="D456"/>
  <c r="C456"/>
  <c r="D453"/>
  <c r="C453"/>
  <c r="N451"/>
  <c r="M451"/>
  <c r="K451"/>
  <c r="J451"/>
  <c r="I451"/>
  <c r="H451"/>
  <c r="G451"/>
  <c r="F451"/>
  <c r="E451"/>
  <c r="D451"/>
  <c r="C451"/>
  <c r="N446"/>
  <c r="M446"/>
  <c r="L446"/>
  <c r="K446"/>
  <c r="J446"/>
  <c r="I446"/>
  <c r="H446"/>
  <c r="G446"/>
  <c r="F446"/>
  <c r="E446"/>
  <c r="D446"/>
  <c r="C446"/>
  <c r="J445"/>
  <c r="J443"/>
  <c r="N441"/>
  <c r="M441"/>
  <c r="L441"/>
  <c r="K441"/>
  <c r="J441"/>
  <c r="I441"/>
  <c r="H441"/>
  <c r="G441"/>
  <c r="F441"/>
  <c r="E441"/>
  <c r="D441"/>
  <c r="C441"/>
  <c r="I440"/>
  <c r="H440"/>
  <c r="E440"/>
  <c r="O437"/>
  <c r="I438"/>
  <c r="E438"/>
  <c r="N436"/>
  <c r="M436"/>
  <c r="L436"/>
  <c r="K436"/>
  <c r="J436"/>
  <c r="I436"/>
  <c r="H436"/>
  <c r="G436"/>
  <c r="F436"/>
  <c r="E436"/>
  <c r="D436"/>
  <c r="C436"/>
  <c r="N435"/>
  <c r="K435"/>
  <c r="J435"/>
  <c r="I435"/>
  <c r="G435"/>
  <c r="F435"/>
  <c r="D435"/>
  <c r="K433"/>
  <c r="J433"/>
  <c r="I433"/>
  <c r="G433"/>
  <c r="F433"/>
  <c r="D433"/>
  <c r="M431"/>
  <c r="K431"/>
  <c r="J431"/>
  <c r="I431"/>
  <c r="H431"/>
  <c r="G431"/>
  <c r="F431"/>
  <c r="E431"/>
  <c r="D431"/>
  <c r="C431"/>
  <c r="O429"/>
  <c r="N430"/>
  <c r="M430"/>
  <c r="L430"/>
  <c r="K430"/>
  <c r="J430"/>
  <c r="I430"/>
  <c r="H430"/>
  <c r="G430"/>
  <c r="F430"/>
  <c r="E430"/>
  <c r="D430"/>
  <c r="C430"/>
  <c r="O427"/>
  <c r="O428" s="1"/>
  <c r="N428"/>
  <c r="M428"/>
  <c r="L428"/>
  <c r="K428"/>
  <c r="J428"/>
  <c r="I428"/>
  <c r="G428"/>
  <c r="F428"/>
  <c r="E428"/>
  <c r="D428"/>
  <c r="C428"/>
  <c r="N426"/>
  <c r="M426"/>
  <c r="L426"/>
  <c r="K426"/>
  <c r="J426"/>
  <c r="I426"/>
  <c r="H426"/>
  <c r="G426"/>
  <c r="F426"/>
  <c r="E426"/>
  <c r="D426"/>
  <c r="C426"/>
  <c r="K425"/>
  <c r="J425"/>
  <c r="C425"/>
  <c r="O422"/>
  <c r="K423"/>
  <c r="J423"/>
  <c r="C423"/>
  <c r="N421"/>
  <c r="M421"/>
  <c r="L421"/>
  <c r="K421"/>
  <c r="J421"/>
  <c r="I421"/>
  <c r="H421"/>
  <c r="G421"/>
  <c r="F421"/>
  <c r="E421"/>
  <c r="D421"/>
  <c r="C421"/>
  <c r="O419"/>
  <c r="N420"/>
  <c r="M420"/>
  <c r="L420"/>
  <c r="K420"/>
  <c r="J420"/>
  <c r="I420"/>
  <c r="H420"/>
  <c r="G420"/>
  <c r="F420"/>
  <c r="E420"/>
  <c r="D420"/>
  <c r="C420"/>
  <c r="O417"/>
  <c r="O418" s="1"/>
  <c r="N418"/>
  <c r="M418"/>
  <c r="L418"/>
  <c r="K418"/>
  <c r="J418"/>
  <c r="I418"/>
  <c r="G418"/>
  <c r="F418"/>
  <c r="E418"/>
  <c r="D418"/>
  <c r="C418"/>
  <c r="N416"/>
  <c r="M416"/>
  <c r="L416"/>
  <c r="K416"/>
  <c r="J416"/>
  <c r="I416"/>
  <c r="H416"/>
  <c r="G416"/>
  <c r="F416"/>
  <c r="E416"/>
  <c r="D416"/>
  <c r="C416"/>
  <c r="O412"/>
  <c r="N411"/>
  <c r="M411"/>
  <c r="L411"/>
  <c r="K411"/>
  <c r="J411"/>
  <c r="I411"/>
  <c r="H411"/>
  <c r="G411"/>
  <c r="F411"/>
  <c r="E411"/>
  <c r="D411"/>
  <c r="C411"/>
  <c r="J410"/>
  <c r="O407"/>
  <c r="J408"/>
  <c r="N406"/>
  <c r="M406"/>
  <c r="L406"/>
  <c r="K406"/>
  <c r="J406"/>
  <c r="I406"/>
  <c r="H406"/>
  <c r="G406"/>
  <c r="F406"/>
  <c r="E406"/>
  <c r="D406"/>
  <c r="C406"/>
  <c r="N403"/>
  <c r="M403"/>
  <c r="L403"/>
  <c r="J403"/>
  <c r="I403"/>
  <c r="G403"/>
  <c r="E403"/>
  <c r="N401"/>
  <c r="M401"/>
  <c r="L401"/>
  <c r="K401"/>
  <c r="J401"/>
  <c r="I401"/>
  <c r="H401"/>
  <c r="G401"/>
  <c r="F401"/>
  <c r="E401"/>
  <c r="O399"/>
  <c r="N400"/>
  <c r="M400"/>
  <c r="L400"/>
  <c r="K400"/>
  <c r="J400"/>
  <c r="I400"/>
  <c r="H400"/>
  <c r="G400"/>
  <c r="F400"/>
  <c r="E400"/>
  <c r="D400"/>
  <c r="C400"/>
  <c r="O397"/>
  <c r="O398"/>
  <c r="N398"/>
  <c r="M398"/>
  <c r="L398"/>
  <c r="K398"/>
  <c r="J398"/>
  <c r="I398"/>
  <c r="G398"/>
  <c r="F398"/>
  <c r="E398"/>
  <c r="D398"/>
  <c r="C398"/>
  <c r="N396"/>
  <c r="M396"/>
  <c r="L396"/>
  <c r="K396"/>
  <c r="J396"/>
  <c r="I396"/>
  <c r="H396"/>
  <c r="G396"/>
  <c r="F396"/>
  <c r="E396"/>
  <c r="D396"/>
  <c r="C396"/>
  <c r="O392"/>
  <c r="N391"/>
  <c r="M391"/>
  <c r="L391"/>
  <c r="K391"/>
  <c r="J391"/>
  <c r="I391"/>
  <c r="H391"/>
  <c r="G391"/>
  <c r="F391"/>
  <c r="E391"/>
  <c r="D391"/>
  <c r="C391"/>
  <c r="J390"/>
  <c r="O387"/>
  <c r="J388"/>
  <c r="N386"/>
  <c r="M386"/>
  <c r="L386"/>
  <c r="K386"/>
  <c r="J386"/>
  <c r="I386"/>
  <c r="H386"/>
  <c r="G386"/>
  <c r="F386"/>
  <c r="E386"/>
  <c r="D386"/>
  <c r="C386"/>
  <c r="P385"/>
  <c r="N384"/>
  <c r="M384"/>
  <c r="L384"/>
  <c r="K384"/>
  <c r="J384"/>
  <c r="I384"/>
  <c r="H384"/>
  <c r="G384"/>
  <c r="F384"/>
  <c r="E384"/>
  <c r="D384"/>
  <c r="C384"/>
  <c r="A383"/>
  <c r="A382"/>
  <c r="O375"/>
  <c r="O7"/>
  <c r="O374" s="1"/>
  <c r="N374"/>
  <c r="M374"/>
  <c r="L374"/>
  <c r="K374"/>
  <c r="J374"/>
  <c r="I374"/>
  <c r="H374"/>
  <c r="G374"/>
  <c r="F374"/>
  <c r="E374"/>
  <c r="D374"/>
  <c r="C374"/>
  <c r="O373"/>
  <c r="O368"/>
  <c r="O369" s="1"/>
  <c r="O367"/>
  <c r="O363"/>
  <c r="O364"/>
  <c r="O362"/>
  <c r="N361"/>
  <c r="L361"/>
  <c r="K361"/>
  <c r="E361"/>
  <c r="O358"/>
  <c r="O357" s="1"/>
  <c r="O355"/>
  <c r="O356"/>
  <c r="N356"/>
  <c r="M356"/>
  <c r="L356"/>
  <c r="K356"/>
  <c r="J356"/>
  <c r="I356"/>
  <c r="H356"/>
  <c r="G356"/>
  <c r="F356"/>
  <c r="E356"/>
  <c r="D356"/>
  <c r="C356"/>
  <c r="O353"/>
  <c r="O352" s="1"/>
  <c r="N354"/>
  <c r="M354"/>
  <c r="L354"/>
  <c r="K354"/>
  <c r="J354"/>
  <c r="I354"/>
  <c r="H354"/>
  <c r="G354"/>
  <c r="F354"/>
  <c r="E354"/>
  <c r="D354"/>
  <c r="C354"/>
  <c r="N352"/>
  <c r="M352"/>
  <c r="L352"/>
  <c r="K352"/>
  <c r="J352"/>
  <c r="I352"/>
  <c r="H352"/>
  <c r="G352"/>
  <c r="F352"/>
  <c r="E352"/>
  <c r="D352"/>
  <c r="C352"/>
  <c r="O350"/>
  <c r="O351" s="1"/>
  <c r="N351"/>
  <c r="M351"/>
  <c r="L351"/>
  <c r="K351"/>
  <c r="J351"/>
  <c r="I351"/>
  <c r="H351"/>
  <c r="G351"/>
  <c r="F351"/>
  <c r="E351"/>
  <c r="D351"/>
  <c r="C351"/>
  <c r="O348"/>
  <c r="O349" s="1"/>
  <c r="N349"/>
  <c r="M349"/>
  <c r="L349"/>
  <c r="K349"/>
  <c r="J349"/>
  <c r="I349"/>
  <c r="H349"/>
  <c r="G349"/>
  <c r="F349"/>
  <c r="E349"/>
  <c r="D349"/>
  <c r="C349"/>
  <c r="O347"/>
  <c r="N347"/>
  <c r="M347"/>
  <c r="L347"/>
  <c r="K347"/>
  <c r="J347"/>
  <c r="I347"/>
  <c r="H347"/>
  <c r="G347"/>
  <c r="F347"/>
  <c r="E347"/>
  <c r="D347"/>
  <c r="C347"/>
  <c r="O345"/>
  <c r="O346" s="1"/>
  <c r="N346"/>
  <c r="M346"/>
  <c r="L346"/>
  <c r="K346"/>
  <c r="J346"/>
  <c r="I346"/>
  <c r="H346"/>
  <c r="G346"/>
  <c r="F346"/>
  <c r="E346"/>
  <c r="D346"/>
  <c r="C346"/>
  <c r="O343"/>
  <c r="O344"/>
  <c r="N344"/>
  <c r="M344"/>
  <c r="L344"/>
  <c r="K344"/>
  <c r="J344"/>
  <c r="I344"/>
  <c r="H344"/>
  <c r="G344"/>
  <c r="F344"/>
  <c r="E344"/>
  <c r="D344"/>
  <c r="C344"/>
  <c r="O342"/>
  <c r="N342"/>
  <c r="M342"/>
  <c r="L342"/>
  <c r="K342"/>
  <c r="J342"/>
  <c r="I342"/>
  <c r="H342"/>
  <c r="G342"/>
  <c r="F342"/>
  <c r="E342"/>
  <c r="D342"/>
  <c r="C342"/>
  <c r="N341"/>
  <c r="K341"/>
  <c r="J341"/>
  <c r="I341"/>
  <c r="G341"/>
  <c r="F341"/>
  <c r="D341"/>
  <c r="C341"/>
  <c r="O338"/>
  <c r="N339"/>
  <c r="K339"/>
  <c r="J339"/>
  <c r="I339"/>
  <c r="G339"/>
  <c r="F339"/>
  <c r="O337"/>
  <c r="N337"/>
  <c r="H337"/>
  <c r="C337"/>
  <c r="O335"/>
  <c r="O334" s="1"/>
  <c r="N336"/>
  <c r="M336"/>
  <c r="L336"/>
  <c r="K336"/>
  <c r="J336"/>
  <c r="I336"/>
  <c r="H336"/>
  <c r="G336"/>
  <c r="F336"/>
  <c r="E336"/>
  <c r="D336"/>
  <c r="C336"/>
  <c r="O333"/>
  <c r="N334"/>
  <c r="M334"/>
  <c r="L334"/>
  <c r="K334"/>
  <c r="J334"/>
  <c r="I334"/>
  <c r="H334"/>
  <c r="G334"/>
  <c r="F334"/>
  <c r="E334"/>
  <c r="D334"/>
  <c r="C334"/>
  <c r="O332"/>
  <c r="N332"/>
  <c r="M332"/>
  <c r="L332"/>
  <c r="K332"/>
  <c r="J332"/>
  <c r="I332"/>
  <c r="H332"/>
  <c r="G332"/>
  <c r="F332"/>
  <c r="E332"/>
  <c r="D332"/>
  <c r="C332"/>
  <c r="O330"/>
  <c r="O331" s="1"/>
  <c r="N331"/>
  <c r="M331"/>
  <c r="L331"/>
  <c r="K331"/>
  <c r="J331"/>
  <c r="I331"/>
  <c r="H331"/>
  <c r="G331"/>
  <c r="F331"/>
  <c r="E331"/>
  <c r="D331"/>
  <c r="C331"/>
  <c r="O328"/>
  <c r="O329"/>
  <c r="N329"/>
  <c r="M329"/>
  <c r="L329"/>
  <c r="K329"/>
  <c r="J329"/>
  <c r="I329"/>
  <c r="H329"/>
  <c r="G329"/>
  <c r="F329"/>
  <c r="E329"/>
  <c r="D329"/>
  <c r="C329"/>
  <c r="O327"/>
  <c r="N327"/>
  <c r="M327"/>
  <c r="L327"/>
  <c r="K327"/>
  <c r="J327"/>
  <c r="I327"/>
  <c r="H327"/>
  <c r="G327"/>
  <c r="F327"/>
  <c r="E327"/>
  <c r="D327"/>
  <c r="C327"/>
  <c r="O325"/>
  <c r="O326"/>
  <c r="N326"/>
  <c r="M326"/>
  <c r="L326"/>
  <c r="K326"/>
  <c r="J326"/>
  <c r="I326"/>
  <c r="H326"/>
  <c r="G326"/>
  <c r="F326"/>
  <c r="E326"/>
  <c r="D326"/>
  <c r="C326"/>
  <c r="O323"/>
  <c r="O322" s="1"/>
  <c r="N324"/>
  <c r="M324"/>
  <c r="L324"/>
  <c r="K324"/>
  <c r="J324"/>
  <c r="I324"/>
  <c r="H324"/>
  <c r="G324"/>
  <c r="F324"/>
  <c r="E324"/>
  <c r="D324"/>
  <c r="C324"/>
  <c r="N322"/>
  <c r="M322"/>
  <c r="L322"/>
  <c r="K322"/>
  <c r="J322"/>
  <c r="I322"/>
  <c r="H322"/>
  <c r="G322"/>
  <c r="F322"/>
  <c r="E322"/>
  <c r="D322"/>
  <c r="C322"/>
  <c r="M321"/>
  <c r="L321"/>
  <c r="I321"/>
  <c r="H321"/>
  <c r="F321"/>
  <c r="O318"/>
  <c r="O317" s="1"/>
  <c r="D317"/>
  <c r="C317"/>
  <c r="O315"/>
  <c r="O316"/>
  <c r="N316"/>
  <c r="M316"/>
  <c r="L316"/>
  <c r="K316"/>
  <c r="J316"/>
  <c r="I316"/>
  <c r="H316"/>
  <c r="G316"/>
  <c r="F316"/>
  <c r="E316"/>
  <c r="D316"/>
  <c r="C316"/>
  <c r="O313"/>
  <c r="O312" s="1"/>
  <c r="N314"/>
  <c r="M314"/>
  <c r="L314"/>
  <c r="K314"/>
  <c r="J314"/>
  <c r="I314"/>
  <c r="H314"/>
  <c r="G314"/>
  <c r="F314"/>
  <c r="E314"/>
  <c r="D314"/>
  <c r="C314"/>
  <c r="N312"/>
  <c r="M312"/>
  <c r="L312"/>
  <c r="K312"/>
  <c r="J312"/>
  <c r="I312"/>
  <c r="H312"/>
  <c r="G312"/>
  <c r="F312"/>
  <c r="E312"/>
  <c r="D312"/>
  <c r="C312"/>
  <c r="D311"/>
  <c r="C311"/>
  <c r="O308"/>
  <c r="O307" s="1"/>
  <c r="O305"/>
  <c r="O304" s="1"/>
  <c r="N306"/>
  <c r="M306"/>
  <c r="L306"/>
  <c r="K306"/>
  <c r="J306"/>
  <c r="I306"/>
  <c r="H306"/>
  <c r="G306"/>
  <c r="F306"/>
  <c r="E306"/>
  <c r="D306"/>
  <c r="C306"/>
  <c r="O303"/>
  <c r="N304"/>
  <c r="M304"/>
  <c r="L304"/>
  <c r="K304"/>
  <c r="J304"/>
  <c r="I304"/>
  <c r="H304"/>
  <c r="G304"/>
  <c r="F304"/>
  <c r="E304"/>
  <c r="D304"/>
  <c r="C304"/>
  <c r="O302"/>
  <c r="N302"/>
  <c r="M302"/>
  <c r="L302"/>
  <c r="K302"/>
  <c r="J302"/>
  <c r="I302"/>
  <c r="H302"/>
  <c r="G302"/>
  <c r="F302"/>
  <c r="E302"/>
  <c r="D302"/>
  <c r="C302"/>
  <c r="N301"/>
  <c r="K301"/>
  <c r="O298"/>
  <c r="O299"/>
  <c r="O297"/>
  <c r="H297"/>
  <c r="C297"/>
  <c r="O295"/>
  <c r="O294" s="1"/>
  <c r="N296"/>
  <c r="M296"/>
  <c r="L296"/>
  <c r="K296"/>
  <c r="J296"/>
  <c r="I296"/>
  <c r="H296"/>
  <c r="G296"/>
  <c r="F296"/>
  <c r="E296"/>
  <c r="D296"/>
  <c r="C296"/>
  <c r="O293"/>
  <c r="N294"/>
  <c r="M294"/>
  <c r="L294"/>
  <c r="K294"/>
  <c r="J294"/>
  <c r="I294"/>
  <c r="H294"/>
  <c r="G294"/>
  <c r="F294"/>
  <c r="E294"/>
  <c r="D294"/>
  <c r="C294"/>
  <c r="O292"/>
  <c r="N292"/>
  <c r="M292"/>
  <c r="L292"/>
  <c r="K292"/>
  <c r="J292"/>
  <c r="I292"/>
  <c r="H292"/>
  <c r="G292"/>
  <c r="F292"/>
  <c r="E292"/>
  <c r="D292"/>
  <c r="C292"/>
  <c r="A288"/>
  <c r="J284"/>
  <c r="J282"/>
  <c r="N280"/>
  <c r="M280"/>
  <c r="K280"/>
  <c r="J280"/>
  <c r="I280"/>
  <c r="H280"/>
  <c r="G280"/>
  <c r="F280"/>
  <c r="E280"/>
  <c r="O279"/>
  <c r="O276"/>
  <c r="O277"/>
  <c r="N277"/>
  <c r="M277"/>
  <c r="L277"/>
  <c r="K277"/>
  <c r="I277"/>
  <c r="H277"/>
  <c r="G277"/>
  <c r="F277"/>
  <c r="E277"/>
  <c r="D277"/>
  <c r="C277"/>
  <c r="O274"/>
  <c r="O275"/>
  <c r="N275"/>
  <c r="M275"/>
  <c r="L275"/>
  <c r="K275"/>
  <c r="J275"/>
  <c r="I275"/>
  <c r="H275"/>
  <c r="G275"/>
  <c r="F275"/>
  <c r="E275"/>
  <c r="D275"/>
  <c r="C275"/>
  <c r="O273"/>
  <c r="N273"/>
  <c r="N273" i="22" s="1"/>
  <c r="N274" s="1"/>
  <c r="M273" i="41"/>
  <c r="M273" i="23" s="1"/>
  <c r="M274" s="1"/>
  <c r="L273" i="41"/>
  <c r="L273" i="23" s="1"/>
  <c r="L274" s="1"/>
  <c r="K273" i="41"/>
  <c r="J273"/>
  <c r="I273"/>
  <c r="H273"/>
  <c r="G273"/>
  <c r="F273"/>
  <c r="E273"/>
  <c r="D273"/>
  <c r="C273"/>
  <c r="O271"/>
  <c r="O272"/>
  <c r="N272"/>
  <c r="M272"/>
  <c r="L272"/>
  <c r="K272"/>
  <c r="I272"/>
  <c r="H272"/>
  <c r="G272"/>
  <c r="F272"/>
  <c r="E272"/>
  <c r="D272"/>
  <c r="C272"/>
  <c r="O269"/>
  <c r="O270"/>
  <c r="N270"/>
  <c r="M270"/>
  <c r="L270"/>
  <c r="K270"/>
  <c r="J270"/>
  <c r="I270"/>
  <c r="H270"/>
  <c r="G270"/>
  <c r="F270"/>
  <c r="E270"/>
  <c r="D270"/>
  <c r="C270"/>
  <c r="O268"/>
  <c r="N268"/>
  <c r="N268" i="23" s="1"/>
  <c r="N269" s="1"/>
  <c r="M268" i="41"/>
  <c r="M268" i="23" s="1"/>
  <c r="M269" s="1"/>
  <c r="L268" i="41"/>
  <c r="L268" i="23" s="1"/>
  <c r="L269" s="1"/>
  <c r="K268" i="41"/>
  <c r="J268"/>
  <c r="I268"/>
  <c r="H268"/>
  <c r="G268"/>
  <c r="F268"/>
  <c r="E268"/>
  <c r="D268"/>
  <c r="C268"/>
  <c r="O266"/>
  <c r="O267"/>
  <c r="N267"/>
  <c r="M267"/>
  <c r="L267"/>
  <c r="K267"/>
  <c r="I267"/>
  <c r="H267"/>
  <c r="G267"/>
  <c r="F267"/>
  <c r="E267"/>
  <c r="D267"/>
  <c r="C267"/>
  <c r="O264"/>
  <c r="O265"/>
  <c r="N265"/>
  <c r="M265"/>
  <c r="L265"/>
  <c r="K265"/>
  <c r="J265"/>
  <c r="I265"/>
  <c r="H265"/>
  <c r="G265"/>
  <c r="F265"/>
  <c r="E265"/>
  <c r="D265"/>
  <c r="C265"/>
  <c r="O263"/>
  <c r="N263"/>
  <c r="N263" i="23" s="1"/>
  <c r="N264" s="1"/>
  <c r="M263" i="41"/>
  <c r="M263" i="23" s="1"/>
  <c r="M264" s="1"/>
  <c r="L263" i="41"/>
  <c r="L263" i="23" s="1"/>
  <c r="L264" s="1"/>
  <c r="K263" i="41"/>
  <c r="J263"/>
  <c r="I263"/>
  <c r="H263"/>
  <c r="G263"/>
  <c r="F263"/>
  <c r="E263"/>
  <c r="D263"/>
  <c r="C263"/>
  <c r="O261"/>
  <c r="O262"/>
  <c r="N262"/>
  <c r="M262"/>
  <c r="L262"/>
  <c r="K262"/>
  <c r="I262"/>
  <c r="H262"/>
  <c r="G262"/>
  <c r="F262"/>
  <c r="E262"/>
  <c r="D262"/>
  <c r="C262"/>
  <c r="O259"/>
  <c r="O260"/>
  <c r="N260"/>
  <c r="M260"/>
  <c r="L260"/>
  <c r="K260"/>
  <c r="J260"/>
  <c r="I260"/>
  <c r="H260"/>
  <c r="G260"/>
  <c r="F260"/>
  <c r="E260"/>
  <c r="D260"/>
  <c r="C260"/>
  <c r="O258"/>
  <c r="N258"/>
  <c r="N258" i="23" s="1"/>
  <c r="N259" s="1"/>
  <c r="M258" i="41"/>
  <c r="M258" i="23" s="1"/>
  <c r="M259" s="1"/>
  <c r="L258" i="41"/>
  <c r="L258" i="23" s="1"/>
  <c r="L259" s="1"/>
  <c r="K258" i="41"/>
  <c r="J258"/>
  <c r="I258"/>
  <c r="H258"/>
  <c r="G258"/>
  <c r="F258"/>
  <c r="E258"/>
  <c r="D258"/>
  <c r="C258"/>
  <c r="O254"/>
  <c r="O255"/>
  <c r="O253"/>
  <c r="O251"/>
  <c r="O252"/>
  <c r="N252"/>
  <c r="M252"/>
  <c r="L252"/>
  <c r="K252"/>
  <c r="I252"/>
  <c r="H252"/>
  <c r="G252"/>
  <c r="F252"/>
  <c r="E252"/>
  <c r="D252"/>
  <c r="C252"/>
  <c r="O249"/>
  <c r="O250"/>
  <c r="N250"/>
  <c r="M250"/>
  <c r="L250"/>
  <c r="K250"/>
  <c r="J250"/>
  <c r="I250"/>
  <c r="H250"/>
  <c r="G250"/>
  <c r="F250"/>
  <c r="E250"/>
  <c r="D250"/>
  <c r="C250"/>
  <c r="O248"/>
  <c r="K248"/>
  <c r="J248"/>
  <c r="H248"/>
  <c r="C248"/>
  <c r="O246"/>
  <c r="O247"/>
  <c r="N247"/>
  <c r="M247"/>
  <c r="L247"/>
  <c r="K247"/>
  <c r="I247"/>
  <c r="H247"/>
  <c r="G247"/>
  <c r="F247"/>
  <c r="E247"/>
  <c r="D247"/>
  <c r="C247"/>
  <c r="O244"/>
  <c r="O245"/>
  <c r="N245"/>
  <c r="M245"/>
  <c r="L245"/>
  <c r="K245"/>
  <c r="J245"/>
  <c r="I245"/>
  <c r="H245"/>
  <c r="G245"/>
  <c r="F245"/>
  <c r="E245"/>
  <c r="D245"/>
  <c r="C245"/>
  <c r="O243"/>
  <c r="F243"/>
  <c r="O241"/>
  <c r="O242"/>
  <c r="N242"/>
  <c r="M242"/>
  <c r="L242"/>
  <c r="K242"/>
  <c r="I242"/>
  <c r="H242"/>
  <c r="G242"/>
  <c r="F242"/>
  <c r="E242"/>
  <c r="D242"/>
  <c r="C242"/>
  <c r="O239"/>
  <c r="O238" s="1"/>
  <c r="N240"/>
  <c r="M240"/>
  <c r="L240"/>
  <c r="K240"/>
  <c r="J240"/>
  <c r="I240"/>
  <c r="H240"/>
  <c r="G240"/>
  <c r="F240"/>
  <c r="E240"/>
  <c r="D240"/>
  <c r="C240"/>
  <c r="N238"/>
  <c r="N238" i="23" s="1"/>
  <c r="N239" s="1"/>
  <c r="M238" i="41"/>
  <c r="M238" i="23" s="1"/>
  <c r="M239" s="1"/>
  <c r="L238" i="41"/>
  <c r="L238" i="23" s="1"/>
  <c r="L239" s="1"/>
  <c r="K238" i="41"/>
  <c r="J238"/>
  <c r="I238"/>
  <c r="H238"/>
  <c r="G238"/>
  <c r="F238"/>
  <c r="E238"/>
  <c r="D238"/>
  <c r="C238"/>
  <c r="K237"/>
  <c r="C237"/>
  <c r="O234"/>
  <c r="O233" s="1"/>
  <c r="O231"/>
  <c r="O232"/>
  <c r="N232"/>
  <c r="M232"/>
  <c r="L232"/>
  <c r="K232"/>
  <c r="I232"/>
  <c r="H232"/>
  <c r="G232"/>
  <c r="F232"/>
  <c r="E232"/>
  <c r="D232"/>
  <c r="C232"/>
  <c r="O229"/>
  <c r="O228" s="1"/>
  <c r="N230"/>
  <c r="M230"/>
  <c r="L230"/>
  <c r="K230"/>
  <c r="J230"/>
  <c r="I230"/>
  <c r="H230"/>
  <c r="G230"/>
  <c r="F230"/>
  <c r="E230"/>
  <c r="D230"/>
  <c r="C230"/>
  <c r="N228"/>
  <c r="N228" i="23" s="1"/>
  <c r="N229" s="1"/>
  <c r="M228" i="41"/>
  <c r="M228" i="23" s="1"/>
  <c r="M229" s="1"/>
  <c r="L228" i="41"/>
  <c r="L228" i="23" s="1"/>
  <c r="L229" s="1"/>
  <c r="K228" i="41"/>
  <c r="J228"/>
  <c r="I228"/>
  <c r="H228"/>
  <c r="G228"/>
  <c r="F228"/>
  <c r="E228"/>
  <c r="D228"/>
  <c r="C228"/>
  <c r="O226"/>
  <c r="O227"/>
  <c r="N227"/>
  <c r="M227"/>
  <c r="L227"/>
  <c r="K227"/>
  <c r="I227"/>
  <c r="H227"/>
  <c r="G227"/>
  <c r="F227"/>
  <c r="E227"/>
  <c r="D227"/>
  <c r="C227"/>
  <c r="O224"/>
  <c r="O223" s="1"/>
  <c r="N225"/>
  <c r="M225"/>
  <c r="L225"/>
  <c r="K225"/>
  <c r="J225"/>
  <c r="I225"/>
  <c r="H225"/>
  <c r="G225"/>
  <c r="F225"/>
  <c r="E225"/>
  <c r="D225"/>
  <c r="C225"/>
  <c r="N223"/>
  <c r="N223" i="23" s="1"/>
  <c r="N224" s="1"/>
  <c r="M223" i="41"/>
  <c r="M223" i="23" s="1"/>
  <c r="M224" s="1"/>
  <c r="L223" i="41"/>
  <c r="K223"/>
  <c r="J223"/>
  <c r="I223"/>
  <c r="H223"/>
  <c r="G223"/>
  <c r="F223"/>
  <c r="E223"/>
  <c r="D223"/>
  <c r="C223"/>
  <c r="O219"/>
  <c r="O218" s="1"/>
  <c r="O216"/>
  <c r="O217"/>
  <c r="N217"/>
  <c r="M217"/>
  <c r="L217"/>
  <c r="K217"/>
  <c r="I217"/>
  <c r="H217"/>
  <c r="G217"/>
  <c r="F217"/>
  <c r="E217"/>
  <c r="D217"/>
  <c r="C217"/>
  <c r="O214"/>
  <c r="O213" s="1"/>
  <c r="N215"/>
  <c r="M215"/>
  <c r="L215"/>
  <c r="K215"/>
  <c r="J215"/>
  <c r="I215"/>
  <c r="H215"/>
  <c r="G215"/>
  <c r="F215"/>
  <c r="E215"/>
  <c r="D215"/>
  <c r="C215"/>
  <c r="K213"/>
  <c r="H213"/>
  <c r="F213"/>
  <c r="O211"/>
  <c r="O212"/>
  <c r="N212"/>
  <c r="M212"/>
  <c r="L212"/>
  <c r="K212"/>
  <c r="I212"/>
  <c r="H212"/>
  <c r="G212"/>
  <c r="F212"/>
  <c r="E212"/>
  <c r="D212"/>
  <c r="C212"/>
  <c r="O209"/>
  <c r="O210"/>
  <c r="N210"/>
  <c r="M210"/>
  <c r="L210"/>
  <c r="K210"/>
  <c r="J210"/>
  <c r="I210"/>
  <c r="H210"/>
  <c r="G210"/>
  <c r="F210"/>
  <c r="E210"/>
  <c r="D210"/>
  <c r="C210"/>
  <c r="O208"/>
  <c r="N208"/>
  <c r="N208" i="23" s="1"/>
  <c r="N209" s="1"/>
  <c r="M208" i="41"/>
  <c r="M208" i="23" s="1"/>
  <c r="M209" s="1"/>
  <c r="L208" i="41"/>
  <c r="K208"/>
  <c r="J208"/>
  <c r="I208"/>
  <c r="H208"/>
  <c r="G208"/>
  <c r="F208"/>
  <c r="E208"/>
  <c r="D208"/>
  <c r="C208"/>
  <c r="O206"/>
  <c r="O207"/>
  <c r="N207"/>
  <c r="M207"/>
  <c r="L207"/>
  <c r="K207"/>
  <c r="I207"/>
  <c r="H207"/>
  <c r="G207"/>
  <c r="F207"/>
  <c r="E207"/>
  <c r="D207"/>
  <c r="C207"/>
  <c r="O204"/>
  <c r="O205"/>
  <c r="N205"/>
  <c r="M205"/>
  <c r="L205"/>
  <c r="K205"/>
  <c r="J205"/>
  <c r="I205"/>
  <c r="H205"/>
  <c r="G205"/>
  <c r="F205"/>
  <c r="E205"/>
  <c r="D205"/>
  <c r="C205"/>
  <c r="O203"/>
  <c r="N203"/>
  <c r="N203" i="23" s="1"/>
  <c r="N204" s="1"/>
  <c r="M203" i="41"/>
  <c r="M203" i="23" s="1"/>
  <c r="M204" s="1"/>
  <c r="L203" i="41"/>
  <c r="K203"/>
  <c r="J203"/>
  <c r="I203"/>
  <c r="H203"/>
  <c r="G203"/>
  <c r="F203"/>
  <c r="E203"/>
  <c r="D203"/>
  <c r="C203"/>
  <c r="O199"/>
  <c r="O200"/>
  <c r="O198"/>
  <c r="N102"/>
  <c r="N196"/>
  <c r="M102"/>
  <c r="M196" s="1"/>
  <c r="L102"/>
  <c r="L196"/>
  <c r="K102"/>
  <c r="K196" s="1"/>
  <c r="J102"/>
  <c r="J196"/>
  <c r="I102"/>
  <c r="I196" s="1"/>
  <c r="H102"/>
  <c r="H196"/>
  <c r="G102"/>
  <c r="G196" s="1"/>
  <c r="F102"/>
  <c r="F196"/>
  <c r="E102"/>
  <c r="E196" s="1"/>
  <c r="D102"/>
  <c r="D196"/>
  <c r="C102"/>
  <c r="C196" s="1"/>
  <c r="A101"/>
  <c r="A195"/>
  <c r="A100"/>
  <c r="A194" s="1"/>
  <c r="O103"/>
  <c r="C187"/>
  <c r="C186" s="1"/>
  <c r="D187"/>
  <c r="E187"/>
  <c r="F187"/>
  <c r="G187"/>
  <c r="G186" s="1"/>
  <c r="H187"/>
  <c r="I187"/>
  <c r="J187"/>
  <c r="K187"/>
  <c r="K186" s="1"/>
  <c r="L187"/>
  <c r="M187"/>
  <c r="N187"/>
  <c r="O187"/>
  <c r="O186" s="1"/>
  <c r="N186"/>
  <c r="M186"/>
  <c r="L186"/>
  <c r="J186"/>
  <c r="I186"/>
  <c r="H186"/>
  <c r="F186"/>
  <c r="E186"/>
  <c r="D186"/>
  <c r="O185"/>
  <c r="L183"/>
  <c r="J183"/>
  <c r="I183"/>
  <c r="G183"/>
  <c r="F183"/>
  <c r="C183"/>
  <c r="O180"/>
  <c r="O181"/>
  <c r="O179"/>
  <c r="M178"/>
  <c r="L178"/>
  <c r="K178"/>
  <c r="J178"/>
  <c r="H178"/>
  <c r="E178"/>
  <c r="O175"/>
  <c r="O174" s="1"/>
  <c r="O176"/>
  <c r="O172"/>
  <c r="O173"/>
  <c r="N173"/>
  <c r="M173"/>
  <c r="L173"/>
  <c r="K173"/>
  <c r="J173"/>
  <c r="I173"/>
  <c r="H173"/>
  <c r="G173"/>
  <c r="F173"/>
  <c r="E173"/>
  <c r="D173"/>
  <c r="C173"/>
  <c r="O170"/>
  <c r="O169" s="1"/>
  <c r="N171"/>
  <c r="M171"/>
  <c r="L171"/>
  <c r="K171"/>
  <c r="J171"/>
  <c r="I171"/>
  <c r="H171"/>
  <c r="G171"/>
  <c r="F171"/>
  <c r="E171"/>
  <c r="D171"/>
  <c r="C171"/>
  <c r="N169"/>
  <c r="M169"/>
  <c r="L169"/>
  <c r="L169" i="23" s="1"/>
  <c r="K169" i="41"/>
  <c r="J169"/>
  <c r="H169"/>
  <c r="G169"/>
  <c r="G169" i="22" s="1"/>
  <c r="F169" i="41"/>
  <c r="F169" i="22" s="1"/>
  <c r="E169" i="41"/>
  <c r="E169" i="22" s="1"/>
  <c r="D169" i="41"/>
  <c r="C169"/>
  <c r="O165"/>
  <c r="O164" s="1"/>
  <c r="O162"/>
  <c r="O163"/>
  <c r="N163"/>
  <c r="M163"/>
  <c r="L163"/>
  <c r="K163"/>
  <c r="J163"/>
  <c r="I163"/>
  <c r="H163"/>
  <c r="G163"/>
  <c r="F163"/>
  <c r="E163"/>
  <c r="D163"/>
  <c r="C163"/>
  <c r="O160"/>
  <c r="O161" s="1"/>
  <c r="N161"/>
  <c r="M161"/>
  <c r="L161"/>
  <c r="K161"/>
  <c r="J161"/>
  <c r="I161"/>
  <c r="H161"/>
  <c r="G161"/>
  <c r="F161"/>
  <c r="E161"/>
  <c r="D161"/>
  <c r="C161"/>
  <c r="O159"/>
  <c r="N159"/>
  <c r="N159" i="22" s="1"/>
  <c r="M159" i="41"/>
  <c r="M159" i="22" s="1"/>
  <c r="L159" i="41"/>
  <c r="L159" i="22" s="1"/>
  <c r="K159" i="41"/>
  <c r="K159" i="22" s="1"/>
  <c r="J159" i="41"/>
  <c r="J159" i="22" s="1"/>
  <c r="H159" i="41"/>
  <c r="H159" i="22" s="1"/>
  <c r="G159" i="41"/>
  <c r="G159" i="23" s="1"/>
  <c r="F159" i="41"/>
  <c r="E159"/>
  <c r="D159"/>
  <c r="D159" i="22" s="1"/>
  <c r="C159" i="41"/>
  <c r="C159" i="22" s="1"/>
  <c r="I158" i="41"/>
  <c r="H158"/>
  <c r="E158"/>
  <c r="O155"/>
  <c r="O156" s="1"/>
  <c r="I156"/>
  <c r="O154"/>
  <c r="H154"/>
  <c r="O152"/>
  <c r="O153"/>
  <c r="N153"/>
  <c r="M153"/>
  <c r="L153"/>
  <c r="K153"/>
  <c r="J153"/>
  <c r="I153"/>
  <c r="H153"/>
  <c r="G153"/>
  <c r="F153"/>
  <c r="E153"/>
  <c r="D153"/>
  <c r="C153"/>
  <c r="O150"/>
  <c r="O149" s="1"/>
  <c r="N151"/>
  <c r="M151"/>
  <c r="L151"/>
  <c r="K151"/>
  <c r="J151"/>
  <c r="I151"/>
  <c r="H151"/>
  <c r="G151"/>
  <c r="F151"/>
  <c r="E151"/>
  <c r="D151"/>
  <c r="C151"/>
  <c r="N149"/>
  <c r="M149"/>
  <c r="L149"/>
  <c r="L149" i="22" s="1"/>
  <c r="K149" i="41"/>
  <c r="K149" i="22" s="1"/>
  <c r="J149" i="41"/>
  <c r="J149" i="22" s="1"/>
  <c r="H149" i="41"/>
  <c r="H149" i="22" s="1"/>
  <c r="G149" i="41"/>
  <c r="G149" i="22" s="1"/>
  <c r="F149" i="41"/>
  <c r="F149" i="22" s="1"/>
  <c r="E149" i="41"/>
  <c r="E149" i="22" s="1"/>
  <c r="D149" i="41"/>
  <c r="C149"/>
  <c r="O147"/>
  <c r="O148"/>
  <c r="N148"/>
  <c r="M148"/>
  <c r="L148"/>
  <c r="K148"/>
  <c r="J148"/>
  <c r="I148"/>
  <c r="H148"/>
  <c r="G148"/>
  <c r="F148"/>
  <c r="E148"/>
  <c r="D148"/>
  <c r="C148"/>
  <c r="O145"/>
  <c r="O144" s="1"/>
  <c r="N146"/>
  <c r="M146"/>
  <c r="L146"/>
  <c r="K146"/>
  <c r="J146"/>
  <c r="I146"/>
  <c r="H146"/>
  <c r="G146"/>
  <c r="F146"/>
  <c r="E146"/>
  <c r="D146"/>
  <c r="C146"/>
  <c r="N144"/>
  <c r="N144" i="22" s="1"/>
  <c r="M144" i="41"/>
  <c r="L144"/>
  <c r="K144"/>
  <c r="J144"/>
  <c r="J144" i="23" s="1"/>
  <c r="H144" i="41"/>
  <c r="H144" i="23" s="1"/>
  <c r="G144" i="41"/>
  <c r="G144" i="23" s="1"/>
  <c r="F144" i="41"/>
  <c r="E144"/>
  <c r="D144"/>
  <c r="D144" i="22" s="1"/>
  <c r="C144" i="41"/>
  <c r="C144" i="22" s="1"/>
  <c r="O142" i="41"/>
  <c r="O143"/>
  <c r="N143"/>
  <c r="M143"/>
  <c r="L143"/>
  <c r="K143"/>
  <c r="J143"/>
  <c r="I143"/>
  <c r="H143"/>
  <c r="G143"/>
  <c r="F143"/>
  <c r="E143"/>
  <c r="D143"/>
  <c r="C143"/>
  <c r="O140"/>
  <c r="O139" s="1"/>
  <c r="N141"/>
  <c r="M141"/>
  <c r="L141"/>
  <c r="K141"/>
  <c r="J141"/>
  <c r="I141"/>
  <c r="H141"/>
  <c r="G141"/>
  <c r="F141"/>
  <c r="E141"/>
  <c r="D141"/>
  <c r="C141"/>
  <c r="N139"/>
  <c r="N139" i="22" s="1"/>
  <c r="M139" i="41"/>
  <c r="M139" i="22" s="1"/>
  <c r="L139" i="41"/>
  <c r="L139" i="22" s="1"/>
  <c r="K139" i="41"/>
  <c r="K139" i="22" s="1"/>
  <c r="J139" i="41"/>
  <c r="J139" i="22" s="1"/>
  <c r="H139" i="41"/>
  <c r="H139" i="22" s="1"/>
  <c r="G139" i="41"/>
  <c r="G139" i="22" s="1"/>
  <c r="F139" i="41"/>
  <c r="F139" i="22" s="1"/>
  <c r="E139" i="41"/>
  <c r="E139" i="22" s="1"/>
  <c r="D139" i="41"/>
  <c r="C139"/>
  <c r="C139" i="22" s="1"/>
  <c r="O137" i="41"/>
  <c r="O138"/>
  <c r="N138"/>
  <c r="M138"/>
  <c r="L138"/>
  <c r="K138"/>
  <c r="J138"/>
  <c r="I138"/>
  <c r="H138"/>
  <c r="G138"/>
  <c r="F138"/>
  <c r="E138"/>
  <c r="D138"/>
  <c r="C138"/>
  <c r="O135"/>
  <c r="O134" s="1"/>
  <c r="N136"/>
  <c r="M136"/>
  <c r="L136"/>
  <c r="K136"/>
  <c r="J136"/>
  <c r="I136"/>
  <c r="H136"/>
  <c r="G136"/>
  <c r="F136"/>
  <c r="E136"/>
  <c r="D136"/>
  <c r="C136"/>
  <c r="N134"/>
  <c r="N134" i="22" s="1"/>
  <c r="M134" i="41"/>
  <c r="M134" i="22" s="1"/>
  <c r="L134" i="41"/>
  <c r="K134"/>
  <c r="J134"/>
  <c r="H134"/>
  <c r="G134"/>
  <c r="F134"/>
  <c r="F134" i="22" s="1"/>
  <c r="E134" i="41"/>
  <c r="D134"/>
  <c r="D134" i="22" s="1"/>
  <c r="C134" i="41"/>
  <c r="C134" i="22" s="1"/>
  <c r="I133" i="41"/>
  <c r="E133"/>
  <c r="O130"/>
  <c r="I131"/>
  <c r="E131"/>
  <c r="O129"/>
  <c r="N129"/>
  <c r="M129"/>
  <c r="L129"/>
  <c r="L129" i="22" s="1"/>
  <c r="K129" i="41"/>
  <c r="K129" i="22" s="1"/>
  <c r="J129" i="41"/>
  <c r="J129" i="22" s="1"/>
  <c r="I129" i="41"/>
  <c r="H129"/>
  <c r="H129" i="22" s="1"/>
  <c r="G129" i="41"/>
  <c r="G129" i="22" s="1"/>
  <c r="F129" i="41"/>
  <c r="F129" i="22" s="1"/>
  <c r="E129" i="41"/>
  <c r="E129" i="22" s="1"/>
  <c r="D129" i="41"/>
  <c r="C129"/>
  <c r="O127"/>
  <c r="O128" s="1"/>
  <c r="N128"/>
  <c r="M128"/>
  <c r="L128"/>
  <c r="K128"/>
  <c r="J128"/>
  <c r="I128"/>
  <c r="H128"/>
  <c r="G128"/>
  <c r="F128"/>
  <c r="E128"/>
  <c r="D128"/>
  <c r="C128"/>
  <c r="O125"/>
  <c r="O124" s="1"/>
  <c r="O126"/>
  <c r="N126"/>
  <c r="M126"/>
  <c r="L126"/>
  <c r="K126"/>
  <c r="J126"/>
  <c r="I126"/>
  <c r="H126"/>
  <c r="G126"/>
  <c r="F126"/>
  <c r="E126"/>
  <c r="D126"/>
  <c r="C126"/>
  <c r="N124"/>
  <c r="N124" i="22" s="1"/>
  <c r="M124" i="41"/>
  <c r="M124" i="22" s="1"/>
  <c r="L124" i="41"/>
  <c r="L124" i="22" s="1"/>
  <c r="K124" i="41"/>
  <c r="K124" i="22" s="1"/>
  <c r="J124" i="41"/>
  <c r="J124" i="22" s="1"/>
  <c r="H124" i="41"/>
  <c r="H124" i="22" s="1"/>
  <c r="G124" i="41"/>
  <c r="F124"/>
  <c r="E124"/>
  <c r="D124"/>
  <c r="D124" i="22" s="1"/>
  <c r="C124" i="41"/>
  <c r="C123"/>
  <c r="O120"/>
  <c r="O119" s="1"/>
  <c r="O121"/>
  <c r="O117"/>
  <c r="O118"/>
  <c r="N118"/>
  <c r="M118"/>
  <c r="L118"/>
  <c r="K118"/>
  <c r="J118"/>
  <c r="I118"/>
  <c r="H118"/>
  <c r="G118"/>
  <c r="F118"/>
  <c r="E118"/>
  <c r="D118"/>
  <c r="C118"/>
  <c r="O115"/>
  <c r="O114" s="1"/>
  <c r="N116"/>
  <c r="M116"/>
  <c r="L116"/>
  <c r="K116"/>
  <c r="J116"/>
  <c r="I116"/>
  <c r="H116"/>
  <c r="G116"/>
  <c r="F116"/>
  <c r="E116"/>
  <c r="D116"/>
  <c r="C116"/>
  <c r="N114"/>
  <c r="N114" i="22" s="1"/>
  <c r="M114" i="41"/>
  <c r="L114"/>
  <c r="K114"/>
  <c r="J114"/>
  <c r="H114"/>
  <c r="G114"/>
  <c r="F114"/>
  <c r="F114" i="23" s="1"/>
  <c r="E114" i="41"/>
  <c r="D114"/>
  <c r="D114" i="22" s="1"/>
  <c r="C114" i="41"/>
  <c r="M113"/>
  <c r="K113"/>
  <c r="F113"/>
  <c r="D113"/>
  <c r="C113"/>
  <c r="O110"/>
  <c r="O109" s="1"/>
  <c r="C109"/>
  <c r="C109" i="22" s="1"/>
  <c r="O107" i="41"/>
  <c r="O106" s="1"/>
  <c r="N108"/>
  <c r="M108"/>
  <c r="L108"/>
  <c r="K108"/>
  <c r="J108"/>
  <c r="I108"/>
  <c r="H108"/>
  <c r="G108"/>
  <c r="F108"/>
  <c r="E108"/>
  <c r="D108"/>
  <c r="C108"/>
  <c r="O105"/>
  <c r="N106"/>
  <c r="M106"/>
  <c r="L106"/>
  <c r="K106"/>
  <c r="J106"/>
  <c r="I106"/>
  <c r="H106"/>
  <c r="G106"/>
  <c r="F106"/>
  <c r="E106"/>
  <c r="D106"/>
  <c r="C106"/>
  <c r="O104"/>
  <c r="N104"/>
  <c r="M104"/>
  <c r="M104" i="22" s="1"/>
  <c r="L104" i="41"/>
  <c r="L104" i="22" s="1"/>
  <c r="K104" i="41"/>
  <c r="K104" i="22" s="1"/>
  <c r="J104" i="41"/>
  <c r="H104"/>
  <c r="G104"/>
  <c r="F104"/>
  <c r="F104" i="22" s="1"/>
  <c r="E104" i="41"/>
  <c r="D104"/>
  <c r="C104"/>
  <c r="C104" i="22" s="1"/>
  <c r="O95" i="41"/>
  <c r="C90"/>
  <c r="C89" s="1"/>
  <c r="D90"/>
  <c r="O90" s="1"/>
  <c r="E90"/>
  <c r="F90"/>
  <c r="G90"/>
  <c r="G89" s="1"/>
  <c r="H90"/>
  <c r="I90"/>
  <c r="J90"/>
  <c r="K90"/>
  <c r="K89" s="1"/>
  <c r="L90"/>
  <c r="M90"/>
  <c r="N90"/>
  <c r="N89"/>
  <c r="M89"/>
  <c r="L89"/>
  <c r="J89"/>
  <c r="I89"/>
  <c r="H89"/>
  <c r="F89"/>
  <c r="E89"/>
  <c r="D89"/>
  <c r="E87"/>
  <c r="D87"/>
  <c r="C87"/>
  <c r="O84"/>
  <c r="O83" s="1"/>
  <c r="N83"/>
  <c r="M83"/>
  <c r="L83"/>
  <c r="K83"/>
  <c r="J83"/>
  <c r="I83"/>
  <c r="H83"/>
  <c r="G83"/>
  <c r="F83"/>
  <c r="E83"/>
  <c r="D83"/>
  <c r="C83"/>
  <c r="E82"/>
  <c r="D82"/>
  <c r="C82"/>
  <c r="O79"/>
  <c r="O80" s="1"/>
  <c r="O78"/>
  <c r="N78"/>
  <c r="M78"/>
  <c r="L78"/>
  <c r="K78"/>
  <c r="J78"/>
  <c r="I78"/>
  <c r="H78"/>
  <c r="G78"/>
  <c r="F78"/>
  <c r="E78"/>
  <c r="D78"/>
  <c r="C78"/>
  <c r="O76"/>
  <c r="O75" s="1"/>
  <c r="N77"/>
  <c r="M77"/>
  <c r="L77"/>
  <c r="K77"/>
  <c r="J77"/>
  <c r="I77"/>
  <c r="H77"/>
  <c r="G77"/>
  <c r="F77"/>
  <c r="E77"/>
  <c r="D77"/>
  <c r="C77"/>
  <c r="O74"/>
  <c r="L75"/>
  <c r="K75"/>
  <c r="J75"/>
  <c r="I75"/>
  <c r="H75"/>
  <c r="O73"/>
  <c r="N73"/>
  <c r="N73" i="22" s="1"/>
  <c r="M73" i="41"/>
  <c r="M73" i="22" s="1"/>
  <c r="L73" i="41"/>
  <c r="L73" i="23" s="1"/>
  <c r="K73" i="41"/>
  <c r="J73"/>
  <c r="H73"/>
  <c r="G73"/>
  <c r="G73" i="22" s="1"/>
  <c r="F73" i="41"/>
  <c r="F73" i="22" s="1"/>
  <c r="E73" i="41"/>
  <c r="E73" i="22" s="1"/>
  <c r="D73" i="41"/>
  <c r="C73"/>
  <c r="C73" i="22" s="1"/>
  <c r="D72" i="41"/>
  <c r="C72"/>
  <c r="O69"/>
  <c r="O68" s="1"/>
  <c r="O70"/>
  <c r="N68"/>
  <c r="M68"/>
  <c r="L68"/>
  <c r="K68"/>
  <c r="J68"/>
  <c r="I68"/>
  <c r="H68"/>
  <c r="G68"/>
  <c r="F68"/>
  <c r="E68"/>
  <c r="D68"/>
  <c r="C68"/>
  <c r="O66"/>
  <c r="O67"/>
  <c r="N67"/>
  <c r="M67"/>
  <c r="L67"/>
  <c r="K67"/>
  <c r="J67"/>
  <c r="I67"/>
  <c r="H67"/>
  <c r="G67"/>
  <c r="F67"/>
  <c r="E67"/>
  <c r="D67"/>
  <c r="C67"/>
  <c r="O64"/>
  <c r="O63" s="1"/>
  <c r="N65"/>
  <c r="M65"/>
  <c r="L65"/>
  <c r="K65"/>
  <c r="J65"/>
  <c r="I65"/>
  <c r="H65"/>
  <c r="G65"/>
  <c r="F65"/>
  <c r="E65"/>
  <c r="D65"/>
  <c r="C65"/>
  <c r="N63"/>
  <c r="M63"/>
  <c r="L63"/>
  <c r="L63" i="22" s="1"/>
  <c r="K63" i="41"/>
  <c r="K63" i="22" s="1"/>
  <c r="J63" i="41"/>
  <c r="J63" i="22" s="1"/>
  <c r="H63" i="41"/>
  <c r="H63" i="22" s="1"/>
  <c r="G63" i="41"/>
  <c r="F63"/>
  <c r="F63" i="22" s="1"/>
  <c r="E63" i="41"/>
  <c r="D63"/>
  <c r="D63" i="22" s="1"/>
  <c r="C63" i="41"/>
  <c r="O61"/>
  <c r="O62"/>
  <c r="N62"/>
  <c r="M62"/>
  <c r="L62"/>
  <c r="K62"/>
  <c r="J62"/>
  <c r="I62"/>
  <c r="H62"/>
  <c r="G62"/>
  <c r="F62"/>
  <c r="E62"/>
  <c r="D62"/>
  <c r="C62"/>
  <c r="O59"/>
  <c r="O58" s="1"/>
  <c r="N60"/>
  <c r="M60"/>
  <c r="L60"/>
  <c r="K60"/>
  <c r="J60"/>
  <c r="I60"/>
  <c r="H60"/>
  <c r="G60"/>
  <c r="F60"/>
  <c r="E60"/>
  <c r="D60"/>
  <c r="C60"/>
  <c r="N58"/>
  <c r="M58"/>
  <c r="L58"/>
  <c r="K58"/>
  <c r="J58"/>
  <c r="H58"/>
  <c r="G58"/>
  <c r="G58" i="22" s="1"/>
  <c r="F58" i="41"/>
  <c r="F58" i="22" s="1"/>
  <c r="E58" i="41"/>
  <c r="E58" i="22" s="1"/>
  <c r="D58" i="41"/>
  <c r="C58"/>
  <c r="C58" i="22" s="1"/>
  <c r="O56" i="41"/>
  <c r="O57"/>
  <c r="N57"/>
  <c r="M57"/>
  <c r="L57"/>
  <c r="K57"/>
  <c r="J57"/>
  <c r="I57"/>
  <c r="H57"/>
  <c r="G57"/>
  <c r="F57"/>
  <c r="E57"/>
  <c r="D57"/>
  <c r="C57"/>
  <c r="O54"/>
  <c r="O53" s="1"/>
  <c r="L55"/>
  <c r="N53"/>
  <c r="N53" i="22" s="1"/>
  <c r="M53" i="41"/>
  <c r="M53" i="22" s="1"/>
  <c r="L53" i="41"/>
  <c r="L53" i="22" s="1"/>
  <c r="K53" i="41"/>
  <c r="K53" i="22" s="1"/>
  <c r="J53" i="41"/>
  <c r="J53" i="22" s="1"/>
  <c r="I53" i="41"/>
  <c r="H53"/>
  <c r="H53" i="22" s="1"/>
  <c r="G53" i="41"/>
  <c r="F53"/>
  <c r="E53"/>
  <c r="D53"/>
  <c r="D53" i="22" s="1"/>
  <c r="C53" i="41"/>
  <c r="O51"/>
  <c r="O50" s="1"/>
  <c r="N52"/>
  <c r="M52"/>
  <c r="L52"/>
  <c r="K52"/>
  <c r="J52"/>
  <c r="I52"/>
  <c r="H52"/>
  <c r="G52"/>
  <c r="F52"/>
  <c r="E52"/>
  <c r="D52"/>
  <c r="C52"/>
  <c r="O49"/>
  <c r="N50"/>
  <c r="M50"/>
  <c r="L50"/>
  <c r="K50"/>
  <c r="J50"/>
  <c r="I50"/>
  <c r="H50"/>
  <c r="G50"/>
  <c r="F50"/>
  <c r="E50"/>
  <c r="D50"/>
  <c r="C50"/>
  <c r="O48"/>
  <c r="N48"/>
  <c r="N48" i="22" s="1"/>
  <c r="M48" i="41"/>
  <c r="M48" i="22" s="1"/>
  <c r="L48" i="41"/>
  <c r="L48" i="23" s="1"/>
  <c r="K48" i="41"/>
  <c r="J48"/>
  <c r="H48"/>
  <c r="G48"/>
  <c r="G48" i="22" s="1"/>
  <c r="F48" i="41"/>
  <c r="F48" i="22" s="1"/>
  <c r="E48" i="41"/>
  <c r="E48" i="22" s="1"/>
  <c r="D48" i="41"/>
  <c r="C48"/>
  <c r="C48" i="22" s="1"/>
  <c r="O46" i="41"/>
  <c r="O45" s="1"/>
  <c r="N47"/>
  <c r="M47"/>
  <c r="L47"/>
  <c r="K47"/>
  <c r="J47"/>
  <c r="I47"/>
  <c r="H47"/>
  <c r="G47"/>
  <c r="F47"/>
  <c r="E47"/>
  <c r="D47"/>
  <c r="C47"/>
  <c r="O44"/>
  <c r="N45"/>
  <c r="M45"/>
  <c r="L45"/>
  <c r="K45"/>
  <c r="J45"/>
  <c r="I45"/>
  <c r="H45"/>
  <c r="G45"/>
  <c r="F45"/>
  <c r="E45"/>
  <c r="D45"/>
  <c r="C45"/>
  <c r="O43"/>
  <c r="N43"/>
  <c r="M43"/>
  <c r="L43"/>
  <c r="L43" i="22" s="1"/>
  <c r="K43" i="41"/>
  <c r="K43" i="22" s="1"/>
  <c r="J43" i="41"/>
  <c r="J43" i="22" s="1"/>
  <c r="H43" i="41"/>
  <c r="H43" i="22" s="1"/>
  <c r="G43" i="41"/>
  <c r="F43"/>
  <c r="F43" i="22" s="1"/>
  <c r="E43" i="41"/>
  <c r="D43"/>
  <c r="D43" i="22" s="1"/>
  <c r="C43" i="41"/>
  <c r="C43" i="22" s="1"/>
  <c r="O41" i="41"/>
  <c r="O40" s="1"/>
  <c r="N42"/>
  <c r="M42"/>
  <c r="L42"/>
  <c r="K42"/>
  <c r="J42"/>
  <c r="I42"/>
  <c r="H42"/>
  <c r="G42"/>
  <c r="F42"/>
  <c r="E42"/>
  <c r="D42"/>
  <c r="C42"/>
  <c r="O39"/>
  <c r="N40"/>
  <c r="M40"/>
  <c r="L40"/>
  <c r="K40"/>
  <c r="J40"/>
  <c r="I40"/>
  <c r="H40"/>
  <c r="G40"/>
  <c r="F40"/>
  <c r="E40"/>
  <c r="D40"/>
  <c r="C40"/>
  <c r="O38"/>
  <c r="N38"/>
  <c r="M38"/>
  <c r="L38"/>
  <c r="K38"/>
  <c r="J38"/>
  <c r="H38"/>
  <c r="G38"/>
  <c r="G38" i="22" s="1"/>
  <c r="F38" i="41"/>
  <c r="F38" i="22" s="1"/>
  <c r="E38" i="41"/>
  <c r="E38" i="22" s="1"/>
  <c r="D38" i="41"/>
  <c r="C38"/>
  <c r="C38" i="22" s="1"/>
  <c r="O36" i="41"/>
  <c r="O37" s="1"/>
  <c r="N37"/>
  <c r="M37"/>
  <c r="L37"/>
  <c r="K37"/>
  <c r="J37"/>
  <c r="I37"/>
  <c r="H37"/>
  <c r="G37"/>
  <c r="F37"/>
  <c r="E37"/>
  <c r="D37"/>
  <c r="C37"/>
  <c r="O34"/>
  <c r="O35"/>
  <c r="O33"/>
  <c r="N33"/>
  <c r="N33" i="22" s="1"/>
  <c r="M33" i="41"/>
  <c r="M33" i="22" s="1"/>
  <c r="L33" i="41"/>
  <c r="L33" i="22" s="1"/>
  <c r="K33" i="41"/>
  <c r="K33" i="22" s="1"/>
  <c r="J33" i="41"/>
  <c r="J33" i="22" s="1"/>
  <c r="I33" i="41"/>
  <c r="I33" i="22" s="1"/>
  <c r="H33" i="41"/>
  <c r="H33" i="22" s="1"/>
  <c r="G33" i="41"/>
  <c r="F33"/>
  <c r="E33"/>
  <c r="D33"/>
  <c r="D33" i="22" s="1"/>
  <c r="C33" i="41"/>
  <c r="O31"/>
  <c r="O32" s="1"/>
  <c r="N32"/>
  <c r="M32"/>
  <c r="L32"/>
  <c r="K32"/>
  <c r="J32"/>
  <c r="I32"/>
  <c r="H32"/>
  <c r="G32"/>
  <c r="F32"/>
  <c r="E32"/>
  <c r="D32"/>
  <c r="C32"/>
  <c r="O29"/>
  <c r="O28" s="1"/>
  <c r="O30"/>
  <c r="N30"/>
  <c r="M30"/>
  <c r="L30"/>
  <c r="K30"/>
  <c r="J30"/>
  <c r="I30"/>
  <c r="H30"/>
  <c r="G30"/>
  <c r="F30"/>
  <c r="E30"/>
  <c r="D30"/>
  <c r="C30"/>
  <c r="N28"/>
  <c r="M28"/>
  <c r="L28"/>
  <c r="L28" i="22" s="1"/>
  <c r="K28" i="41"/>
  <c r="K28" i="22" s="1"/>
  <c r="J28" i="41"/>
  <c r="J28" i="22" s="1"/>
  <c r="H28" i="41"/>
  <c r="H28" i="22" s="1"/>
  <c r="G28" i="41"/>
  <c r="F28"/>
  <c r="E28"/>
  <c r="D28"/>
  <c r="D28" i="22" s="1"/>
  <c r="C28" i="41"/>
  <c r="C28" i="22" s="1"/>
  <c r="O26" i="41"/>
  <c r="O27" s="1"/>
  <c r="N27"/>
  <c r="M27"/>
  <c r="L27"/>
  <c r="K27"/>
  <c r="J27"/>
  <c r="I27"/>
  <c r="H27"/>
  <c r="G27"/>
  <c r="F27"/>
  <c r="E27"/>
  <c r="D27"/>
  <c r="C27"/>
  <c r="O24"/>
  <c r="O23" s="1"/>
  <c r="O25"/>
  <c r="H25"/>
  <c r="N23"/>
  <c r="N23" i="22" s="1"/>
  <c r="M23" i="41"/>
  <c r="M23" i="22" s="1"/>
  <c r="L23" i="41"/>
  <c r="K23"/>
  <c r="J23"/>
  <c r="I23"/>
  <c r="I23" i="22" s="1"/>
  <c r="H23" i="41"/>
  <c r="G23"/>
  <c r="G23" i="22" s="1"/>
  <c r="F23" i="41"/>
  <c r="F23" i="22" s="1"/>
  <c r="E23" i="41"/>
  <c r="E23" i="22" s="1"/>
  <c r="D23" i="41"/>
  <c r="C23"/>
  <c r="O21"/>
  <c r="O22"/>
  <c r="N22"/>
  <c r="M22"/>
  <c r="L22"/>
  <c r="K22"/>
  <c r="J22"/>
  <c r="I22"/>
  <c r="H22"/>
  <c r="G22"/>
  <c r="F22"/>
  <c r="E22"/>
  <c r="D22"/>
  <c r="C22"/>
  <c r="O19"/>
  <c r="O20" s="1"/>
  <c r="N20"/>
  <c r="M20"/>
  <c r="L20"/>
  <c r="K20"/>
  <c r="J20"/>
  <c r="I20"/>
  <c r="H20"/>
  <c r="G20"/>
  <c r="F20"/>
  <c r="E20"/>
  <c r="D20"/>
  <c r="C20"/>
  <c r="O18"/>
  <c r="N18"/>
  <c r="M18"/>
  <c r="L18"/>
  <c r="L18" i="22" s="1"/>
  <c r="K18" i="41"/>
  <c r="K18" i="22" s="1"/>
  <c r="J18" i="41"/>
  <c r="J18" i="22" s="1"/>
  <c r="H18" i="41"/>
  <c r="H18" i="22" s="1"/>
  <c r="G18" i="41"/>
  <c r="F18"/>
  <c r="F18" i="22" s="1"/>
  <c r="E18" i="41"/>
  <c r="D18"/>
  <c r="D18" i="22" s="1"/>
  <c r="C18" i="41"/>
  <c r="O16"/>
  <c r="O17" s="1"/>
  <c r="N17"/>
  <c r="M17"/>
  <c r="L17"/>
  <c r="K17"/>
  <c r="J17"/>
  <c r="I17"/>
  <c r="H17"/>
  <c r="G17"/>
  <c r="F17"/>
  <c r="E17"/>
  <c r="D17"/>
  <c r="C17"/>
  <c r="O14"/>
  <c r="O15" s="1"/>
  <c r="M15"/>
  <c r="L15"/>
  <c r="K15"/>
  <c r="I15"/>
  <c r="D15"/>
  <c r="O13"/>
  <c r="N13"/>
  <c r="M13"/>
  <c r="L13"/>
  <c r="K13"/>
  <c r="J13"/>
  <c r="H13"/>
  <c r="G13"/>
  <c r="G13" i="22" s="1"/>
  <c r="F13" i="41"/>
  <c r="F13" i="22" s="1"/>
  <c r="E13" i="41"/>
  <c r="E13" i="22" s="1"/>
  <c r="D13" i="41"/>
  <c r="C13"/>
  <c r="C13" i="22" s="1"/>
  <c r="O11" i="41"/>
  <c r="O12" s="1"/>
  <c r="N12"/>
  <c r="M12"/>
  <c r="L12"/>
  <c r="K12"/>
  <c r="J12"/>
  <c r="I12"/>
  <c r="H12"/>
  <c r="G12"/>
  <c r="F12"/>
  <c r="E12"/>
  <c r="D12"/>
  <c r="C12"/>
  <c r="O9"/>
  <c r="N10"/>
  <c r="M10"/>
  <c r="L10"/>
  <c r="K10"/>
  <c r="J10"/>
  <c r="H10"/>
  <c r="I10" s="1"/>
  <c r="G10"/>
  <c r="F10"/>
  <c r="D10"/>
  <c r="E10" s="1"/>
  <c r="C10"/>
  <c r="O8"/>
  <c r="N8"/>
  <c r="N8" i="22" s="1"/>
  <c r="M8" i="41"/>
  <c r="M8" i="22" s="1"/>
  <c r="L8" i="41"/>
  <c r="L8" i="22" s="1"/>
  <c r="K8" i="41"/>
  <c r="K8" i="22" s="1"/>
  <c r="J8" i="41"/>
  <c r="J8" i="22" s="1"/>
  <c r="H8" i="41"/>
  <c r="H8" i="22" s="1"/>
  <c r="G8" i="41"/>
  <c r="F8"/>
  <c r="E8"/>
  <c r="D8"/>
  <c r="D8" i="22" s="1"/>
  <c r="C8" i="41"/>
  <c r="C8" i="22" s="1"/>
  <c r="D103" i="43"/>
  <c r="D104"/>
  <c r="C11"/>
  <c r="C9"/>
  <c r="D109"/>
  <c r="C111"/>
  <c r="D111" s="1"/>
  <c r="E111" s="1"/>
  <c r="F111" s="1"/>
  <c r="D114"/>
  <c r="C21"/>
  <c r="C19"/>
  <c r="C20"/>
  <c r="C116" s="1"/>
  <c r="D116" s="1"/>
  <c r="D129"/>
  <c r="C131"/>
  <c r="D131"/>
  <c r="D134"/>
  <c r="C41"/>
  <c r="C39"/>
  <c r="D139"/>
  <c r="D140" s="1"/>
  <c r="C46"/>
  <c r="C45" s="1"/>
  <c r="C141" s="1"/>
  <c r="D141" s="1"/>
  <c r="E141" s="1"/>
  <c r="F141" s="1"/>
  <c r="G141" s="1"/>
  <c r="C44"/>
  <c r="D144"/>
  <c r="D145" s="1"/>
  <c r="D147" s="1"/>
  <c r="D148" s="1"/>
  <c r="C146"/>
  <c r="D146" s="1"/>
  <c r="E146" s="1"/>
  <c r="F146" s="1"/>
  <c r="G146" s="1"/>
  <c r="D149"/>
  <c r="D150"/>
  <c r="D152" s="1"/>
  <c r="C151"/>
  <c r="D151"/>
  <c r="D154"/>
  <c r="D155" s="1"/>
  <c r="D157" s="1"/>
  <c r="D158" s="1"/>
  <c r="C156"/>
  <c r="D156" s="1"/>
  <c r="E156" s="1"/>
  <c r="F156" s="1"/>
  <c r="G156" s="1"/>
  <c r="D159"/>
  <c r="D160"/>
  <c r="D162" s="1"/>
  <c r="C161"/>
  <c r="D161"/>
  <c r="D169"/>
  <c r="D170" s="1"/>
  <c r="C171"/>
  <c r="D171" s="1"/>
  <c r="E171" s="1"/>
  <c r="F171" s="1"/>
  <c r="G171" s="1"/>
  <c r="D180"/>
  <c r="C181"/>
  <c r="D181" s="1"/>
  <c r="D165"/>
  <c r="D124"/>
  <c r="D125"/>
  <c r="D127" s="1"/>
  <c r="D128" s="1"/>
  <c r="C126"/>
  <c r="D126"/>
  <c r="E126" s="1"/>
  <c r="D175"/>
  <c r="D177" s="1"/>
  <c r="D178" s="1"/>
  <c r="C176"/>
  <c r="D176"/>
  <c r="D11"/>
  <c r="D16"/>
  <c r="D21"/>
  <c r="D26"/>
  <c r="D36"/>
  <c r="D41"/>
  <c r="D46"/>
  <c r="D51"/>
  <c r="D56"/>
  <c r="D61"/>
  <c r="D66"/>
  <c r="D76"/>
  <c r="D7"/>
  <c r="D84"/>
  <c r="D86" s="1"/>
  <c r="D85"/>
  <c r="D31"/>
  <c r="D199"/>
  <c r="D201" s="1"/>
  <c r="C200"/>
  <c r="D200"/>
  <c r="E200" s="1"/>
  <c r="F200" s="1"/>
  <c r="G200" s="1"/>
  <c r="H200" s="1"/>
  <c r="I200" s="1"/>
  <c r="J200" s="1"/>
  <c r="K200" s="1"/>
  <c r="L200" s="1"/>
  <c r="M200" s="1"/>
  <c r="N200" s="1"/>
  <c r="C215"/>
  <c r="D215" s="1"/>
  <c r="D234"/>
  <c r="C235"/>
  <c r="D235" s="1"/>
  <c r="D244"/>
  <c r="C245"/>
  <c r="D245" s="1"/>
  <c r="C250"/>
  <c r="D250"/>
  <c r="D251" s="1"/>
  <c r="D254"/>
  <c r="D256" s="1"/>
  <c r="D257" s="1"/>
  <c r="C255"/>
  <c r="D255"/>
  <c r="C265"/>
  <c r="D265" s="1"/>
  <c r="D219"/>
  <c r="C220"/>
  <c r="D220" s="1"/>
  <c r="D298"/>
  <c r="C299"/>
  <c r="D299" s="1"/>
  <c r="D308"/>
  <c r="C309"/>
  <c r="D309" s="1"/>
  <c r="D318"/>
  <c r="C319"/>
  <c r="D319" s="1"/>
  <c r="D338"/>
  <c r="C339"/>
  <c r="D339" s="1"/>
  <c r="D358"/>
  <c r="C359"/>
  <c r="D359" s="1"/>
  <c r="C369"/>
  <c r="D369"/>
  <c r="D368"/>
  <c r="D370"/>
  <c r="D363"/>
  <c r="C364"/>
  <c r="D364" s="1"/>
  <c r="D487"/>
  <c r="E103"/>
  <c r="E105" s="1"/>
  <c r="E104"/>
  <c r="E109"/>
  <c r="E110" s="1"/>
  <c r="E120"/>
  <c r="E122" s="1"/>
  <c r="E123" s="1"/>
  <c r="E114"/>
  <c r="E115" s="1"/>
  <c r="E117" s="1"/>
  <c r="E118" s="1"/>
  <c r="E116"/>
  <c r="F116" s="1"/>
  <c r="G116" s="1"/>
  <c r="E129"/>
  <c r="E130" s="1"/>
  <c r="E131"/>
  <c r="F131" s="1"/>
  <c r="G131" s="1"/>
  <c r="E134"/>
  <c r="E135" s="1"/>
  <c r="E139"/>
  <c r="E140" s="1"/>
  <c r="E144"/>
  <c r="E145" s="1"/>
  <c r="E147" s="1"/>
  <c r="E148" s="1"/>
  <c r="E149"/>
  <c r="E150" s="1"/>
  <c r="E151"/>
  <c r="F151" s="1"/>
  <c r="G151" s="1"/>
  <c r="E154"/>
  <c r="E155" s="1"/>
  <c r="E157" s="1"/>
  <c r="E158" s="1"/>
  <c r="E159"/>
  <c r="E160" s="1"/>
  <c r="E161"/>
  <c r="F161" s="1"/>
  <c r="G161" s="1"/>
  <c r="E169"/>
  <c r="E170" s="1"/>
  <c r="E180"/>
  <c r="E165"/>
  <c r="E124"/>
  <c r="E125"/>
  <c r="E175"/>
  <c r="E176"/>
  <c r="F176" s="1"/>
  <c r="G176" s="1"/>
  <c r="E11"/>
  <c r="E16"/>
  <c r="E21"/>
  <c r="E26"/>
  <c r="E36"/>
  <c r="E41"/>
  <c r="E46"/>
  <c r="E51"/>
  <c r="E56"/>
  <c r="E61"/>
  <c r="E66"/>
  <c r="E76"/>
  <c r="E7"/>
  <c r="E84"/>
  <c r="E85"/>
  <c r="E86"/>
  <c r="E92" s="1"/>
  <c r="E31"/>
  <c r="E199"/>
  <c r="E201" s="1"/>
  <c r="E234"/>
  <c r="E244"/>
  <c r="E254"/>
  <c r="E256" s="1"/>
  <c r="E257" s="1"/>
  <c r="E255"/>
  <c r="F255" s="1"/>
  <c r="E219"/>
  <c r="E298"/>
  <c r="E308"/>
  <c r="E318"/>
  <c r="E338"/>
  <c r="E358"/>
  <c r="E369"/>
  <c r="F369" s="1"/>
  <c r="G369" s="1"/>
  <c r="H369" s="1"/>
  <c r="E368"/>
  <c r="E370"/>
  <c r="E363"/>
  <c r="E487"/>
  <c r="F103"/>
  <c r="F105" s="1"/>
  <c r="F104"/>
  <c r="F109"/>
  <c r="F110"/>
  <c r="F114"/>
  <c r="F115"/>
  <c r="F117" s="1"/>
  <c r="F118" s="1"/>
  <c r="F129"/>
  <c r="F130"/>
  <c r="F132" s="1"/>
  <c r="F134"/>
  <c r="F135"/>
  <c r="F139"/>
  <c r="F140"/>
  <c r="F142" s="1"/>
  <c r="F144"/>
  <c r="F145"/>
  <c r="F147" s="1"/>
  <c r="F148" s="1"/>
  <c r="F149"/>
  <c r="F150"/>
  <c r="F152" s="1"/>
  <c r="F154"/>
  <c r="F155"/>
  <c r="F157" s="1"/>
  <c r="F158" s="1"/>
  <c r="F159"/>
  <c r="F160"/>
  <c r="F162" s="1"/>
  <c r="F169"/>
  <c r="F170"/>
  <c r="F172" s="1"/>
  <c r="F165"/>
  <c r="F124"/>
  <c r="F175"/>
  <c r="F177" s="1"/>
  <c r="F178" s="1"/>
  <c r="F11"/>
  <c r="F16"/>
  <c r="F21"/>
  <c r="F26"/>
  <c r="F36"/>
  <c r="F41"/>
  <c r="F46"/>
  <c r="F51"/>
  <c r="F56"/>
  <c r="F61"/>
  <c r="F66"/>
  <c r="F76"/>
  <c r="F7"/>
  <c r="F84" s="1"/>
  <c r="F85"/>
  <c r="F31"/>
  <c r="F199"/>
  <c r="F201" s="1"/>
  <c r="F234"/>
  <c r="F244"/>
  <c r="F254"/>
  <c r="F219"/>
  <c r="F298"/>
  <c r="F308"/>
  <c r="F318"/>
  <c r="F333"/>
  <c r="F338"/>
  <c r="F358"/>
  <c r="F368"/>
  <c r="F370" s="1"/>
  <c r="F363"/>
  <c r="F487"/>
  <c r="C103"/>
  <c r="C105" s="1"/>
  <c r="C104"/>
  <c r="C109"/>
  <c r="C110"/>
  <c r="C112" s="1"/>
  <c r="C120"/>
  <c r="C122" s="1"/>
  <c r="C114"/>
  <c r="C115" s="1"/>
  <c r="C129"/>
  <c r="C130"/>
  <c r="C132" s="1"/>
  <c r="C134"/>
  <c r="C135" s="1"/>
  <c r="C139"/>
  <c r="C140"/>
  <c r="C142" s="1"/>
  <c r="C144"/>
  <c r="C145" s="1"/>
  <c r="C149"/>
  <c r="C150"/>
  <c r="C152" s="1"/>
  <c r="C154"/>
  <c r="C155" s="1"/>
  <c r="C159"/>
  <c r="C160"/>
  <c r="C162" s="1"/>
  <c r="C169"/>
  <c r="C170" s="1"/>
  <c r="C180"/>
  <c r="C182"/>
  <c r="C165"/>
  <c r="C124"/>
  <c r="C125"/>
  <c r="C127" s="1"/>
  <c r="C175"/>
  <c r="C177" s="1"/>
  <c r="C16"/>
  <c r="C26"/>
  <c r="C36"/>
  <c r="C51"/>
  <c r="C56"/>
  <c r="C61"/>
  <c r="C66"/>
  <c r="C76"/>
  <c r="C7"/>
  <c r="C84"/>
  <c r="C86" s="1"/>
  <c r="C85"/>
  <c r="C31"/>
  <c r="C199"/>
  <c r="C201" s="1"/>
  <c r="C216"/>
  <c r="C234"/>
  <c r="C236"/>
  <c r="C244"/>
  <c r="C246"/>
  <c r="C251"/>
  <c r="C254"/>
  <c r="C256" s="1"/>
  <c r="C266"/>
  <c r="C219"/>
  <c r="C221"/>
  <c r="C298"/>
  <c r="C300"/>
  <c r="C377" s="1"/>
  <c r="C308"/>
  <c r="C310"/>
  <c r="C318"/>
  <c r="C320"/>
  <c r="C338"/>
  <c r="C340"/>
  <c r="C358"/>
  <c r="C360"/>
  <c r="C368"/>
  <c r="C370"/>
  <c r="C363"/>
  <c r="C365"/>
  <c r="C487"/>
  <c r="BN67" i="30"/>
  <c r="BM67"/>
  <c r="BL67"/>
  <c r="BN66"/>
  <c r="BM66"/>
  <c r="BL66"/>
  <c r="BN65"/>
  <c r="BM65"/>
  <c r="BL65"/>
  <c r="BN64"/>
  <c r="BM64"/>
  <c r="BL64"/>
  <c r="BI67"/>
  <c r="BH67"/>
  <c r="BG67"/>
  <c r="BI66"/>
  <c r="BH66"/>
  <c r="BG66"/>
  <c r="BI65"/>
  <c r="BH65"/>
  <c r="BG65"/>
  <c r="BI64"/>
  <c r="BH64"/>
  <c r="BG64"/>
  <c r="BD67"/>
  <c r="BC67"/>
  <c r="BB67"/>
  <c r="BD66"/>
  <c r="BC66"/>
  <c r="BB66"/>
  <c r="BD65"/>
  <c r="BC65"/>
  <c r="BB65"/>
  <c r="BD64"/>
  <c r="BC64"/>
  <c r="BB64"/>
  <c r="AY67"/>
  <c r="AX67"/>
  <c r="AW67"/>
  <c r="AY66"/>
  <c r="AX66"/>
  <c r="AW66"/>
  <c r="AY65"/>
  <c r="AX65"/>
  <c r="AW65"/>
  <c r="AY64"/>
  <c r="AX64"/>
  <c r="AW64"/>
  <c r="AT67"/>
  <c r="AS67"/>
  <c r="AR67"/>
  <c r="AT66"/>
  <c r="AS66"/>
  <c r="AR66"/>
  <c r="AT65"/>
  <c r="AS65"/>
  <c r="AR65"/>
  <c r="AT64"/>
  <c r="AS64"/>
  <c r="AR64"/>
  <c r="AO67"/>
  <c r="AN67"/>
  <c r="AM67"/>
  <c r="AO66"/>
  <c r="AN66"/>
  <c r="AM66"/>
  <c r="AO65"/>
  <c r="AN65"/>
  <c r="AM65"/>
  <c r="AO64"/>
  <c r="AN64"/>
  <c r="AM64"/>
  <c r="AJ67"/>
  <c r="AI67"/>
  <c r="AH67"/>
  <c r="AJ66"/>
  <c r="AI66"/>
  <c r="AH66"/>
  <c r="AJ65"/>
  <c r="AI65"/>
  <c r="AH65"/>
  <c r="AJ64"/>
  <c r="AI64"/>
  <c r="AH64"/>
  <c r="AE67"/>
  <c r="AD67"/>
  <c r="AC67"/>
  <c r="AE66"/>
  <c r="AD66"/>
  <c r="AC66"/>
  <c r="AE65"/>
  <c r="AD65"/>
  <c r="AC65"/>
  <c r="AE64"/>
  <c r="AD64"/>
  <c r="AC64"/>
  <c r="Z67"/>
  <c r="Y67"/>
  <c r="X67"/>
  <c r="Z66"/>
  <c r="Y66"/>
  <c r="X66"/>
  <c r="Z65"/>
  <c r="Y65"/>
  <c r="X65"/>
  <c r="Z64"/>
  <c r="Y64"/>
  <c r="X64"/>
  <c r="U67"/>
  <c r="T67"/>
  <c r="S67"/>
  <c r="U66"/>
  <c r="T66"/>
  <c r="S66"/>
  <c r="U65"/>
  <c r="T65"/>
  <c r="S65"/>
  <c r="U64"/>
  <c r="T64"/>
  <c r="S64"/>
  <c r="P67"/>
  <c r="O67"/>
  <c r="N67"/>
  <c r="P66"/>
  <c r="O66"/>
  <c r="N66"/>
  <c r="P65"/>
  <c r="O65"/>
  <c r="N65"/>
  <c r="P64"/>
  <c r="O64"/>
  <c r="N64"/>
  <c r="K67"/>
  <c r="J67"/>
  <c r="I67"/>
  <c r="K66"/>
  <c r="J66"/>
  <c r="I66"/>
  <c r="K65"/>
  <c r="J65"/>
  <c r="I65"/>
  <c r="K64"/>
  <c r="J64"/>
  <c r="I64"/>
  <c r="F67"/>
  <c r="E67"/>
  <c r="D67"/>
  <c r="F66"/>
  <c r="E66"/>
  <c r="D66"/>
  <c r="F65"/>
  <c r="E65"/>
  <c r="D65"/>
  <c r="F64"/>
  <c r="E64"/>
  <c r="D64"/>
  <c r="C60"/>
  <c r="C59"/>
  <c r="C58"/>
  <c r="C57"/>
  <c r="C56"/>
  <c r="C55"/>
  <c r="C54"/>
  <c r="C53"/>
  <c r="C52"/>
  <c r="C51"/>
  <c r="C50"/>
  <c r="C49"/>
  <c r="C48"/>
  <c r="BN60"/>
  <c r="BM60"/>
  <c r="BL60"/>
  <c r="BK60"/>
  <c r="BI60"/>
  <c r="BH60"/>
  <c r="BG60"/>
  <c r="BF60"/>
  <c r="BD60"/>
  <c r="BC60"/>
  <c r="BB60"/>
  <c r="BA60"/>
  <c r="AY60"/>
  <c r="AX60"/>
  <c r="AW60"/>
  <c r="AV60"/>
  <c r="AT60"/>
  <c r="AS60"/>
  <c r="AR60"/>
  <c r="AQ60"/>
  <c r="AO60"/>
  <c r="AN60"/>
  <c r="AM60"/>
  <c r="AL60"/>
  <c r="AJ60"/>
  <c r="AI60"/>
  <c r="AH60"/>
  <c r="AG60"/>
  <c r="AE60"/>
  <c r="AD60"/>
  <c r="AC60"/>
  <c r="AB60"/>
  <c r="Z60"/>
  <c r="Y60"/>
  <c r="X60"/>
  <c r="W60"/>
  <c r="U60"/>
  <c r="T60"/>
  <c r="S60"/>
  <c r="R60"/>
  <c r="P60"/>
  <c r="O60"/>
  <c r="N60"/>
  <c r="M60"/>
  <c r="K60"/>
  <c r="J60"/>
  <c r="I60"/>
  <c r="H60"/>
  <c r="F60"/>
  <c r="E60"/>
  <c r="D60"/>
  <c r="BN59"/>
  <c r="BM59"/>
  <c r="BL59"/>
  <c r="BK59"/>
  <c r="BI59"/>
  <c r="BH59"/>
  <c r="BG59"/>
  <c r="BF59"/>
  <c r="BD59"/>
  <c r="BC59"/>
  <c r="BB59"/>
  <c r="BA59"/>
  <c r="AY59"/>
  <c r="AX59"/>
  <c r="AW59"/>
  <c r="AV59"/>
  <c r="AT59"/>
  <c r="AS59"/>
  <c r="AR59"/>
  <c r="AQ59"/>
  <c r="AO59"/>
  <c r="AN59"/>
  <c r="AM59"/>
  <c r="AL59"/>
  <c r="AJ59"/>
  <c r="AI59"/>
  <c r="AH59"/>
  <c r="AG59"/>
  <c r="AE59"/>
  <c r="AD59"/>
  <c r="AC59"/>
  <c r="AB59"/>
  <c r="Z59"/>
  <c r="Y59"/>
  <c r="X59"/>
  <c r="W59"/>
  <c r="U59"/>
  <c r="T59"/>
  <c r="S59"/>
  <c r="R59"/>
  <c r="P59"/>
  <c r="O59"/>
  <c r="N59"/>
  <c r="M59"/>
  <c r="K59"/>
  <c r="J59"/>
  <c r="I59"/>
  <c r="H59"/>
  <c r="F59"/>
  <c r="E59"/>
  <c r="D59"/>
  <c r="BN58"/>
  <c r="BM58"/>
  <c r="BL58"/>
  <c r="BK58"/>
  <c r="BI58"/>
  <c r="BH58"/>
  <c r="BG58"/>
  <c r="BF58"/>
  <c r="BD58"/>
  <c r="BC58"/>
  <c r="BB58"/>
  <c r="BA58"/>
  <c r="AY58"/>
  <c r="AX58"/>
  <c r="AW58"/>
  <c r="AV58"/>
  <c r="AT58"/>
  <c r="AS58"/>
  <c r="AR58"/>
  <c r="AQ58"/>
  <c r="AO58"/>
  <c r="AN58"/>
  <c r="AM58"/>
  <c r="AL58"/>
  <c r="AJ58"/>
  <c r="AI58"/>
  <c r="AH58"/>
  <c r="AG58"/>
  <c r="AE58"/>
  <c r="AD58"/>
  <c r="AC58"/>
  <c r="AB58"/>
  <c r="Z58"/>
  <c r="Y58"/>
  <c r="X58"/>
  <c r="W58"/>
  <c r="U58"/>
  <c r="T58"/>
  <c r="S58"/>
  <c r="R58"/>
  <c r="P58"/>
  <c r="O58"/>
  <c r="N58"/>
  <c r="M58"/>
  <c r="K58"/>
  <c r="J58"/>
  <c r="I58"/>
  <c r="H58"/>
  <c r="F58"/>
  <c r="E58"/>
  <c r="D58"/>
  <c r="BN57"/>
  <c r="BM57"/>
  <c r="BL57"/>
  <c r="BK57"/>
  <c r="BI57"/>
  <c r="BH57"/>
  <c r="BG57"/>
  <c r="BF57"/>
  <c r="BD57"/>
  <c r="BC57"/>
  <c r="BB57"/>
  <c r="BA57"/>
  <c r="AY57"/>
  <c r="AX57"/>
  <c r="AW57"/>
  <c r="AV57"/>
  <c r="AT57"/>
  <c r="AS57"/>
  <c r="AR57"/>
  <c r="AQ57"/>
  <c r="AO57"/>
  <c r="AN57"/>
  <c r="AM57"/>
  <c r="AL57"/>
  <c r="AJ57"/>
  <c r="AI57"/>
  <c r="AH57"/>
  <c r="AG57"/>
  <c r="AE57"/>
  <c r="AD57"/>
  <c r="AC57"/>
  <c r="AB57"/>
  <c r="Z57"/>
  <c r="Y57"/>
  <c r="X57"/>
  <c r="W57"/>
  <c r="U57"/>
  <c r="T57"/>
  <c r="S57"/>
  <c r="R57"/>
  <c r="P57"/>
  <c r="O57"/>
  <c r="N57"/>
  <c r="M57"/>
  <c r="K57"/>
  <c r="J57"/>
  <c r="I57"/>
  <c r="H57"/>
  <c r="F57"/>
  <c r="E57"/>
  <c r="D57"/>
  <c r="BN56"/>
  <c r="BM56"/>
  <c r="BL56"/>
  <c r="BK56"/>
  <c r="BI56"/>
  <c r="BH56"/>
  <c r="BG56"/>
  <c r="BF56"/>
  <c r="BD56"/>
  <c r="BC56"/>
  <c r="BB56"/>
  <c r="BA56"/>
  <c r="AY56"/>
  <c r="AX56"/>
  <c r="AW56"/>
  <c r="AV56"/>
  <c r="AT56"/>
  <c r="AS56"/>
  <c r="AR56"/>
  <c r="AQ56"/>
  <c r="AO56"/>
  <c r="AN56"/>
  <c r="AM56"/>
  <c r="AL56"/>
  <c r="AJ56"/>
  <c r="AI56"/>
  <c r="AH56"/>
  <c r="AG56"/>
  <c r="AE56"/>
  <c r="AD56"/>
  <c r="AC56"/>
  <c r="AB56"/>
  <c r="Z56"/>
  <c r="Y56"/>
  <c r="X56"/>
  <c r="W56"/>
  <c r="U56"/>
  <c r="T56"/>
  <c r="S56"/>
  <c r="R56"/>
  <c r="P56"/>
  <c r="O56"/>
  <c r="N56"/>
  <c r="M56"/>
  <c r="K56"/>
  <c r="J56"/>
  <c r="I56"/>
  <c r="H56"/>
  <c r="F56"/>
  <c r="E56"/>
  <c r="D56"/>
  <c r="BN55"/>
  <c r="BM55"/>
  <c r="BL55"/>
  <c r="BK55"/>
  <c r="BI55"/>
  <c r="BH55"/>
  <c r="BG55"/>
  <c r="BF55"/>
  <c r="BD55"/>
  <c r="BC55"/>
  <c r="BB55"/>
  <c r="BA55"/>
  <c r="AY55"/>
  <c r="AX55"/>
  <c r="AW55"/>
  <c r="AV55"/>
  <c r="AT55"/>
  <c r="AS55"/>
  <c r="AR55"/>
  <c r="AQ55"/>
  <c r="AO55"/>
  <c r="AN55"/>
  <c r="AM55"/>
  <c r="AL55"/>
  <c r="AJ55"/>
  <c r="AI55"/>
  <c r="AH55"/>
  <c r="AG55"/>
  <c r="AE55"/>
  <c r="AD55"/>
  <c r="AC55"/>
  <c r="AB55"/>
  <c r="Z55"/>
  <c r="Y55"/>
  <c r="X55"/>
  <c r="W55"/>
  <c r="U55"/>
  <c r="T55"/>
  <c r="S55"/>
  <c r="R55"/>
  <c r="P55"/>
  <c r="O55"/>
  <c r="N55"/>
  <c r="M55"/>
  <c r="K55"/>
  <c r="J55"/>
  <c r="I55"/>
  <c r="H55"/>
  <c r="F55"/>
  <c r="E55"/>
  <c r="D55"/>
  <c r="BN54"/>
  <c r="BM54"/>
  <c r="BL54"/>
  <c r="BK54"/>
  <c r="BI54"/>
  <c r="BH54"/>
  <c r="BG54"/>
  <c r="BF54"/>
  <c r="BD54"/>
  <c r="BC54"/>
  <c r="BB54"/>
  <c r="BA54"/>
  <c r="AY54"/>
  <c r="AX54"/>
  <c r="AW54"/>
  <c r="AV54"/>
  <c r="AT54"/>
  <c r="AS54"/>
  <c r="AR54"/>
  <c r="AQ54"/>
  <c r="AO54"/>
  <c r="AN54"/>
  <c r="AM54"/>
  <c r="AL54"/>
  <c r="AJ54"/>
  <c r="AI54"/>
  <c r="AH54"/>
  <c r="AG54"/>
  <c r="AE54"/>
  <c r="AD54"/>
  <c r="AC54"/>
  <c r="AB54"/>
  <c r="Z54"/>
  <c r="Y54"/>
  <c r="X54"/>
  <c r="W54"/>
  <c r="U54"/>
  <c r="T54"/>
  <c r="S54"/>
  <c r="R54"/>
  <c r="P54"/>
  <c r="O54"/>
  <c r="N54"/>
  <c r="M54"/>
  <c r="K54"/>
  <c r="J54"/>
  <c r="I54"/>
  <c r="H54"/>
  <c r="F54"/>
  <c r="E54"/>
  <c r="D54"/>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F53"/>
  <c r="E53"/>
  <c r="D53"/>
  <c r="BN52"/>
  <c r="BM52"/>
  <c r="BL52"/>
  <c r="BK52"/>
  <c r="BI52"/>
  <c r="BH52"/>
  <c r="BG52"/>
  <c r="BF52"/>
  <c r="BD52"/>
  <c r="BC52"/>
  <c r="BB52"/>
  <c r="BA52"/>
  <c r="AY52"/>
  <c r="AX52"/>
  <c r="AW52"/>
  <c r="AV52"/>
  <c r="AT52"/>
  <c r="AS52"/>
  <c r="AR52"/>
  <c r="AQ52"/>
  <c r="AO52"/>
  <c r="AN52"/>
  <c r="AM52"/>
  <c r="AL52"/>
  <c r="AJ52"/>
  <c r="AI52"/>
  <c r="AH52"/>
  <c r="AG52"/>
  <c r="AE52"/>
  <c r="AD52"/>
  <c r="AC52"/>
  <c r="AB52"/>
  <c r="Z52"/>
  <c r="Y52"/>
  <c r="X52"/>
  <c r="W52"/>
  <c r="U52"/>
  <c r="T52"/>
  <c r="S52"/>
  <c r="R52"/>
  <c r="P52"/>
  <c r="O52"/>
  <c r="N52"/>
  <c r="M52"/>
  <c r="K52"/>
  <c r="J52"/>
  <c r="I52"/>
  <c r="H52"/>
  <c r="F52"/>
  <c r="E52"/>
  <c r="D52"/>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F51"/>
  <c r="E51"/>
  <c r="D51"/>
  <c r="BN50"/>
  <c r="BM50"/>
  <c r="BL50"/>
  <c r="BK50"/>
  <c r="BI50"/>
  <c r="BH50"/>
  <c r="BG50"/>
  <c r="BF50"/>
  <c r="BD50"/>
  <c r="BC50"/>
  <c r="BB50"/>
  <c r="BA50"/>
  <c r="AY50"/>
  <c r="AX50"/>
  <c r="AW50"/>
  <c r="AV50"/>
  <c r="AT50"/>
  <c r="AS50"/>
  <c r="AR50"/>
  <c r="AQ50"/>
  <c r="AO50"/>
  <c r="AN50"/>
  <c r="AM50"/>
  <c r="AL50"/>
  <c r="AJ50"/>
  <c r="AI50"/>
  <c r="AH50"/>
  <c r="AG50"/>
  <c r="AE50"/>
  <c r="AD50"/>
  <c r="AC50"/>
  <c r="AB50"/>
  <c r="Z50"/>
  <c r="Y50"/>
  <c r="X50"/>
  <c r="W50"/>
  <c r="U50"/>
  <c r="T50"/>
  <c r="S50"/>
  <c r="R50"/>
  <c r="P50"/>
  <c r="O50"/>
  <c r="N50"/>
  <c r="M50"/>
  <c r="K50"/>
  <c r="J50"/>
  <c r="I50"/>
  <c r="H50"/>
  <c r="F50"/>
  <c r="E50"/>
  <c r="D50"/>
  <c r="BN49"/>
  <c r="BM49"/>
  <c r="BL49"/>
  <c r="BK49"/>
  <c r="BI49"/>
  <c r="BH49"/>
  <c r="BG49"/>
  <c r="BF49"/>
  <c r="BD49"/>
  <c r="BC49"/>
  <c r="BB49"/>
  <c r="BA49"/>
  <c r="AY49"/>
  <c r="AX49"/>
  <c r="AW49"/>
  <c r="AV49"/>
  <c r="AT49"/>
  <c r="AS49"/>
  <c r="AR49"/>
  <c r="AQ49"/>
  <c r="AO49"/>
  <c r="AN49"/>
  <c r="AM49"/>
  <c r="AL49"/>
  <c r="AJ49"/>
  <c r="AI49"/>
  <c r="AH49"/>
  <c r="AG49"/>
  <c r="AE49"/>
  <c r="AD49"/>
  <c r="AC49"/>
  <c r="AB49"/>
  <c r="Z49"/>
  <c r="Y49"/>
  <c r="X49"/>
  <c r="W49"/>
  <c r="U49"/>
  <c r="T49"/>
  <c r="S49"/>
  <c r="R49"/>
  <c r="P49"/>
  <c r="O49"/>
  <c r="N49"/>
  <c r="M49"/>
  <c r="K49"/>
  <c r="J49"/>
  <c r="I49"/>
  <c r="H49"/>
  <c r="F49"/>
  <c r="E49"/>
  <c r="D49"/>
  <c r="BN48"/>
  <c r="BM48"/>
  <c r="BL48"/>
  <c r="BK48"/>
  <c r="BI48"/>
  <c r="BH48"/>
  <c r="BG48"/>
  <c r="BF48"/>
  <c r="BD48"/>
  <c r="BC48"/>
  <c r="BB48"/>
  <c r="BA48"/>
  <c r="AY48"/>
  <c r="AX48"/>
  <c r="AW48"/>
  <c r="AV48"/>
  <c r="AT48"/>
  <c r="AS48"/>
  <c r="AR48"/>
  <c r="AQ48"/>
  <c r="AO48"/>
  <c r="AN48"/>
  <c r="AM48"/>
  <c r="AL48"/>
  <c r="AJ48"/>
  <c r="AI48"/>
  <c r="AH48"/>
  <c r="AG48"/>
  <c r="AE48"/>
  <c r="AD48"/>
  <c r="AC48"/>
  <c r="AB48"/>
  <c r="Z48"/>
  <c r="Y48"/>
  <c r="X48"/>
  <c r="W48"/>
  <c r="U48"/>
  <c r="T48"/>
  <c r="S48"/>
  <c r="R48"/>
  <c r="P48"/>
  <c r="O48"/>
  <c r="N48"/>
  <c r="M48"/>
  <c r="K48"/>
  <c r="J48"/>
  <c r="I48"/>
  <c r="H48"/>
  <c r="F48"/>
  <c r="E48"/>
  <c r="D48"/>
  <c r="BN47"/>
  <c r="BM47"/>
  <c r="BL47"/>
  <c r="BK47"/>
  <c r="BI47"/>
  <c r="BH47"/>
  <c r="BG47"/>
  <c r="BF47"/>
  <c r="BD47"/>
  <c r="BC47"/>
  <c r="BB47"/>
  <c r="BA47"/>
  <c r="AY47"/>
  <c r="AX47"/>
  <c r="AW47"/>
  <c r="AV47"/>
  <c r="AT47"/>
  <c r="AS47"/>
  <c r="AR47"/>
  <c r="AQ47"/>
  <c r="AO47"/>
  <c r="AN47"/>
  <c r="AM47"/>
  <c r="AL47"/>
  <c r="AJ47"/>
  <c r="AI47"/>
  <c r="AH47"/>
  <c r="AG47"/>
  <c r="AE47"/>
  <c r="AD47"/>
  <c r="AC47"/>
  <c r="AB47"/>
  <c r="Z47"/>
  <c r="Y47"/>
  <c r="X47"/>
  <c r="W47"/>
  <c r="U47"/>
  <c r="T47"/>
  <c r="S47"/>
  <c r="R47"/>
  <c r="P47"/>
  <c r="O47"/>
  <c r="N47"/>
  <c r="M47"/>
  <c r="K47"/>
  <c r="J47"/>
  <c r="I47"/>
  <c r="H47"/>
  <c r="F47"/>
  <c r="E47"/>
  <c r="D47"/>
  <c r="C47"/>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N36"/>
  <c r="BM36"/>
  <c r="BL36"/>
  <c r="BN35"/>
  <c r="BM35"/>
  <c r="BL35"/>
  <c r="BN34"/>
  <c r="BM34"/>
  <c r="BL34"/>
  <c r="BN33"/>
  <c r="BM33"/>
  <c r="BL33"/>
  <c r="BN32"/>
  <c r="BM32"/>
  <c r="BL32"/>
  <c r="BI36"/>
  <c r="BH36"/>
  <c r="BG36"/>
  <c r="BI35"/>
  <c r="BH35"/>
  <c r="BG35"/>
  <c r="BI34"/>
  <c r="BH34"/>
  <c r="BG34"/>
  <c r="BI33"/>
  <c r="BH33"/>
  <c r="BG33"/>
  <c r="BI32"/>
  <c r="BH32"/>
  <c r="BG32"/>
  <c r="BD36"/>
  <c r="BC36"/>
  <c r="BB36"/>
  <c r="BD35"/>
  <c r="BC35"/>
  <c r="BB35"/>
  <c r="BD34"/>
  <c r="BC34"/>
  <c r="BB34"/>
  <c r="BD33"/>
  <c r="BC33"/>
  <c r="BB33"/>
  <c r="BD32"/>
  <c r="BC32"/>
  <c r="BB32"/>
  <c r="AY36"/>
  <c r="AX36"/>
  <c r="AW36"/>
  <c r="AY35"/>
  <c r="AX35"/>
  <c r="AW35"/>
  <c r="AY34"/>
  <c r="AX34"/>
  <c r="AW34"/>
  <c r="AY33"/>
  <c r="AX33"/>
  <c r="AW33"/>
  <c r="AY32"/>
  <c r="AX32"/>
  <c r="AW32"/>
  <c r="AT36"/>
  <c r="AS36"/>
  <c r="AR36"/>
  <c r="AT35"/>
  <c r="AS35"/>
  <c r="AR35"/>
  <c r="AT34"/>
  <c r="AS34"/>
  <c r="AR34"/>
  <c r="AT33"/>
  <c r="AS33"/>
  <c r="AR33"/>
  <c r="AT32"/>
  <c r="AS32"/>
  <c r="AR32"/>
  <c r="AO36"/>
  <c r="AN36"/>
  <c r="AM36"/>
  <c r="AO35"/>
  <c r="AN35"/>
  <c r="AM35"/>
  <c r="AO34"/>
  <c r="AN34"/>
  <c r="AM34"/>
  <c r="AO33"/>
  <c r="AN33"/>
  <c r="AM33"/>
  <c r="AO32"/>
  <c r="AN32"/>
  <c r="AM32"/>
  <c r="AJ36"/>
  <c r="AI36"/>
  <c r="AH36"/>
  <c r="AJ35"/>
  <c r="AI35"/>
  <c r="AH35"/>
  <c r="AJ34"/>
  <c r="AI34"/>
  <c r="AH34"/>
  <c r="AJ33"/>
  <c r="AI33"/>
  <c r="AH33"/>
  <c r="AJ32"/>
  <c r="AI32"/>
  <c r="AH32"/>
  <c r="AE36"/>
  <c r="AD36"/>
  <c r="AC36"/>
  <c r="AE35"/>
  <c r="AD35"/>
  <c r="AC35"/>
  <c r="AE34"/>
  <c r="AD34"/>
  <c r="AC34"/>
  <c r="AE33"/>
  <c r="AD33"/>
  <c r="AC33"/>
  <c r="AE32"/>
  <c r="AD32"/>
  <c r="AC32"/>
  <c r="Z36"/>
  <c r="Y36"/>
  <c r="X36"/>
  <c r="Z35"/>
  <c r="Y35"/>
  <c r="X35"/>
  <c r="Z34"/>
  <c r="Y34"/>
  <c r="X34"/>
  <c r="Z33"/>
  <c r="Y33"/>
  <c r="X33"/>
  <c r="Z32"/>
  <c r="Y32"/>
  <c r="X32"/>
  <c r="U36"/>
  <c r="T36"/>
  <c r="S36"/>
  <c r="U35"/>
  <c r="T35"/>
  <c r="S35"/>
  <c r="U34"/>
  <c r="T34"/>
  <c r="S34"/>
  <c r="U33"/>
  <c r="T33"/>
  <c r="S33"/>
  <c r="U32"/>
  <c r="T32"/>
  <c r="S32"/>
  <c r="P36"/>
  <c r="O36"/>
  <c r="N36"/>
  <c r="P35"/>
  <c r="O35"/>
  <c r="N35"/>
  <c r="P34"/>
  <c r="O34"/>
  <c r="N34"/>
  <c r="P33"/>
  <c r="O33"/>
  <c r="N33"/>
  <c r="P32"/>
  <c r="O32"/>
  <c r="N32"/>
  <c r="K36"/>
  <c r="J36"/>
  <c r="I36"/>
  <c r="K35"/>
  <c r="J35"/>
  <c r="I35"/>
  <c r="K34"/>
  <c r="J34"/>
  <c r="I34"/>
  <c r="K33"/>
  <c r="J33"/>
  <c r="I33"/>
  <c r="K32"/>
  <c r="J32"/>
  <c r="I32"/>
  <c r="F36"/>
  <c r="E36"/>
  <c r="D36"/>
  <c r="F35"/>
  <c r="E35"/>
  <c r="D35"/>
  <c r="F34"/>
  <c r="E34"/>
  <c r="D34"/>
  <c r="F33"/>
  <c r="E33"/>
  <c r="D33"/>
  <c r="F32"/>
  <c r="E32"/>
  <c r="D32"/>
  <c r="C26"/>
  <c r="C25"/>
  <c r="C24"/>
  <c r="C23"/>
  <c r="C22"/>
  <c r="C21"/>
  <c r="C20"/>
  <c r="C19"/>
  <c r="C18"/>
  <c r="C17"/>
  <c r="C16"/>
  <c r="C15"/>
  <c r="C14"/>
  <c r="BN26"/>
  <c r="BM26"/>
  <c r="BL26"/>
  <c r="BK26"/>
  <c r="BI26"/>
  <c r="BH26"/>
  <c r="BG26"/>
  <c r="BF26"/>
  <c r="BD26"/>
  <c r="BC26"/>
  <c r="BB26"/>
  <c r="BA26"/>
  <c r="AY26"/>
  <c r="AX26"/>
  <c r="AW26"/>
  <c r="AV26"/>
  <c r="AT26"/>
  <c r="AS26"/>
  <c r="AR26"/>
  <c r="AQ26"/>
  <c r="AO26"/>
  <c r="AN26"/>
  <c r="AM26"/>
  <c r="AL26"/>
  <c r="AJ26"/>
  <c r="AI26"/>
  <c r="AH26"/>
  <c r="AG26"/>
  <c r="AE26"/>
  <c r="AD26"/>
  <c r="AC26"/>
  <c r="AB26"/>
  <c r="Z26"/>
  <c r="Y26"/>
  <c r="X26"/>
  <c r="W26"/>
  <c r="U26"/>
  <c r="T26"/>
  <c r="S26"/>
  <c r="R26"/>
  <c r="P26"/>
  <c r="O26"/>
  <c r="N26"/>
  <c r="M26"/>
  <c r="K26"/>
  <c r="J26"/>
  <c r="I26"/>
  <c r="H26"/>
  <c r="F26"/>
  <c r="E26"/>
  <c r="D26"/>
  <c r="BN25"/>
  <c r="BM25"/>
  <c r="BL25"/>
  <c r="BK25"/>
  <c r="BI25"/>
  <c r="BH25"/>
  <c r="BG25"/>
  <c r="BF25"/>
  <c r="BD25"/>
  <c r="BC25"/>
  <c r="BB25"/>
  <c r="BA25"/>
  <c r="AY25"/>
  <c r="AX25"/>
  <c r="AW25"/>
  <c r="AV25"/>
  <c r="AT25"/>
  <c r="AS25"/>
  <c r="AR25"/>
  <c r="AQ25"/>
  <c r="AO25"/>
  <c r="AN25"/>
  <c r="AM25"/>
  <c r="AL25"/>
  <c r="AJ25"/>
  <c r="AI25"/>
  <c r="AH25"/>
  <c r="AG25"/>
  <c r="AE25"/>
  <c r="AD25"/>
  <c r="AC25"/>
  <c r="AB25"/>
  <c r="Z25"/>
  <c r="Y25"/>
  <c r="X25"/>
  <c r="W25"/>
  <c r="U25"/>
  <c r="T25"/>
  <c r="S25"/>
  <c r="R25"/>
  <c r="P25"/>
  <c r="O25"/>
  <c r="N25"/>
  <c r="M25"/>
  <c r="K25"/>
  <c r="J25"/>
  <c r="I25"/>
  <c r="H25"/>
  <c r="F25"/>
  <c r="E25"/>
  <c r="D25"/>
  <c r="BN24"/>
  <c r="BM24"/>
  <c r="BL24"/>
  <c r="BK24"/>
  <c r="BI24"/>
  <c r="BH24"/>
  <c r="BG24"/>
  <c r="BF24"/>
  <c r="BD24"/>
  <c r="BC24"/>
  <c r="BB24"/>
  <c r="BA24"/>
  <c r="AY24"/>
  <c r="AX24"/>
  <c r="AW24"/>
  <c r="AV24"/>
  <c r="AT24"/>
  <c r="AS24"/>
  <c r="AR24"/>
  <c r="AQ24"/>
  <c r="AO24"/>
  <c r="AN24"/>
  <c r="AM24"/>
  <c r="AL24"/>
  <c r="AJ24"/>
  <c r="AI24"/>
  <c r="AH24"/>
  <c r="AG24"/>
  <c r="AE24"/>
  <c r="AD24"/>
  <c r="AC24"/>
  <c r="AB24"/>
  <c r="Z24"/>
  <c r="Y24"/>
  <c r="X24"/>
  <c r="W24"/>
  <c r="U24"/>
  <c r="T24"/>
  <c r="S24"/>
  <c r="R24"/>
  <c r="P24"/>
  <c r="O24"/>
  <c r="N24"/>
  <c r="M24"/>
  <c r="K24"/>
  <c r="J24"/>
  <c r="I24"/>
  <c r="H24"/>
  <c r="F24"/>
  <c r="E24"/>
  <c r="D24"/>
  <c r="BN23"/>
  <c r="BM23"/>
  <c r="BL23"/>
  <c r="BK23"/>
  <c r="BI23"/>
  <c r="BH23"/>
  <c r="BG23"/>
  <c r="BF23"/>
  <c r="BD23"/>
  <c r="BC23"/>
  <c r="BB23"/>
  <c r="BA23"/>
  <c r="AY23"/>
  <c r="AX23"/>
  <c r="AW23"/>
  <c r="AV23"/>
  <c r="AT23"/>
  <c r="AS23"/>
  <c r="AR23"/>
  <c r="AQ23"/>
  <c r="AO23"/>
  <c r="AN23"/>
  <c r="AM23"/>
  <c r="AL23"/>
  <c r="AJ23"/>
  <c r="AI23"/>
  <c r="AH23"/>
  <c r="AG23"/>
  <c r="AE23"/>
  <c r="AD23"/>
  <c r="AC23"/>
  <c r="AB23"/>
  <c r="Z23"/>
  <c r="Y23"/>
  <c r="X23"/>
  <c r="W23"/>
  <c r="U23"/>
  <c r="T23"/>
  <c r="S23"/>
  <c r="R23"/>
  <c r="P23"/>
  <c r="O23"/>
  <c r="N23"/>
  <c r="M23"/>
  <c r="K23"/>
  <c r="J23"/>
  <c r="I23"/>
  <c r="H23"/>
  <c r="F23"/>
  <c r="E23"/>
  <c r="D23"/>
  <c r="BN22"/>
  <c r="BM22"/>
  <c r="BL22"/>
  <c r="BK22"/>
  <c r="BI22"/>
  <c r="BH22"/>
  <c r="BG22"/>
  <c r="BF22"/>
  <c r="BD22"/>
  <c r="BC22"/>
  <c r="BB22"/>
  <c r="BA22"/>
  <c r="AY22"/>
  <c r="AX22"/>
  <c r="AW22"/>
  <c r="AV22"/>
  <c r="AT22"/>
  <c r="AS22"/>
  <c r="AR22"/>
  <c r="AQ22"/>
  <c r="AO22"/>
  <c r="AN22"/>
  <c r="AM22"/>
  <c r="AL22"/>
  <c r="AJ22"/>
  <c r="AI22"/>
  <c r="AH22"/>
  <c r="AG22"/>
  <c r="AE22"/>
  <c r="AD22"/>
  <c r="AC22"/>
  <c r="AB22"/>
  <c r="Z22"/>
  <c r="Y22"/>
  <c r="X22"/>
  <c r="W22"/>
  <c r="U22"/>
  <c r="T22"/>
  <c r="S22"/>
  <c r="R22"/>
  <c r="P22"/>
  <c r="O22"/>
  <c r="N22"/>
  <c r="M22"/>
  <c r="K22"/>
  <c r="J22"/>
  <c r="I22"/>
  <c r="H22"/>
  <c r="F22"/>
  <c r="E22"/>
  <c r="D22"/>
  <c r="BN21"/>
  <c r="BM21"/>
  <c r="BL21"/>
  <c r="BK21"/>
  <c r="BI21"/>
  <c r="BH21"/>
  <c r="BG21"/>
  <c r="BF21"/>
  <c r="BD21"/>
  <c r="BC21"/>
  <c r="BB21"/>
  <c r="BA21"/>
  <c r="AY21"/>
  <c r="AX21"/>
  <c r="AW21"/>
  <c r="AV21"/>
  <c r="AT21"/>
  <c r="AS21"/>
  <c r="AR21"/>
  <c r="AQ21"/>
  <c r="AO21"/>
  <c r="AN21"/>
  <c r="AM21"/>
  <c r="AL21"/>
  <c r="AJ21"/>
  <c r="AI21"/>
  <c r="AH21"/>
  <c r="AG21"/>
  <c r="AE21"/>
  <c r="AD21"/>
  <c r="AC21"/>
  <c r="AB21"/>
  <c r="Z21"/>
  <c r="Y21"/>
  <c r="X21"/>
  <c r="W21"/>
  <c r="U21"/>
  <c r="T21"/>
  <c r="S21"/>
  <c r="R21"/>
  <c r="P21"/>
  <c r="O21"/>
  <c r="N21"/>
  <c r="M21"/>
  <c r="K21"/>
  <c r="J21"/>
  <c r="I21"/>
  <c r="H21"/>
  <c r="F21"/>
  <c r="E21"/>
  <c r="D21"/>
  <c r="BN20"/>
  <c r="BM20"/>
  <c r="BL20"/>
  <c r="BK20"/>
  <c r="BI20"/>
  <c r="BH20"/>
  <c r="BG20"/>
  <c r="BF20"/>
  <c r="BD20"/>
  <c r="BC20"/>
  <c r="BB20"/>
  <c r="BA20"/>
  <c r="AY20"/>
  <c r="AX20"/>
  <c r="AW20"/>
  <c r="AV20"/>
  <c r="AT20"/>
  <c r="AS20"/>
  <c r="AR20"/>
  <c r="AQ20"/>
  <c r="AO20"/>
  <c r="AN20"/>
  <c r="AM20"/>
  <c r="AL20"/>
  <c r="AJ20"/>
  <c r="AI20"/>
  <c r="AH20"/>
  <c r="AG20"/>
  <c r="AE20"/>
  <c r="AD20"/>
  <c r="AC20"/>
  <c r="AB20"/>
  <c r="Z20"/>
  <c r="Y20"/>
  <c r="X20"/>
  <c r="W20"/>
  <c r="U20"/>
  <c r="T20"/>
  <c r="S20"/>
  <c r="R20"/>
  <c r="P20"/>
  <c r="O20"/>
  <c r="N20"/>
  <c r="M20"/>
  <c r="K20"/>
  <c r="J20"/>
  <c r="I20"/>
  <c r="H20"/>
  <c r="F20"/>
  <c r="E20"/>
  <c r="D20"/>
  <c r="BN19"/>
  <c r="BM19"/>
  <c r="BL19"/>
  <c r="BK19"/>
  <c r="BI19"/>
  <c r="BH19"/>
  <c r="BG19"/>
  <c r="BF19"/>
  <c r="BD19"/>
  <c r="BC19"/>
  <c r="BB19"/>
  <c r="BA19"/>
  <c r="AY19"/>
  <c r="AX19"/>
  <c r="AW19"/>
  <c r="AV19"/>
  <c r="AT19"/>
  <c r="AS19"/>
  <c r="AR19"/>
  <c r="AQ19"/>
  <c r="AO19"/>
  <c r="AN19"/>
  <c r="AM19"/>
  <c r="AL19"/>
  <c r="AJ19"/>
  <c r="AI19"/>
  <c r="AH19"/>
  <c r="AG19"/>
  <c r="AE19"/>
  <c r="AD19"/>
  <c r="AC19"/>
  <c r="AB19"/>
  <c r="Z19"/>
  <c r="Y19"/>
  <c r="X19"/>
  <c r="W19"/>
  <c r="U19"/>
  <c r="T19"/>
  <c r="S19"/>
  <c r="R19"/>
  <c r="P19"/>
  <c r="O19"/>
  <c r="N19"/>
  <c r="M19"/>
  <c r="K19"/>
  <c r="J19"/>
  <c r="I19"/>
  <c r="H19"/>
  <c r="F19"/>
  <c r="E19"/>
  <c r="D19"/>
  <c r="BN18"/>
  <c r="BM18"/>
  <c r="BL18"/>
  <c r="BK18"/>
  <c r="BI18"/>
  <c r="BH18"/>
  <c r="BG18"/>
  <c r="BF18"/>
  <c r="BD18"/>
  <c r="BC18"/>
  <c r="BB18"/>
  <c r="BA18"/>
  <c r="AY18"/>
  <c r="AX18"/>
  <c r="AW18"/>
  <c r="AV18"/>
  <c r="AT18"/>
  <c r="AS18"/>
  <c r="AR18"/>
  <c r="AQ18"/>
  <c r="AO18"/>
  <c r="AN18"/>
  <c r="AM18"/>
  <c r="AL18"/>
  <c r="AJ18"/>
  <c r="AI18"/>
  <c r="AH18"/>
  <c r="AG18"/>
  <c r="AE18"/>
  <c r="AD18"/>
  <c r="AC18"/>
  <c r="AB18"/>
  <c r="Z18"/>
  <c r="Y18"/>
  <c r="X18"/>
  <c r="W18"/>
  <c r="U18"/>
  <c r="T18"/>
  <c r="S18"/>
  <c r="R18"/>
  <c r="P18"/>
  <c r="O18"/>
  <c r="N18"/>
  <c r="M18"/>
  <c r="K18"/>
  <c r="J18"/>
  <c r="I18"/>
  <c r="H18"/>
  <c r="F18"/>
  <c r="E18"/>
  <c r="D18"/>
  <c r="BN17"/>
  <c r="BM17"/>
  <c r="BL17"/>
  <c r="BK17"/>
  <c r="BI17"/>
  <c r="BH17"/>
  <c r="BG17"/>
  <c r="BF17"/>
  <c r="BD17"/>
  <c r="BC17"/>
  <c r="BB17"/>
  <c r="BA17"/>
  <c r="AY17"/>
  <c r="AX17"/>
  <c r="AW17"/>
  <c r="AV17"/>
  <c r="AT17"/>
  <c r="AS17"/>
  <c r="AR17"/>
  <c r="AQ17"/>
  <c r="AO17"/>
  <c r="AN17"/>
  <c r="AM17"/>
  <c r="AL17"/>
  <c r="AJ17"/>
  <c r="AI17"/>
  <c r="AH17"/>
  <c r="AG17"/>
  <c r="AE17"/>
  <c r="AD17"/>
  <c r="AC17"/>
  <c r="AB17"/>
  <c r="Z17"/>
  <c r="Y17"/>
  <c r="X17"/>
  <c r="W17"/>
  <c r="U17"/>
  <c r="T17"/>
  <c r="S17"/>
  <c r="R17"/>
  <c r="P17"/>
  <c r="O17"/>
  <c r="N17"/>
  <c r="M17"/>
  <c r="K17"/>
  <c r="J17"/>
  <c r="I17"/>
  <c r="H17"/>
  <c r="F17"/>
  <c r="E17"/>
  <c r="D17"/>
  <c r="BN16"/>
  <c r="BM16"/>
  <c r="BL16"/>
  <c r="BK16"/>
  <c r="BI16"/>
  <c r="BH16"/>
  <c r="BG16"/>
  <c r="BF16"/>
  <c r="BD16"/>
  <c r="BC16"/>
  <c r="BB16"/>
  <c r="BA16"/>
  <c r="AY16"/>
  <c r="AX16"/>
  <c r="AW16"/>
  <c r="AV16"/>
  <c r="AT16"/>
  <c r="AS16"/>
  <c r="AR16"/>
  <c r="AQ16"/>
  <c r="AO16"/>
  <c r="AN16"/>
  <c r="AM16"/>
  <c r="AL16"/>
  <c r="AJ16"/>
  <c r="AI16"/>
  <c r="AH16"/>
  <c r="AG16"/>
  <c r="AE16"/>
  <c r="AD16"/>
  <c r="AC16"/>
  <c r="AB16"/>
  <c r="Z16"/>
  <c r="Y16"/>
  <c r="X16"/>
  <c r="W16"/>
  <c r="U16"/>
  <c r="T16"/>
  <c r="S16"/>
  <c r="R16"/>
  <c r="P16"/>
  <c r="O16"/>
  <c r="N16"/>
  <c r="M16"/>
  <c r="K16"/>
  <c r="J16"/>
  <c r="I16"/>
  <c r="H16"/>
  <c r="F16"/>
  <c r="E16"/>
  <c r="D16"/>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F15"/>
  <c r="E15"/>
  <c r="D15"/>
  <c r="BN14"/>
  <c r="BM14"/>
  <c r="BL14"/>
  <c r="BK14"/>
  <c r="BI14"/>
  <c r="BH14"/>
  <c r="BG14"/>
  <c r="BF14"/>
  <c r="BD14"/>
  <c r="BC14"/>
  <c r="BB14"/>
  <c r="BA14"/>
  <c r="AY14"/>
  <c r="AX14"/>
  <c r="AW14"/>
  <c r="AV14"/>
  <c r="AT14"/>
  <c r="AS14"/>
  <c r="AR14"/>
  <c r="AQ14"/>
  <c r="AO14"/>
  <c r="AN14"/>
  <c r="AM14"/>
  <c r="AL14"/>
  <c r="AJ14"/>
  <c r="AI14"/>
  <c r="AH14"/>
  <c r="AG14"/>
  <c r="AE14"/>
  <c r="AD14"/>
  <c r="AC14"/>
  <c r="AB14"/>
  <c r="Z14"/>
  <c r="Y14"/>
  <c r="X14"/>
  <c r="W14"/>
  <c r="U14"/>
  <c r="T14"/>
  <c r="S14"/>
  <c r="R14"/>
  <c r="P14"/>
  <c r="O14"/>
  <c r="N14"/>
  <c r="M14"/>
  <c r="K14"/>
  <c r="J14"/>
  <c r="I14"/>
  <c r="H14"/>
  <c r="F14"/>
  <c r="E14"/>
  <c r="D14"/>
  <c r="BN13"/>
  <c r="BM13"/>
  <c r="BL13"/>
  <c r="BK13"/>
  <c r="BI13"/>
  <c r="BH13"/>
  <c r="BG13"/>
  <c r="BF13"/>
  <c r="BD13"/>
  <c r="BC13"/>
  <c r="BB13"/>
  <c r="BA13"/>
  <c r="AY13"/>
  <c r="AX13"/>
  <c r="AW13"/>
  <c r="AV13"/>
  <c r="AT13"/>
  <c r="AS13"/>
  <c r="AR13"/>
  <c r="AQ13"/>
  <c r="AO13"/>
  <c r="AN13"/>
  <c r="AM13"/>
  <c r="AL13"/>
  <c r="AJ13"/>
  <c r="AI13"/>
  <c r="AH13"/>
  <c r="AG13"/>
  <c r="AE13"/>
  <c r="AD13"/>
  <c r="AC13"/>
  <c r="AB13"/>
  <c r="Z13"/>
  <c r="Y13"/>
  <c r="X13"/>
  <c r="W13"/>
  <c r="U13"/>
  <c r="T13"/>
  <c r="S13"/>
  <c r="R13"/>
  <c r="P13"/>
  <c r="O13"/>
  <c r="N13"/>
  <c r="M13"/>
  <c r="K13"/>
  <c r="J13"/>
  <c r="I13"/>
  <c r="H13"/>
  <c r="F13"/>
  <c r="E13"/>
  <c r="D13"/>
  <c r="C13"/>
  <c r="D11" i="34"/>
  <c r="C11"/>
  <c r="B11"/>
  <c r="D3"/>
  <c r="C3"/>
  <c r="B3"/>
  <c r="B69" i="44"/>
  <c r="B68"/>
  <c r="B67"/>
  <c r="M69"/>
  <c r="L69"/>
  <c r="K69"/>
  <c r="J69"/>
  <c r="I69"/>
  <c r="H69"/>
  <c r="G69"/>
  <c r="F69"/>
  <c r="E69"/>
  <c r="D69"/>
  <c r="C69"/>
  <c r="M68"/>
  <c r="L68"/>
  <c r="K68"/>
  <c r="J68"/>
  <c r="I68"/>
  <c r="H68"/>
  <c r="G68"/>
  <c r="F68"/>
  <c r="E68"/>
  <c r="D68"/>
  <c r="C68"/>
  <c r="M67"/>
  <c r="L67"/>
  <c r="K67"/>
  <c r="J67"/>
  <c r="I67"/>
  <c r="H67"/>
  <c r="G67"/>
  <c r="F67"/>
  <c r="E67"/>
  <c r="D67"/>
  <c r="C67"/>
  <c r="M66"/>
  <c r="L66"/>
  <c r="K66"/>
  <c r="J66"/>
  <c r="I66"/>
  <c r="H66"/>
  <c r="G66"/>
  <c r="F66"/>
  <c r="E66"/>
  <c r="D66"/>
  <c r="C66"/>
  <c r="B66"/>
  <c r="B28" i="45"/>
  <c r="C28"/>
  <c r="D28"/>
  <c r="E28"/>
  <c r="F28"/>
  <c r="G28"/>
  <c r="H28"/>
  <c r="I28"/>
  <c r="J28"/>
  <c r="K28"/>
  <c r="L28"/>
  <c r="M28"/>
  <c r="C27"/>
  <c r="D27"/>
  <c r="E27"/>
  <c r="F27"/>
  <c r="G27"/>
  <c r="H27"/>
  <c r="I27"/>
  <c r="J27"/>
  <c r="K27"/>
  <c r="L27"/>
  <c r="M27"/>
  <c r="B27"/>
  <c r="D84" i="21"/>
  <c r="F84"/>
  <c r="B84"/>
  <c r="F292" i="43"/>
  <c r="G7"/>
  <c r="G12" s="1"/>
  <c r="H7"/>
  <c r="I7"/>
  <c r="I32" s="1"/>
  <c r="J7"/>
  <c r="K7"/>
  <c r="K12" s="1"/>
  <c r="L7"/>
  <c r="M7"/>
  <c r="M32" s="1"/>
  <c r="N7"/>
  <c r="O7"/>
  <c r="O12" s="1"/>
  <c r="C8"/>
  <c r="D9"/>
  <c r="D8" s="1"/>
  <c r="E9"/>
  <c r="E10" s="1"/>
  <c r="F9"/>
  <c r="F8" s="1"/>
  <c r="G9"/>
  <c r="G8" s="1"/>
  <c r="H9"/>
  <c r="H8" s="1"/>
  <c r="I9"/>
  <c r="I8" s="1"/>
  <c r="J9"/>
  <c r="J8" s="1"/>
  <c r="K9"/>
  <c r="K8" s="1"/>
  <c r="L9"/>
  <c r="L8" s="1"/>
  <c r="M9"/>
  <c r="M8" s="1"/>
  <c r="N9"/>
  <c r="N8" s="1"/>
  <c r="O9"/>
  <c r="O8" s="1"/>
  <c r="D10"/>
  <c r="F10"/>
  <c r="G11"/>
  <c r="G10"/>
  <c r="H11"/>
  <c r="H10"/>
  <c r="I11"/>
  <c r="I10"/>
  <c r="J11"/>
  <c r="J10"/>
  <c r="K11"/>
  <c r="K10"/>
  <c r="L11"/>
  <c r="L10"/>
  <c r="M11"/>
  <c r="M10"/>
  <c r="N11"/>
  <c r="N10"/>
  <c r="O11"/>
  <c r="O10"/>
  <c r="C12"/>
  <c r="D12"/>
  <c r="E12"/>
  <c r="F12"/>
  <c r="H12"/>
  <c r="J12"/>
  <c r="L12"/>
  <c r="N12"/>
  <c r="C14"/>
  <c r="C13" s="1"/>
  <c r="D14"/>
  <c r="D13" s="1"/>
  <c r="E14"/>
  <c r="E13" s="1"/>
  <c r="F14"/>
  <c r="F13" s="1"/>
  <c r="G14"/>
  <c r="G13" s="1"/>
  <c r="H14"/>
  <c r="H13" s="1"/>
  <c r="I14"/>
  <c r="I13" s="1"/>
  <c r="J14"/>
  <c r="J13" s="1"/>
  <c r="K14"/>
  <c r="K13" s="1"/>
  <c r="L14"/>
  <c r="L13" s="1"/>
  <c r="M14"/>
  <c r="M13" s="1"/>
  <c r="N14"/>
  <c r="N13" s="1"/>
  <c r="O14"/>
  <c r="O13" s="1"/>
  <c r="C15"/>
  <c r="E15"/>
  <c r="G16"/>
  <c r="G15" s="1"/>
  <c r="H16"/>
  <c r="H15" s="1"/>
  <c r="I16"/>
  <c r="I15" s="1"/>
  <c r="J16"/>
  <c r="J17" s="1"/>
  <c r="K16"/>
  <c r="K15" s="1"/>
  <c r="L16"/>
  <c r="L15" s="1"/>
  <c r="M16"/>
  <c r="M15" s="1"/>
  <c r="N16"/>
  <c r="N17" s="1"/>
  <c r="O15"/>
  <c r="C17"/>
  <c r="D17"/>
  <c r="E17"/>
  <c r="F17"/>
  <c r="G17"/>
  <c r="I17"/>
  <c r="K17"/>
  <c r="M17"/>
  <c r="C18"/>
  <c r="D19"/>
  <c r="D18" s="1"/>
  <c r="E19"/>
  <c r="E20" s="1"/>
  <c r="F19"/>
  <c r="F18" s="1"/>
  <c r="G19"/>
  <c r="G18" s="1"/>
  <c r="H19"/>
  <c r="H18" s="1"/>
  <c r="I19"/>
  <c r="I18" s="1"/>
  <c r="J19"/>
  <c r="J18" s="1"/>
  <c r="K19"/>
  <c r="K18" s="1"/>
  <c r="L19"/>
  <c r="L18" s="1"/>
  <c r="M19"/>
  <c r="M18" s="1"/>
  <c r="N19"/>
  <c r="O19" s="1"/>
  <c r="D20"/>
  <c r="F20"/>
  <c r="G21"/>
  <c r="G20"/>
  <c r="H21"/>
  <c r="H20"/>
  <c r="I21"/>
  <c r="I20"/>
  <c r="J21"/>
  <c r="J20"/>
  <c r="K21"/>
  <c r="K20"/>
  <c r="L21"/>
  <c r="L20"/>
  <c r="M21"/>
  <c r="M20"/>
  <c r="N21"/>
  <c r="N20"/>
  <c r="O21"/>
  <c r="C22"/>
  <c r="D22"/>
  <c r="E22"/>
  <c r="F22"/>
  <c r="H22"/>
  <c r="J22"/>
  <c r="L22"/>
  <c r="N22"/>
  <c r="C24"/>
  <c r="C23" s="1"/>
  <c r="D24"/>
  <c r="D23" s="1"/>
  <c r="E24"/>
  <c r="E23" s="1"/>
  <c r="F24"/>
  <c r="F23" s="1"/>
  <c r="G24"/>
  <c r="G23" s="1"/>
  <c r="H24"/>
  <c r="H23" s="1"/>
  <c r="I24"/>
  <c r="I23" s="1"/>
  <c r="J24"/>
  <c r="J23" s="1"/>
  <c r="K24"/>
  <c r="K23" s="1"/>
  <c r="L24"/>
  <c r="L23" s="1"/>
  <c r="M24"/>
  <c r="M23" s="1"/>
  <c r="N24"/>
  <c r="N23" s="1"/>
  <c r="O24"/>
  <c r="O25" s="1"/>
  <c r="C25"/>
  <c r="E25"/>
  <c r="G26"/>
  <c r="G25" s="1"/>
  <c r="H26"/>
  <c r="H25" s="1"/>
  <c r="I26"/>
  <c r="I25" s="1"/>
  <c r="J26"/>
  <c r="J27" s="1"/>
  <c r="K26"/>
  <c r="K25" s="1"/>
  <c r="L26"/>
  <c r="L25" s="1"/>
  <c r="M26"/>
  <c r="M25" s="1"/>
  <c r="N26"/>
  <c r="N27" s="1"/>
  <c r="O26"/>
  <c r="C27"/>
  <c r="D27"/>
  <c r="E27"/>
  <c r="F27"/>
  <c r="G27"/>
  <c r="I27"/>
  <c r="K27"/>
  <c r="M27"/>
  <c r="O27"/>
  <c r="C29"/>
  <c r="C28"/>
  <c r="D29"/>
  <c r="D28"/>
  <c r="E29"/>
  <c r="E28"/>
  <c r="F29"/>
  <c r="F28"/>
  <c r="G29"/>
  <c r="G28"/>
  <c r="H29"/>
  <c r="H28"/>
  <c r="I29"/>
  <c r="I28"/>
  <c r="J29"/>
  <c r="J28"/>
  <c r="K29"/>
  <c r="K28"/>
  <c r="L29"/>
  <c r="L28"/>
  <c r="M29"/>
  <c r="M28"/>
  <c r="N29"/>
  <c r="N28"/>
  <c r="O29"/>
  <c r="O28"/>
  <c r="C30"/>
  <c r="D30"/>
  <c r="E30"/>
  <c r="F30"/>
  <c r="G31"/>
  <c r="G30"/>
  <c r="H31"/>
  <c r="H30"/>
  <c r="I31"/>
  <c r="I30"/>
  <c r="J31"/>
  <c r="J30"/>
  <c r="K31"/>
  <c r="K30"/>
  <c r="L31"/>
  <c r="L30"/>
  <c r="M31"/>
  <c r="M30"/>
  <c r="N31"/>
  <c r="N30"/>
  <c r="O31"/>
  <c r="O30"/>
  <c r="C32"/>
  <c r="D32"/>
  <c r="E32"/>
  <c r="F32"/>
  <c r="H32"/>
  <c r="J32"/>
  <c r="L32"/>
  <c r="N32"/>
  <c r="C34"/>
  <c r="C33" s="1"/>
  <c r="D34"/>
  <c r="D33" s="1"/>
  <c r="E34"/>
  <c r="E33" s="1"/>
  <c r="F34"/>
  <c r="F35" s="1"/>
  <c r="G34"/>
  <c r="G33" s="1"/>
  <c r="H34"/>
  <c r="H33" s="1"/>
  <c r="I34"/>
  <c r="I33" s="1"/>
  <c r="J34"/>
  <c r="J33" s="1"/>
  <c r="K34"/>
  <c r="K33" s="1"/>
  <c r="L34"/>
  <c r="L33" s="1"/>
  <c r="M34"/>
  <c r="M33" s="1"/>
  <c r="N34"/>
  <c r="N33" s="1"/>
  <c r="O34"/>
  <c r="O33" s="1"/>
  <c r="C35"/>
  <c r="E35"/>
  <c r="G36"/>
  <c r="G35" s="1"/>
  <c r="H36"/>
  <c r="H35" s="1"/>
  <c r="I36"/>
  <c r="I35" s="1"/>
  <c r="J36"/>
  <c r="J35" s="1"/>
  <c r="K36"/>
  <c r="K35" s="1"/>
  <c r="L36"/>
  <c r="L35" s="1"/>
  <c r="M36"/>
  <c r="M35" s="1"/>
  <c r="N36"/>
  <c r="N35" s="1"/>
  <c r="O35"/>
  <c r="C37"/>
  <c r="D37"/>
  <c r="E37"/>
  <c r="F37"/>
  <c r="G37"/>
  <c r="I37"/>
  <c r="K37"/>
  <c r="M37"/>
  <c r="C38"/>
  <c r="D39"/>
  <c r="D38" s="1"/>
  <c r="E39"/>
  <c r="E38" s="1"/>
  <c r="F39"/>
  <c r="F38" s="1"/>
  <c r="G39"/>
  <c r="G38" s="1"/>
  <c r="H39"/>
  <c r="H38" s="1"/>
  <c r="I39"/>
  <c r="I38" s="1"/>
  <c r="J39"/>
  <c r="J38" s="1"/>
  <c r="K39"/>
  <c r="K38" s="1"/>
  <c r="L39"/>
  <c r="L38" s="1"/>
  <c r="M39"/>
  <c r="M38" s="1"/>
  <c r="N39"/>
  <c r="N38" s="1"/>
  <c r="O39"/>
  <c r="O38" s="1"/>
  <c r="D40"/>
  <c r="F40"/>
  <c r="G41"/>
  <c r="G40"/>
  <c r="H41"/>
  <c r="H40"/>
  <c r="I41"/>
  <c r="I40"/>
  <c r="J41"/>
  <c r="J40"/>
  <c r="K41"/>
  <c r="K40"/>
  <c r="L41"/>
  <c r="L40"/>
  <c r="M41"/>
  <c r="M40"/>
  <c r="N41"/>
  <c r="N40"/>
  <c r="O41"/>
  <c r="O40"/>
  <c r="C42"/>
  <c r="D42"/>
  <c r="E42"/>
  <c r="F42"/>
  <c r="H42"/>
  <c r="J42"/>
  <c r="L42"/>
  <c r="N42"/>
  <c r="C43"/>
  <c r="D44"/>
  <c r="D43"/>
  <c r="E44"/>
  <c r="E43"/>
  <c r="F44"/>
  <c r="F43"/>
  <c r="G44"/>
  <c r="G43"/>
  <c r="H44"/>
  <c r="H43"/>
  <c r="I44"/>
  <c r="I43"/>
  <c r="J44"/>
  <c r="J43"/>
  <c r="K44"/>
  <c r="K43"/>
  <c r="L44"/>
  <c r="L43"/>
  <c r="M44"/>
  <c r="M43"/>
  <c r="N44"/>
  <c r="N43"/>
  <c r="O44"/>
  <c r="O43"/>
  <c r="D45"/>
  <c r="E45"/>
  <c r="F45"/>
  <c r="G46"/>
  <c r="G45" s="1"/>
  <c r="H46"/>
  <c r="H45" s="1"/>
  <c r="I46"/>
  <c r="I45" s="1"/>
  <c r="J46"/>
  <c r="J47" s="1"/>
  <c r="K46"/>
  <c r="K45" s="1"/>
  <c r="L46"/>
  <c r="L45" s="1"/>
  <c r="M46"/>
  <c r="M45" s="1"/>
  <c r="N46"/>
  <c r="N47" s="1"/>
  <c r="O46"/>
  <c r="O45" s="1"/>
  <c r="C47"/>
  <c r="D47"/>
  <c r="E47"/>
  <c r="F47"/>
  <c r="G47"/>
  <c r="I47"/>
  <c r="K47"/>
  <c r="M47"/>
  <c r="O47"/>
  <c r="C49"/>
  <c r="C48"/>
  <c r="D49"/>
  <c r="D48"/>
  <c r="E49"/>
  <c r="E48"/>
  <c r="F49"/>
  <c r="F48"/>
  <c r="G49"/>
  <c r="G48"/>
  <c r="H49"/>
  <c r="H48"/>
  <c r="I49"/>
  <c r="I48"/>
  <c r="J49"/>
  <c r="J48"/>
  <c r="K49"/>
  <c r="K48"/>
  <c r="L49"/>
  <c r="L48"/>
  <c r="M49"/>
  <c r="M48"/>
  <c r="N49"/>
  <c r="O49" s="1"/>
  <c r="N48"/>
  <c r="C50"/>
  <c r="D50"/>
  <c r="E50"/>
  <c r="F50"/>
  <c r="G51"/>
  <c r="G50"/>
  <c r="H51"/>
  <c r="H50"/>
  <c r="I51"/>
  <c r="I50"/>
  <c r="J51"/>
  <c r="J50"/>
  <c r="K51"/>
  <c r="K50"/>
  <c r="L51"/>
  <c r="L50"/>
  <c r="M51"/>
  <c r="M50"/>
  <c r="N51"/>
  <c r="N50"/>
  <c r="O51"/>
  <c r="C52"/>
  <c r="D52"/>
  <c r="E52"/>
  <c r="F52"/>
  <c r="H52"/>
  <c r="J52"/>
  <c r="L52"/>
  <c r="N52"/>
  <c r="C54"/>
  <c r="D54"/>
  <c r="E54"/>
  <c r="F54"/>
  <c r="G54"/>
  <c r="H54"/>
  <c r="I54"/>
  <c r="J54"/>
  <c r="K54"/>
  <c r="L54"/>
  <c r="M54"/>
  <c r="N54"/>
  <c r="O54"/>
  <c r="O53" s="1"/>
  <c r="C55"/>
  <c r="D55"/>
  <c r="E55"/>
  <c r="F55"/>
  <c r="G56"/>
  <c r="G55" s="1"/>
  <c r="H56"/>
  <c r="H55" s="1"/>
  <c r="I56"/>
  <c r="I55" s="1"/>
  <c r="J56"/>
  <c r="J55" s="1"/>
  <c r="K56"/>
  <c r="K55" s="1"/>
  <c r="L56"/>
  <c r="L55" s="1"/>
  <c r="M56"/>
  <c r="M55" s="1"/>
  <c r="N56"/>
  <c r="N55" s="1"/>
  <c r="O56"/>
  <c r="C57"/>
  <c r="D57"/>
  <c r="E57"/>
  <c r="F57"/>
  <c r="G57"/>
  <c r="I57"/>
  <c r="K57"/>
  <c r="M57"/>
  <c r="O57"/>
  <c r="C59"/>
  <c r="C58"/>
  <c r="D59"/>
  <c r="D58"/>
  <c r="E59"/>
  <c r="E58"/>
  <c r="F59"/>
  <c r="F58"/>
  <c r="G59"/>
  <c r="G58"/>
  <c r="H59"/>
  <c r="H58"/>
  <c r="I59"/>
  <c r="I58"/>
  <c r="J59"/>
  <c r="J58"/>
  <c r="K59"/>
  <c r="K58"/>
  <c r="L59"/>
  <c r="L58"/>
  <c r="M59"/>
  <c r="M58"/>
  <c r="N59"/>
  <c r="N58"/>
  <c r="O59"/>
  <c r="O58"/>
  <c r="C60"/>
  <c r="D60"/>
  <c r="E60"/>
  <c r="F60"/>
  <c r="G61"/>
  <c r="G60"/>
  <c r="H61"/>
  <c r="H60"/>
  <c r="I61"/>
  <c r="I60"/>
  <c r="J61"/>
  <c r="J60"/>
  <c r="K61"/>
  <c r="K60"/>
  <c r="L61"/>
  <c r="L60"/>
  <c r="M61"/>
  <c r="M60"/>
  <c r="N61"/>
  <c r="N60"/>
  <c r="O61"/>
  <c r="O60"/>
  <c r="C62"/>
  <c r="D62"/>
  <c r="E62"/>
  <c r="F62"/>
  <c r="H62"/>
  <c r="J62"/>
  <c r="L62"/>
  <c r="N62"/>
  <c r="C64"/>
  <c r="C63" s="1"/>
  <c r="D64"/>
  <c r="D63" s="1"/>
  <c r="E64"/>
  <c r="E63" s="1"/>
  <c r="F64"/>
  <c r="F63" s="1"/>
  <c r="G64"/>
  <c r="G63" s="1"/>
  <c r="H64"/>
  <c r="H63" s="1"/>
  <c r="I64"/>
  <c r="I63" s="1"/>
  <c r="J64"/>
  <c r="J63" s="1"/>
  <c r="K64"/>
  <c r="K63" s="1"/>
  <c r="L64"/>
  <c r="L63" s="1"/>
  <c r="M64"/>
  <c r="M63" s="1"/>
  <c r="N64"/>
  <c r="O64" s="1"/>
  <c r="C65"/>
  <c r="E65"/>
  <c r="G66"/>
  <c r="G65" s="1"/>
  <c r="H66"/>
  <c r="H65" s="1"/>
  <c r="I66"/>
  <c r="I65" s="1"/>
  <c r="J66"/>
  <c r="J67" s="1"/>
  <c r="K66"/>
  <c r="K65" s="1"/>
  <c r="L66"/>
  <c r="L65" s="1"/>
  <c r="M66"/>
  <c r="M65" s="1"/>
  <c r="N66"/>
  <c r="N67" s="1"/>
  <c r="O66"/>
  <c r="C67"/>
  <c r="D67"/>
  <c r="E67"/>
  <c r="F67"/>
  <c r="G67"/>
  <c r="I67"/>
  <c r="K67"/>
  <c r="M67"/>
  <c r="O67"/>
  <c r="O69"/>
  <c r="O70" s="1"/>
  <c r="O71"/>
  <c r="O72" s="1"/>
  <c r="C72"/>
  <c r="D72"/>
  <c r="E72"/>
  <c r="F72"/>
  <c r="G72"/>
  <c r="H72"/>
  <c r="I72"/>
  <c r="J72"/>
  <c r="K72"/>
  <c r="L72"/>
  <c r="M72"/>
  <c r="N72"/>
  <c r="C74"/>
  <c r="C73" s="1"/>
  <c r="D74"/>
  <c r="D73" s="1"/>
  <c r="E74"/>
  <c r="E73" s="1"/>
  <c r="F74"/>
  <c r="F75" s="1"/>
  <c r="G74"/>
  <c r="G73" s="1"/>
  <c r="H74"/>
  <c r="H73" s="1"/>
  <c r="I74"/>
  <c r="I73" s="1"/>
  <c r="J74"/>
  <c r="J73" s="1"/>
  <c r="K74"/>
  <c r="K73" s="1"/>
  <c r="L74"/>
  <c r="L73" s="1"/>
  <c r="M74"/>
  <c r="M73" s="1"/>
  <c r="N74"/>
  <c r="N73" s="1"/>
  <c r="O74"/>
  <c r="O73" s="1"/>
  <c r="C75"/>
  <c r="E75"/>
  <c r="G76"/>
  <c r="G75" s="1"/>
  <c r="H76"/>
  <c r="H75" s="1"/>
  <c r="I76"/>
  <c r="I75" s="1"/>
  <c r="J76"/>
  <c r="J75" s="1"/>
  <c r="K76"/>
  <c r="K75" s="1"/>
  <c r="L76"/>
  <c r="L75" s="1"/>
  <c r="M76"/>
  <c r="M75" s="1"/>
  <c r="N76"/>
  <c r="N75" s="1"/>
  <c r="O76"/>
  <c r="C77"/>
  <c r="D77"/>
  <c r="E77"/>
  <c r="F77"/>
  <c r="G77"/>
  <c r="I77"/>
  <c r="K77"/>
  <c r="M77"/>
  <c r="O77"/>
  <c r="O79"/>
  <c r="O78" s="1"/>
  <c r="O81"/>
  <c r="O82" s="1"/>
  <c r="G84"/>
  <c r="G86" s="1"/>
  <c r="H84"/>
  <c r="I84"/>
  <c r="I86" s="1"/>
  <c r="J84"/>
  <c r="K84"/>
  <c r="K86" s="1"/>
  <c r="L84"/>
  <c r="M84"/>
  <c r="M86" s="1"/>
  <c r="N84"/>
  <c r="G85"/>
  <c r="H85"/>
  <c r="I85"/>
  <c r="J85"/>
  <c r="K85"/>
  <c r="L85"/>
  <c r="M85"/>
  <c r="N85"/>
  <c r="H86"/>
  <c r="H87" s="1"/>
  <c r="J86"/>
  <c r="J87" s="1"/>
  <c r="L86"/>
  <c r="L87" s="1"/>
  <c r="N86"/>
  <c r="N87" s="1"/>
  <c r="E87"/>
  <c r="O95"/>
  <c r="C96"/>
  <c r="D96"/>
  <c r="E96"/>
  <c r="F96"/>
  <c r="G96"/>
  <c r="H96"/>
  <c r="I96"/>
  <c r="J96"/>
  <c r="K96"/>
  <c r="L96"/>
  <c r="M96"/>
  <c r="N96"/>
  <c r="A100"/>
  <c r="A101"/>
  <c r="C102"/>
  <c r="D102"/>
  <c r="E102"/>
  <c r="F102"/>
  <c r="G102"/>
  <c r="H102"/>
  <c r="I102"/>
  <c r="J102"/>
  <c r="K102"/>
  <c r="L102"/>
  <c r="M102"/>
  <c r="N102"/>
  <c r="G103"/>
  <c r="H103"/>
  <c r="H105" s="1"/>
  <c r="I103"/>
  <c r="J103"/>
  <c r="J115" s="1"/>
  <c r="K103"/>
  <c r="L103"/>
  <c r="L105" s="1"/>
  <c r="M103"/>
  <c r="N103"/>
  <c r="N115" s="1"/>
  <c r="G104"/>
  <c r="H104"/>
  <c r="I104"/>
  <c r="J104"/>
  <c r="K104"/>
  <c r="L104"/>
  <c r="M104"/>
  <c r="N104"/>
  <c r="G105"/>
  <c r="I105"/>
  <c r="K105"/>
  <c r="M105"/>
  <c r="G109"/>
  <c r="H109"/>
  <c r="I109"/>
  <c r="J109"/>
  <c r="K109"/>
  <c r="L109"/>
  <c r="M109"/>
  <c r="N109"/>
  <c r="G110"/>
  <c r="H110"/>
  <c r="I110"/>
  <c r="J110"/>
  <c r="K110"/>
  <c r="L110"/>
  <c r="M110"/>
  <c r="N110"/>
  <c r="G114"/>
  <c r="H114"/>
  <c r="I114"/>
  <c r="J114"/>
  <c r="K114"/>
  <c r="L114"/>
  <c r="M114"/>
  <c r="N114"/>
  <c r="G115"/>
  <c r="I115"/>
  <c r="K115"/>
  <c r="M115"/>
  <c r="G120"/>
  <c r="H120"/>
  <c r="I120"/>
  <c r="J120"/>
  <c r="K120"/>
  <c r="L120"/>
  <c r="M120"/>
  <c r="N120"/>
  <c r="D121"/>
  <c r="E121"/>
  <c r="F121" s="1"/>
  <c r="G121" s="1"/>
  <c r="G124"/>
  <c r="H124"/>
  <c r="I124"/>
  <c r="J124"/>
  <c r="K124"/>
  <c r="L124"/>
  <c r="M124"/>
  <c r="N124"/>
  <c r="G125"/>
  <c r="H125"/>
  <c r="I125"/>
  <c r="J125"/>
  <c r="K125"/>
  <c r="L125"/>
  <c r="M125"/>
  <c r="N125"/>
  <c r="G129"/>
  <c r="H129"/>
  <c r="I129"/>
  <c r="J129"/>
  <c r="K129"/>
  <c r="L129"/>
  <c r="M129"/>
  <c r="N129"/>
  <c r="G130"/>
  <c r="I130"/>
  <c r="K130"/>
  <c r="M130"/>
  <c r="G134"/>
  <c r="H134"/>
  <c r="I134"/>
  <c r="J134"/>
  <c r="K134"/>
  <c r="L134"/>
  <c r="M134"/>
  <c r="N134"/>
  <c r="G135"/>
  <c r="H135"/>
  <c r="I135"/>
  <c r="J135"/>
  <c r="K135"/>
  <c r="L135"/>
  <c r="M135"/>
  <c r="N135"/>
  <c r="G139"/>
  <c r="H139"/>
  <c r="I139"/>
  <c r="J139"/>
  <c r="K139"/>
  <c r="L139"/>
  <c r="M139"/>
  <c r="N139"/>
  <c r="G140"/>
  <c r="I140"/>
  <c r="K140"/>
  <c r="M140"/>
  <c r="G144"/>
  <c r="H144"/>
  <c r="I144"/>
  <c r="J144"/>
  <c r="K144"/>
  <c r="L144"/>
  <c r="M144"/>
  <c r="N144"/>
  <c r="G145"/>
  <c r="H145"/>
  <c r="I145"/>
  <c r="J145"/>
  <c r="K145"/>
  <c r="L145"/>
  <c r="M145"/>
  <c r="N145"/>
  <c r="G149"/>
  <c r="H149"/>
  <c r="I149"/>
  <c r="J149"/>
  <c r="K149"/>
  <c r="L149"/>
  <c r="M149"/>
  <c r="N149"/>
  <c r="G150"/>
  <c r="I150"/>
  <c r="K150"/>
  <c r="M150"/>
  <c r="G154"/>
  <c r="H154"/>
  <c r="I154"/>
  <c r="J154"/>
  <c r="K154"/>
  <c r="L154"/>
  <c r="M154"/>
  <c r="N154"/>
  <c r="G155"/>
  <c r="H155"/>
  <c r="I155"/>
  <c r="J155"/>
  <c r="K155"/>
  <c r="L155"/>
  <c r="M155"/>
  <c r="N155"/>
  <c r="G159"/>
  <c r="H159"/>
  <c r="I159"/>
  <c r="J159"/>
  <c r="K159"/>
  <c r="L159"/>
  <c r="M159"/>
  <c r="N159"/>
  <c r="G160"/>
  <c r="I160"/>
  <c r="K160"/>
  <c r="M160"/>
  <c r="G165"/>
  <c r="H165"/>
  <c r="O165" s="1"/>
  <c r="I165"/>
  <c r="J165"/>
  <c r="K165"/>
  <c r="L165"/>
  <c r="M165"/>
  <c r="N165"/>
  <c r="C166"/>
  <c r="C167" s="1"/>
  <c r="D166"/>
  <c r="D167" s="1"/>
  <c r="D168" s="1"/>
  <c r="G169"/>
  <c r="H169"/>
  <c r="I169"/>
  <c r="J169"/>
  <c r="K169"/>
  <c r="L169"/>
  <c r="M169"/>
  <c r="N169"/>
  <c r="G170"/>
  <c r="I170"/>
  <c r="K170"/>
  <c r="M170"/>
  <c r="G175"/>
  <c r="H175"/>
  <c r="O175" s="1"/>
  <c r="I175"/>
  <c r="J175"/>
  <c r="K175"/>
  <c r="L175"/>
  <c r="M175"/>
  <c r="N175"/>
  <c r="G180"/>
  <c r="I180"/>
  <c r="K180"/>
  <c r="M180"/>
  <c r="C183"/>
  <c r="O185"/>
  <c r="G187"/>
  <c r="G186" s="1"/>
  <c r="I187"/>
  <c r="I186" s="1"/>
  <c r="K187"/>
  <c r="K186" s="1"/>
  <c r="M187"/>
  <c r="M186" s="1"/>
  <c r="A194"/>
  <c r="A195"/>
  <c r="C196"/>
  <c r="D196"/>
  <c r="E196"/>
  <c r="F196"/>
  <c r="G196"/>
  <c r="H196"/>
  <c r="I196"/>
  <c r="J196"/>
  <c r="K196"/>
  <c r="L196"/>
  <c r="M196"/>
  <c r="N196"/>
  <c r="G197"/>
  <c r="H197"/>
  <c r="H199" s="1"/>
  <c r="I197"/>
  <c r="J197"/>
  <c r="J199" s="1"/>
  <c r="K197"/>
  <c r="L197"/>
  <c r="L199" s="1"/>
  <c r="M197"/>
  <c r="N197"/>
  <c r="N199" s="1"/>
  <c r="G199"/>
  <c r="G201" s="1"/>
  <c r="I199"/>
  <c r="I201" s="1"/>
  <c r="K199"/>
  <c r="K201" s="1"/>
  <c r="M199"/>
  <c r="M201" s="1"/>
  <c r="G204"/>
  <c r="G203"/>
  <c r="H204"/>
  <c r="H203"/>
  <c r="I204"/>
  <c r="I203"/>
  <c r="J204"/>
  <c r="J203"/>
  <c r="K204"/>
  <c r="K203"/>
  <c r="L204"/>
  <c r="L203"/>
  <c r="M204"/>
  <c r="M203"/>
  <c r="N204"/>
  <c r="N203"/>
  <c r="O204"/>
  <c r="C205"/>
  <c r="D205"/>
  <c r="E205"/>
  <c r="F205"/>
  <c r="G205" s="1"/>
  <c r="C207"/>
  <c r="D207"/>
  <c r="E207"/>
  <c r="F207"/>
  <c r="G209"/>
  <c r="G208" s="1"/>
  <c r="H209"/>
  <c r="O209" s="1"/>
  <c r="I209"/>
  <c r="I208" s="1"/>
  <c r="J209"/>
  <c r="J208" s="1"/>
  <c r="K209"/>
  <c r="K208" s="1"/>
  <c r="L209"/>
  <c r="L208" s="1"/>
  <c r="M209"/>
  <c r="M208" s="1"/>
  <c r="N209"/>
  <c r="N208" s="1"/>
  <c r="C210"/>
  <c r="D210"/>
  <c r="E210"/>
  <c r="F210"/>
  <c r="G210"/>
  <c r="H210" s="1"/>
  <c r="I210" s="1"/>
  <c r="G211"/>
  <c r="G212" s="1"/>
  <c r="C212"/>
  <c r="D212"/>
  <c r="E212"/>
  <c r="F212"/>
  <c r="G213"/>
  <c r="H213"/>
  <c r="I213"/>
  <c r="J213"/>
  <c r="K213"/>
  <c r="L213"/>
  <c r="M213"/>
  <c r="N213"/>
  <c r="O214"/>
  <c r="F215"/>
  <c r="G215"/>
  <c r="H215" s="1"/>
  <c r="G216"/>
  <c r="C217"/>
  <c r="F217"/>
  <c r="G217"/>
  <c r="G219"/>
  <c r="H219"/>
  <c r="O219" s="1"/>
  <c r="I219"/>
  <c r="J219"/>
  <c r="K219"/>
  <c r="L219"/>
  <c r="M219"/>
  <c r="N219"/>
  <c r="C222"/>
  <c r="G224"/>
  <c r="G223" s="1"/>
  <c r="H224"/>
  <c r="O224" s="1"/>
  <c r="I224"/>
  <c r="I223" s="1"/>
  <c r="J224"/>
  <c r="J223" s="1"/>
  <c r="K224"/>
  <c r="K223" s="1"/>
  <c r="L224"/>
  <c r="L223" s="1"/>
  <c r="M224"/>
  <c r="M223" s="1"/>
  <c r="N224"/>
  <c r="N223" s="1"/>
  <c r="C225"/>
  <c r="D225"/>
  <c r="E225"/>
  <c r="F225"/>
  <c r="G225"/>
  <c r="H225" s="1"/>
  <c r="I225" s="1"/>
  <c r="G226"/>
  <c r="G227" s="1"/>
  <c r="C227"/>
  <c r="D227"/>
  <c r="E227"/>
  <c r="F227"/>
  <c r="G229"/>
  <c r="G228"/>
  <c r="H229"/>
  <c r="H228"/>
  <c r="I229"/>
  <c r="I228"/>
  <c r="J229"/>
  <c r="J228"/>
  <c r="K229"/>
  <c r="K228"/>
  <c r="L229"/>
  <c r="L228"/>
  <c r="M229"/>
  <c r="M228"/>
  <c r="N229"/>
  <c r="N228"/>
  <c r="O229"/>
  <c r="C230"/>
  <c r="D230"/>
  <c r="E230"/>
  <c r="F230"/>
  <c r="G230" s="1"/>
  <c r="C232"/>
  <c r="D232"/>
  <c r="E232"/>
  <c r="F232"/>
  <c r="G234"/>
  <c r="I234"/>
  <c r="K234"/>
  <c r="M234"/>
  <c r="C237"/>
  <c r="G239"/>
  <c r="G238"/>
  <c r="H239"/>
  <c r="H238"/>
  <c r="I239"/>
  <c r="I238"/>
  <c r="J239"/>
  <c r="J238"/>
  <c r="K239"/>
  <c r="K238"/>
  <c r="L239"/>
  <c r="L238"/>
  <c r="M239"/>
  <c r="M238"/>
  <c r="N239"/>
  <c r="N238"/>
  <c r="O239"/>
  <c r="C240"/>
  <c r="E240"/>
  <c r="E241" s="1"/>
  <c r="E242" s="1"/>
  <c r="F240"/>
  <c r="G240"/>
  <c r="H240" s="1"/>
  <c r="G241"/>
  <c r="D241"/>
  <c r="C242"/>
  <c r="F242"/>
  <c r="G242"/>
  <c r="G244"/>
  <c r="H244"/>
  <c r="O244" s="1"/>
  <c r="I244"/>
  <c r="J244"/>
  <c r="K244"/>
  <c r="L244"/>
  <c r="M244"/>
  <c r="N244"/>
  <c r="C247"/>
  <c r="G249"/>
  <c r="G248" s="1"/>
  <c r="H249"/>
  <c r="H248" s="1"/>
  <c r="I249"/>
  <c r="I248" s="1"/>
  <c r="J249"/>
  <c r="K249"/>
  <c r="K248" s="1"/>
  <c r="L249"/>
  <c r="L248" s="1"/>
  <c r="M249"/>
  <c r="M248" s="1"/>
  <c r="N249"/>
  <c r="O249"/>
  <c r="C252"/>
  <c r="G254"/>
  <c r="H254"/>
  <c r="O254" s="1"/>
  <c r="I254"/>
  <c r="J254"/>
  <c r="K254"/>
  <c r="L254"/>
  <c r="M254"/>
  <c r="N254"/>
  <c r="G259"/>
  <c r="G258" s="1"/>
  <c r="H259"/>
  <c r="H258" s="1"/>
  <c r="I259"/>
  <c r="I258" s="1"/>
  <c r="J259"/>
  <c r="J258" s="1"/>
  <c r="K259"/>
  <c r="K258" s="1"/>
  <c r="L259"/>
  <c r="O259" s="1"/>
  <c r="M259"/>
  <c r="M258" s="1"/>
  <c r="N259"/>
  <c r="N258" s="1"/>
  <c r="C260"/>
  <c r="D260" s="1"/>
  <c r="E260"/>
  <c r="F260"/>
  <c r="G260"/>
  <c r="H260" s="1"/>
  <c r="I260" s="1"/>
  <c r="G261"/>
  <c r="C262"/>
  <c r="D262"/>
  <c r="E262"/>
  <c r="F262"/>
  <c r="G262"/>
  <c r="G264"/>
  <c r="G263"/>
  <c r="H264"/>
  <c r="H263"/>
  <c r="I264"/>
  <c r="I263"/>
  <c r="J264"/>
  <c r="J263"/>
  <c r="K264"/>
  <c r="K263"/>
  <c r="L264"/>
  <c r="L263"/>
  <c r="M264"/>
  <c r="M263"/>
  <c r="N264"/>
  <c r="N263"/>
  <c r="O264"/>
  <c r="F265"/>
  <c r="G265"/>
  <c r="H265" s="1"/>
  <c r="G266"/>
  <c r="C267"/>
  <c r="F267"/>
  <c r="G267"/>
  <c r="G269"/>
  <c r="G268"/>
  <c r="H269"/>
  <c r="H268"/>
  <c r="I269"/>
  <c r="I268"/>
  <c r="J269"/>
  <c r="J268"/>
  <c r="K269"/>
  <c r="K268"/>
  <c r="L269"/>
  <c r="L268"/>
  <c r="M269"/>
  <c r="M268"/>
  <c r="N269"/>
  <c r="N268"/>
  <c r="O269"/>
  <c r="C270"/>
  <c r="D270"/>
  <c r="E270"/>
  <c r="F270"/>
  <c r="G270" s="1"/>
  <c r="C272"/>
  <c r="D272"/>
  <c r="E272"/>
  <c r="F272"/>
  <c r="G274"/>
  <c r="G273" s="1"/>
  <c r="H274"/>
  <c r="H273" s="1"/>
  <c r="I274"/>
  <c r="I273" s="1"/>
  <c r="J274"/>
  <c r="J273" s="1"/>
  <c r="K274"/>
  <c r="K273" s="1"/>
  <c r="L274"/>
  <c r="L273" s="1"/>
  <c r="M274"/>
  <c r="M273" s="1"/>
  <c r="N274"/>
  <c r="N273" s="1"/>
  <c r="O274"/>
  <c r="C275"/>
  <c r="D275" s="1"/>
  <c r="E275"/>
  <c r="F275"/>
  <c r="G275"/>
  <c r="H275" s="1"/>
  <c r="I275" s="1"/>
  <c r="G276"/>
  <c r="C277"/>
  <c r="D277"/>
  <c r="E277"/>
  <c r="F277"/>
  <c r="G277"/>
  <c r="O279"/>
  <c r="C281"/>
  <c r="C280" s="1"/>
  <c r="D281"/>
  <c r="D280" s="1"/>
  <c r="E281"/>
  <c r="E280" s="1"/>
  <c r="F281"/>
  <c r="F280" s="1"/>
  <c r="G281"/>
  <c r="G280" s="1"/>
  <c r="I281"/>
  <c r="I280" s="1"/>
  <c r="K281"/>
  <c r="K280" s="1"/>
  <c r="M281"/>
  <c r="M280" s="1"/>
  <c r="A288"/>
  <c r="G291"/>
  <c r="G318" s="1"/>
  <c r="H291"/>
  <c r="I291"/>
  <c r="O291" s="1"/>
  <c r="J291"/>
  <c r="K291"/>
  <c r="K318" s="1"/>
  <c r="L291"/>
  <c r="M291"/>
  <c r="M298" s="1"/>
  <c r="N291"/>
  <c r="C292"/>
  <c r="D292"/>
  <c r="E292"/>
  <c r="G292"/>
  <c r="H292"/>
  <c r="I292"/>
  <c r="J292"/>
  <c r="K292"/>
  <c r="L292"/>
  <c r="M292"/>
  <c r="N292"/>
  <c r="G293"/>
  <c r="H293"/>
  <c r="I293"/>
  <c r="O293" s="1"/>
  <c r="J293"/>
  <c r="K293"/>
  <c r="L293"/>
  <c r="M293"/>
  <c r="N293"/>
  <c r="C294"/>
  <c r="D294"/>
  <c r="E294"/>
  <c r="F294"/>
  <c r="G294"/>
  <c r="H294" s="1"/>
  <c r="G295"/>
  <c r="G296" s="1"/>
  <c r="C296"/>
  <c r="D296"/>
  <c r="E296"/>
  <c r="F296"/>
  <c r="G297"/>
  <c r="H297"/>
  <c r="I297"/>
  <c r="J297"/>
  <c r="K297"/>
  <c r="L297"/>
  <c r="M297"/>
  <c r="N297"/>
  <c r="H298"/>
  <c r="J298"/>
  <c r="L298"/>
  <c r="N298"/>
  <c r="C301"/>
  <c r="C302"/>
  <c r="D302"/>
  <c r="E302"/>
  <c r="G302"/>
  <c r="H302"/>
  <c r="I302"/>
  <c r="J302"/>
  <c r="K302"/>
  <c r="L302"/>
  <c r="M302"/>
  <c r="N302"/>
  <c r="H303"/>
  <c r="J303"/>
  <c r="L303"/>
  <c r="N303"/>
  <c r="C304"/>
  <c r="D304"/>
  <c r="E304"/>
  <c r="F304"/>
  <c r="G304" s="1"/>
  <c r="H304" s="1"/>
  <c r="I304" s="1"/>
  <c r="J304" s="1"/>
  <c r="C306"/>
  <c r="D306"/>
  <c r="E306"/>
  <c r="F306"/>
  <c r="G307"/>
  <c r="H307"/>
  <c r="I307"/>
  <c r="J307"/>
  <c r="K307"/>
  <c r="L307"/>
  <c r="M307"/>
  <c r="N307"/>
  <c r="G308"/>
  <c r="H308"/>
  <c r="I308"/>
  <c r="J308"/>
  <c r="K308"/>
  <c r="L308"/>
  <c r="M308"/>
  <c r="N308"/>
  <c r="O308"/>
  <c r="O309" s="1"/>
  <c r="C311"/>
  <c r="C312"/>
  <c r="D312"/>
  <c r="E312"/>
  <c r="G312"/>
  <c r="H312"/>
  <c r="I312"/>
  <c r="J312"/>
  <c r="K312"/>
  <c r="L312"/>
  <c r="M312"/>
  <c r="N312"/>
  <c r="G313"/>
  <c r="G315" s="1"/>
  <c r="H313"/>
  <c r="I313"/>
  <c r="J313"/>
  <c r="K313"/>
  <c r="L313"/>
  <c r="M313"/>
  <c r="N313"/>
  <c r="O313"/>
  <c r="O312" s="1"/>
  <c r="C314"/>
  <c r="D314"/>
  <c r="E314"/>
  <c r="F314"/>
  <c r="G314"/>
  <c r="H314" s="1"/>
  <c r="C316"/>
  <c r="D316"/>
  <c r="E316"/>
  <c r="F316"/>
  <c r="G317"/>
  <c r="H317"/>
  <c r="I317"/>
  <c r="J317"/>
  <c r="K317"/>
  <c r="L317"/>
  <c r="M317"/>
  <c r="N317"/>
  <c r="H318"/>
  <c r="J318"/>
  <c r="L318"/>
  <c r="N318"/>
  <c r="C321"/>
  <c r="C322"/>
  <c r="D322"/>
  <c r="E322"/>
  <c r="G322"/>
  <c r="H322"/>
  <c r="I322"/>
  <c r="J322"/>
  <c r="K322"/>
  <c r="L322"/>
  <c r="M322"/>
  <c r="N322"/>
  <c r="H323"/>
  <c r="J323"/>
  <c r="L323"/>
  <c r="N323"/>
  <c r="C324"/>
  <c r="D324"/>
  <c r="E324"/>
  <c r="F324"/>
  <c r="G324" s="1"/>
  <c r="H324" s="1"/>
  <c r="C326"/>
  <c r="D326"/>
  <c r="E326"/>
  <c r="F326"/>
  <c r="C327"/>
  <c r="D327"/>
  <c r="E327"/>
  <c r="G327"/>
  <c r="H327"/>
  <c r="I327"/>
  <c r="J327"/>
  <c r="K327"/>
  <c r="L327"/>
  <c r="M327"/>
  <c r="N327"/>
  <c r="H328"/>
  <c r="J328"/>
  <c r="L328"/>
  <c r="N328"/>
  <c r="C329"/>
  <c r="D329"/>
  <c r="E329"/>
  <c r="F329"/>
  <c r="G329" s="1"/>
  <c r="H329" s="1"/>
  <c r="C331"/>
  <c r="D331"/>
  <c r="E331"/>
  <c r="F331"/>
  <c r="C332"/>
  <c r="D332"/>
  <c r="E332"/>
  <c r="G332"/>
  <c r="H332"/>
  <c r="I332"/>
  <c r="J332"/>
  <c r="K332"/>
  <c r="L332"/>
  <c r="M332"/>
  <c r="N332"/>
  <c r="H333"/>
  <c r="J333"/>
  <c r="L333"/>
  <c r="N333"/>
  <c r="C334"/>
  <c r="D334"/>
  <c r="E334"/>
  <c r="F334"/>
  <c r="F335" s="1"/>
  <c r="C336"/>
  <c r="D336"/>
  <c r="E336"/>
  <c r="G337"/>
  <c r="H337"/>
  <c r="I337"/>
  <c r="J337"/>
  <c r="K337"/>
  <c r="L337"/>
  <c r="M337"/>
  <c r="N337"/>
  <c r="G338"/>
  <c r="H338"/>
  <c r="I338"/>
  <c r="O338" s="1"/>
  <c r="J338"/>
  <c r="K338"/>
  <c r="L338"/>
  <c r="M338"/>
  <c r="M432" s="1"/>
  <c r="M433" s="1"/>
  <c r="N338"/>
  <c r="C341"/>
  <c r="C342"/>
  <c r="D342"/>
  <c r="G342"/>
  <c r="H342"/>
  <c r="I342"/>
  <c r="J342"/>
  <c r="K342"/>
  <c r="L342"/>
  <c r="M342"/>
  <c r="N342"/>
  <c r="H343"/>
  <c r="J343"/>
  <c r="L343"/>
  <c r="N343"/>
  <c r="C344"/>
  <c r="D344"/>
  <c r="E344" s="1"/>
  <c r="E345" s="1"/>
  <c r="E346" s="1"/>
  <c r="G344"/>
  <c r="H344" s="1"/>
  <c r="I344" s="1"/>
  <c r="J344" s="1"/>
  <c r="K344" s="1"/>
  <c r="L344" s="1"/>
  <c r="M344" s="1"/>
  <c r="N344" s="1"/>
  <c r="D345"/>
  <c r="F345"/>
  <c r="C346"/>
  <c r="D346"/>
  <c r="F346"/>
  <c r="C347"/>
  <c r="D347"/>
  <c r="G347"/>
  <c r="H347"/>
  <c r="I347"/>
  <c r="J347"/>
  <c r="K347"/>
  <c r="L347"/>
  <c r="M347"/>
  <c r="N347"/>
  <c r="G348"/>
  <c r="H348"/>
  <c r="I348"/>
  <c r="O348" s="1"/>
  <c r="J348"/>
  <c r="K348"/>
  <c r="L348"/>
  <c r="M348"/>
  <c r="N348"/>
  <c r="C349"/>
  <c r="D349"/>
  <c r="E349"/>
  <c r="F349"/>
  <c r="G349"/>
  <c r="H349" s="1"/>
  <c r="G350"/>
  <c r="G351" s="1"/>
  <c r="E350"/>
  <c r="E351" s="1"/>
  <c r="C351"/>
  <c r="D351"/>
  <c r="F351"/>
  <c r="C352"/>
  <c r="E352"/>
  <c r="G352"/>
  <c r="H352"/>
  <c r="I352"/>
  <c r="J352"/>
  <c r="K352"/>
  <c r="L352"/>
  <c r="M352"/>
  <c r="N352"/>
  <c r="G353"/>
  <c r="H353"/>
  <c r="I353"/>
  <c r="O353" s="1"/>
  <c r="J353"/>
  <c r="K353"/>
  <c r="L353"/>
  <c r="M353"/>
  <c r="N353"/>
  <c r="C354"/>
  <c r="D354" s="1"/>
  <c r="D355" s="1"/>
  <c r="E354"/>
  <c r="F354"/>
  <c r="G354"/>
  <c r="H354" s="1"/>
  <c r="G355"/>
  <c r="G356" s="1"/>
  <c r="C356"/>
  <c r="E356"/>
  <c r="F356"/>
  <c r="G357"/>
  <c r="H357"/>
  <c r="I357"/>
  <c r="J357"/>
  <c r="K357"/>
  <c r="L357"/>
  <c r="M357"/>
  <c r="N357"/>
  <c r="G358"/>
  <c r="H358"/>
  <c r="I358"/>
  <c r="J358"/>
  <c r="K358"/>
  <c r="L358"/>
  <c r="M358"/>
  <c r="N358"/>
  <c r="O358"/>
  <c r="O359" s="1"/>
  <c r="C361"/>
  <c r="G362"/>
  <c r="H362"/>
  <c r="I362"/>
  <c r="J362"/>
  <c r="K362"/>
  <c r="L362"/>
  <c r="M362"/>
  <c r="N362"/>
  <c r="H363"/>
  <c r="J363"/>
  <c r="L363"/>
  <c r="N363"/>
  <c r="C366"/>
  <c r="G368"/>
  <c r="G370" s="1"/>
  <c r="G371" s="1"/>
  <c r="H368"/>
  <c r="I368"/>
  <c r="O368" s="1"/>
  <c r="J368"/>
  <c r="K368"/>
  <c r="L368"/>
  <c r="M368"/>
  <c r="N368"/>
  <c r="C371"/>
  <c r="D371"/>
  <c r="E371"/>
  <c r="O373"/>
  <c r="C375"/>
  <c r="C374" s="1"/>
  <c r="D375"/>
  <c r="D374" s="1"/>
  <c r="E375"/>
  <c r="E374" s="1"/>
  <c r="F375"/>
  <c r="F374" s="1"/>
  <c r="H375"/>
  <c r="H374" s="1"/>
  <c r="J375"/>
  <c r="J374" s="1"/>
  <c r="L375"/>
  <c r="L374" s="1"/>
  <c r="N375"/>
  <c r="N374" s="1"/>
  <c r="A382"/>
  <c r="A383"/>
  <c r="C384"/>
  <c r="D384"/>
  <c r="E384"/>
  <c r="F384"/>
  <c r="G384"/>
  <c r="H384"/>
  <c r="I384"/>
  <c r="J384"/>
  <c r="K384"/>
  <c r="L384"/>
  <c r="M384"/>
  <c r="N384"/>
  <c r="C385"/>
  <c r="D385"/>
  <c r="E385"/>
  <c r="F385"/>
  <c r="H385"/>
  <c r="J385"/>
  <c r="L385"/>
  <c r="N385"/>
  <c r="G387"/>
  <c r="I387"/>
  <c r="K387"/>
  <c r="M387"/>
  <c r="C392"/>
  <c r="C391"/>
  <c r="F392"/>
  <c r="F391"/>
  <c r="C397"/>
  <c r="E397"/>
  <c r="F397"/>
  <c r="F396" s="1"/>
  <c r="J397"/>
  <c r="N397"/>
  <c r="E399"/>
  <c r="F399"/>
  <c r="F400" s="1"/>
  <c r="E400"/>
  <c r="C402"/>
  <c r="C401"/>
  <c r="E402"/>
  <c r="E401"/>
  <c r="H402"/>
  <c r="H401"/>
  <c r="J402"/>
  <c r="J401"/>
  <c r="L402"/>
  <c r="L401"/>
  <c r="N402"/>
  <c r="N401"/>
  <c r="C403"/>
  <c r="C404"/>
  <c r="C407"/>
  <c r="D407"/>
  <c r="E407"/>
  <c r="G407"/>
  <c r="H407"/>
  <c r="I407"/>
  <c r="J407"/>
  <c r="K407"/>
  <c r="L407"/>
  <c r="M407"/>
  <c r="N407"/>
  <c r="C409"/>
  <c r="C410"/>
  <c r="C412"/>
  <c r="C411"/>
  <c r="F412"/>
  <c r="F411"/>
  <c r="C417"/>
  <c r="E417"/>
  <c r="F417"/>
  <c r="H417"/>
  <c r="J417"/>
  <c r="L417"/>
  <c r="N417"/>
  <c r="C422"/>
  <c r="C421"/>
  <c r="F422"/>
  <c r="F421"/>
  <c r="C427"/>
  <c r="D427"/>
  <c r="E427"/>
  <c r="F427"/>
  <c r="H427"/>
  <c r="J427"/>
  <c r="L427"/>
  <c r="N427"/>
  <c r="D429"/>
  <c r="D430" s="1"/>
  <c r="E429"/>
  <c r="F429"/>
  <c r="F430" s="1"/>
  <c r="E430"/>
  <c r="C432"/>
  <c r="C431"/>
  <c r="D432"/>
  <c r="D431"/>
  <c r="F432"/>
  <c r="F431"/>
  <c r="G432"/>
  <c r="K432"/>
  <c r="K433"/>
  <c r="C437"/>
  <c r="D437"/>
  <c r="E437"/>
  <c r="F437"/>
  <c r="H437"/>
  <c r="J437"/>
  <c r="L437"/>
  <c r="N437"/>
  <c r="D439"/>
  <c r="D440" s="1"/>
  <c r="C442"/>
  <c r="C441"/>
  <c r="D442"/>
  <c r="D441"/>
  <c r="F442"/>
  <c r="F441"/>
  <c r="G442"/>
  <c r="I442"/>
  <c r="K442"/>
  <c r="M442"/>
  <c r="C447"/>
  <c r="D447"/>
  <c r="O447" s="1"/>
  <c r="E447"/>
  <c r="F447"/>
  <c r="G447"/>
  <c r="H447"/>
  <c r="I447"/>
  <c r="J447"/>
  <c r="K447"/>
  <c r="L447"/>
  <c r="L446" s="1"/>
  <c r="M447"/>
  <c r="N447"/>
  <c r="N446" s="1"/>
  <c r="C449"/>
  <c r="C450" s="1"/>
  <c r="D449"/>
  <c r="D450" s="1"/>
  <c r="I448"/>
  <c r="K448"/>
  <c r="F452"/>
  <c r="F451"/>
  <c r="G452"/>
  <c r="I452"/>
  <c r="K452"/>
  <c r="M452"/>
  <c r="M453"/>
  <c r="C457"/>
  <c r="D457"/>
  <c r="E457"/>
  <c r="F457"/>
  <c r="H457"/>
  <c r="J457"/>
  <c r="L457"/>
  <c r="N457"/>
  <c r="C459"/>
  <c r="C460"/>
  <c r="C462"/>
  <c r="C461"/>
  <c r="D462"/>
  <c r="D461"/>
  <c r="E462"/>
  <c r="E461"/>
  <c r="G462"/>
  <c r="I462"/>
  <c r="K462"/>
  <c r="M462"/>
  <c r="C466"/>
  <c r="D466"/>
  <c r="E466"/>
  <c r="F466"/>
  <c r="G466"/>
  <c r="H466"/>
  <c r="I466"/>
  <c r="J466"/>
  <c r="K466"/>
  <c r="L466"/>
  <c r="M466"/>
  <c r="N466"/>
  <c r="O466"/>
  <c r="C480"/>
  <c r="D480"/>
  <c r="E480"/>
  <c r="F480"/>
  <c r="G480"/>
  <c r="H480"/>
  <c r="I480"/>
  <c r="J480"/>
  <c r="K480"/>
  <c r="L480"/>
  <c r="M480"/>
  <c r="N480"/>
  <c r="E481"/>
  <c r="G486"/>
  <c r="H486"/>
  <c r="I486"/>
  <c r="J486"/>
  <c r="K486"/>
  <c r="L486"/>
  <c r="M486"/>
  <c r="N486"/>
  <c r="G487"/>
  <c r="H487"/>
  <c r="I487"/>
  <c r="J487"/>
  <c r="K487"/>
  <c r="L487"/>
  <c r="M487"/>
  <c r="N487"/>
  <c r="O487"/>
  <c r="C480" i="23"/>
  <c r="D480"/>
  <c r="E480"/>
  <c r="F480"/>
  <c r="G480"/>
  <c r="H480"/>
  <c r="I480"/>
  <c r="J480"/>
  <c r="K480"/>
  <c r="L480"/>
  <c r="M480"/>
  <c r="N480"/>
  <c r="O480"/>
  <c r="C466"/>
  <c r="D466"/>
  <c r="E466"/>
  <c r="F466"/>
  <c r="G466"/>
  <c r="H466"/>
  <c r="I466"/>
  <c r="J466"/>
  <c r="K466"/>
  <c r="L466"/>
  <c r="M466"/>
  <c r="N466"/>
  <c r="O466"/>
  <c r="N384"/>
  <c r="M384"/>
  <c r="L384"/>
  <c r="K384"/>
  <c r="J384"/>
  <c r="I384"/>
  <c r="H384"/>
  <c r="G384"/>
  <c r="F384"/>
  <c r="E384"/>
  <c r="D384"/>
  <c r="C384"/>
  <c r="A383"/>
  <c r="A382"/>
  <c r="O373"/>
  <c r="A288"/>
  <c r="O279"/>
  <c r="N102"/>
  <c r="N196" s="1"/>
  <c r="M102"/>
  <c r="M196" s="1"/>
  <c r="L102"/>
  <c r="L196" s="1"/>
  <c r="K102"/>
  <c r="K196" s="1"/>
  <c r="J102"/>
  <c r="J196" s="1"/>
  <c r="I102"/>
  <c r="I196" s="1"/>
  <c r="H102"/>
  <c r="H196" s="1"/>
  <c r="G102"/>
  <c r="G196" s="1"/>
  <c r="F102"/>
  <c r="F196" s="1"/>
  <c r="E102"/>
  <c r="E196" s="1"/>
  <c r="D102"/>
  <c r="D196" s="1"/>
  <c r="C102"/>
  <c r="C196" s="1"/>
  <c r="A101"/>
  <c r="A195" s="1"/>
  <c r="A100"/>
  <c r="A194" s="1"/>
  <c r="O185"/>
  <c r="O95"/>
  <c r="C480" i="22"/>
  <c r="D480"/>
  <c r="E480"/>
  <c r="F480"/>
  <c r="G480"/>
  <c r="H480"/>
  <c r="I480"/>
  <c r="J480"/>
  <c r="K480"/>
  <c r="L480"/>
  <c r="M480"/>
  <c r="N480"/>
  <c r="O480"/>
  <c r="C466"/>
  <c r="D466"/>
  <c r="E466"/>
  <c r="F466"/>
  <c r="G466"/>
  <c r="H466"/>
  <c r="I466"/>
  <c r="J466"/>
  <c r="K466"/>
  <c r="L466"/>
  <c r="M466"/>
  <c r="N466"/>
  <c r="O466"/>
  <c r="N384"/>
  <c r="M384"/>
  <c r="L384"/>
  <c r="K384"/>
  <c r="J384"/>
  <c r="I384"/>
  <c r="H384"/>
  <c r="G384"/>
  <c r="F384"/>
  <c r="E384"/>
  <c r="D384"/>
  <c r="C384"/>
  <c r="A383"/>
  <c r="A382"/>
  <c r="O373"/>
  <c r="A288"/>
  <c r="O279"/>
  <c r="N102"/>
  <c r="N196"/>
  <c r="M102"/>
  <c r="M196"/>
  <c r="L102"/>
  <c r="L196"/>
  <c r="K102"/>
  <c r="K196"/>
  <c r="J102"/>
  <c r="J196"/>
  <c r="I102"/>
  <c r="I196"/>
  <c r="H102"/>
  <c r="H196"/>
  <c r="G102"/>
  <c r="G196"/>
  <c r="F102"/>
  <c r="F196"/>
  <c r="E102"/>
  <c r="E196"/>
  <c r="D102"/>
  <c r="D196"/>
  <c r="C102"/>
  <c r="C196"/>
  <c r="A101"/>
  <c r="A195"/>
  <c r="A100"/>
  <c r="A194"/>
  <c r="O185"/>
  <c r="O95"/>
  <c r="C8" i="34"/>
  <c r="D8"/>
  <c r="D21" i="21"/>
  <c r="D24"/>
  <c r="D27"/>
  <c r="F27" s="1"/>
  <c r="D28"/>
  <c r="F28" s="1"/>
  <c r="B20"/>
  <c r="B38" s="1"/>
  <c r="B56" s="1"/>
  <c r="B74" s="1"/>
  <c r="B81" s="1"/>
  <c r="C20"/>
  <c r="C38"/>
  <c r="C56" s="1"/>
  <c r="C74" s="1"/>
  <c r="C81" s="1"/>
  <c r="D20"/>
  <c r="D38" s="1"/>
  <c r="D56" s="1"/>
  <c r="D74" s="1"/>
  <c r="D81" s="1"/>
  <c r="E20"/>
  <c r="E38"/>
  <c r="E56" s="1"/>
  <c r="E74" s="1"/>
  <c r="E81" s="1"/>
  <c r="F20"/>
  <c r="F38" s="1"/>
  <c r="F56" s="1"/>
  <c r="F74" s="1"/>
  <c r="F81" s="1"/>
  <c r="G114" i="17"/>
  <c r="G79"/>
  <c r="G44"/>
  <c r="BJ46" i="30"/>
  <c r="BK46"/>
  <c r="BL46"/>
  <c r="BM46"/>
  <c r="BN46"/>
  <c r="BO46"/>
  <c r="BO47"/>
  <c r="BO48"/>
  <c r="BO49"/>
  <c r="BO50"/>
  <c r="BO51"/>
  <c r="BO52"/>
  <c r="BO53"/>
  <c r="BO54"/>
  <c r="BO55"/>
  <c r="BO56"/>
  <c r="BO57"/>
  <c r="BO58"/>
  <c r="BO59"/>
  <c r="BO60"/>
  <c r="BO13"/>
  <c r="BO14"/>
  <c r="BO15"/>
  <c r="BO16"/>
  <c r="BO17"/>
  <c r="BO18"/>
  <c r="BO19"/>
  <c r="BO20"/>
  <c r="BO21"/>
  <c r="BO22"/>
  <c r="BO23"/>
  <c r="BO24"/>
  <c r="BO25"/>
  <c r="BO26"/>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C27"/>
  <c r="C28"/>
  <c r="C44" i="17"/>
  <c r="C45"/>
  <c r="C79"/>
  <c r="C80"/>
  <c r="C114"/>
  <c r="C115"/>
  <c r="BN3" i="30"/>
  <c r="DP5"/>
  <c r="D9"/>
  <c r="I9"/>
  <c r="N9"/>
  <c r="S9"/>
  <c r="X9"/>
  <c r="AC9"/>
  <c r="AH9"/>
  <c r="AM9"/>
  <c r="AR9"/>
  <c r="AW9"/>
  <c r="BB9"/>
  <c r="BG9"/>
  <c r="BL9"/>
  <c r="BN78"/>
  <c r="BP10" s="1"/>
  <c r="BL78"/>
  <c r="BQ10"/>
  <c r="BQ11" s="1"/>
  <c r="D98"/>
  <c r="BS13" s="1"/>
  <c r="I98"/>
  <c r="N98"/>
  <c r="E98"/>
  <c r="O98"/>
  <c r="BT13"/>
  <c r="F98"/>
  <c r="K98"/>
  <c r="P98"/>
  <c r="BU13"/>
  <c r="S98"/>
  <c r="X98"/>
  <c r="AC98"/>
  <c r="BX13"/>
  <c r="T98"/>
  <c r="Y98"/>
  <c r="AD98"/>
  <c r="BY13"/>
  <c r="U98"/>
  <c r="Z98"/>
  <c r="AE98"/>
  <c r="BZ13"/>
  <c r="D229"/>
  <c r="DP13" s="1"/>
  <c r="H229"/>
  <c r="DQ13" s="1"/>
  <c r="D99"/>
  <c r="BS14" s="1"/>
  <c r="I99"/>
  <c r="N99"/>
  <c r="E99"/>
  <c r="BT14" s="1"/>
  <c r="J99"/>
  <c r="O99"/>
  <c r="F99"/>
  <c r="BU14" s="1"/>
  <c r="K99"/>
  <c r="P99"/>
  <c r="S99"/>
  <c r="BX14" s="1"/>
  <c r="X99"/>
  <c r="AC99"/>
  <c r="T99"/>
  <c r="BY14" s="1"/>
  <c r="Y99"/>
  <c r="AD99"/>
  <c r="U99"/>
  <c r="BZ14" s="1"/>
  <c r="Z99"/>
  <c r="AE99"/>
  <c r="C229"/>
  <c r="DP14" s="1"/>
  <c r="G229"/>
  <c r="DQ14" s="1"/>
  <c r="D100"/>
  <c r="BS15" s="1"/>
  <c r="I100"/>
  <c r="N100"/>
  <c r="E100"/>
  <c r="BT15" s="1"/>
  <c r="J100"/>
  <c r="O100"/>
  <c r="F100"/>
  <c r="BU15" s="1"/>
  <c r="BU16" s="1"/>
  <c r="K100"/>
  <c r="P100"/>
  <c r="S100"/>
  <c r="BX15" s="1"/>
  <c r="X100"/>
  <c r="AC100"/>
  <c r="T100"/>
  <c r="BY15" s="1"/>
  <c r="Y100"/>
  <c r="AD100"/>
  <c r="U100"/>
  <c r="BZ15" s="1"/>
  <c r="Z100"/>
  <c r="AE100"/>
  <c r="D239"/>
  <c r="DP15" s="1"/>
  <c r="H239"/>
  <c r="DQ15" s="1"/>
  <c r="E29"/>
  <c r="E96" s="1"/>
  <c r="E61"/>
  <c r="J29"/>
  <c r="J61"/>
  <c r="J96" s="1"/>
  <c r="O77"/>
  <c r="O96" s="1"/>
  <c r="O78"/>
  <c r="O81"/>
  <c r="O82"/>
  <c r="O83"/>
  <c r="O84"/>
  <c r="O85"/>
  <c r="O87"/>
  <c r="O88"/>
  <c r="O89"/>
  <c r="O90"/>
  <c r="O91"/>
  <c r="O92"/>
  <c r="O93"/>
  <c r="O94"/>
  <c r="O80"/>
  <c r="O86"/>
  <c r="F29"/>
  <c r="F61"/>
  <c r="F96"/>
  <c r="K29"/>
  <c r="K61"/>
  <c r="K96" s="1"/>
  <c r="P77"/>
  <c r="P96" s="1"/>
  <c r="O101" s="1"/>
  <c r="P78"/>
  <c r="P81"/>
  <c r="P82"/>
  <c r="P83"/>
  <c r="P84"/>
  <c r="P85"/>
  <c r="P87"/>
  <c r="P88"/>
  <c r="P89"/>
  <c r="P90"/>
  <c r="P91"/>
  <c r="P92"/>
  <c r="P93"/>
  <c r="P94"/>
  <c r="P80"/>
  <c r="P86"/>
  <c r="T29"/>
  <c r="T96" s="1"/>
  <c r="T61"/>
  <c r="Y29"/>
  <c r="Y96" s="1"/>
  <c r="Y61"/>
  <c r="AD29"/>
  <c r="AD61"/>
  <c r="AD96" s="1"/>
  <c r="U29"/>
  <c r="U96" s="1"/>
  <c r="U61"/>
  <c r="Z29"/>
  <c r="Z61"/>
  <c r="Z96" s="1"/>
  <c r="Y101" s="1"/>
  <c r="AE29"/>
  <c r="AE61"/>
  <c r="AE96"/>
  <c r="BZ16"/>
  <c r="C239"/>
  <c r="DP16" s="1"/>
  <c r="G239"/>
  <c r="DQ16" s="1"/>
  <c r="D102"/>
  <c r="BS17" s="1"/>
  <c r="I102"/>
  <c r="N102"/>
  <c r="E102"/>
  <c r="BT17" s="1"/>
  <c r="J102"/>
  <c r="O102"/>
  <c r="F102"/>
  <c r="BU17" s="1"/>
  <c r="K102"/>
  <c r="P102"/>
  <c r="S102"/>
  <c r="BX17" s="1"/>
  <c r="X102"/>
  <c r="AC102"/>
  <c r="T102"/>
  <c r="BY17" s="1"/>
  <c r="Y102"/>
  <c r="AD102"/>
  <c r="U102"/>
  <c r="BZ17" s="1"/>
  <c r="Z102"/>
  <c r="AE102"/>
  <c r="D231"/>
  <c r="DP17" s="1"/>
  <c r="H231"/>
  <c r="DQ17" s="1"/>
  <c r="BP18"/>
  <c r="C231"/>
  <c r="DP18"/>
  <c r="G231"/>
  <c r="DQ18"/>
  <c r="BP19"/>
  <c r="D232"/>
  <c r="DP19" s="1"/>
  <c r="H232"/>
  <c r="DQ19" s="1"/>
  <c r="BP20"/>
  <c r="C232"/>
  <c r="DP20"/>
  <c r="G232"/>
  <c r="DQ20"/>
  <c r="BP21"/>
  <c r="D241"/>
  <c r="DP21" s="1"/>
  <c r="H241"/>
  <c r="DQ21" s="1"/>
  <c r="C241"/>
  <c r="DP22" s="1"/>
  <c r="G241"/>
  <c r="DQ22" s="1"/>
  <c r="BP23"/>
  <c r="D230"/>
  <c r="DP23"/>
  <c r="H230"/>
  <c r="DQ23"/>
  <c r="C230"/>
  <c r="DP24"/>
  <c r="G230"/>
  <c r="DQ24"/>
  <c r="BP25"/>
  <c r="BP27"/>
  <c r="AH98"/>
  <c r="AM98"/>
  <c r="BS28" s="1"/>
  <c r="AR98"/>
  <c r="AI98"/>
  <c r="AN98"/>
  <c r="BT28" s="1"/>
  <c r="AS98"/>
  <c r="AW98"/>
  <c r="BB98"/>
  <c r="BX28" s="1"/>
  <c r="BG98"/>
  <c r="AX98"/>
  <c r="BC98"/>
  <c r="BH98"/>
  <c r="BY28"/>
  <c r="AY98"/>
  <c r="BD98"/>
  <c r="BI98"/>
  <c r="BZ28"/>
  <c r="C29"/>
  <c r="D29"/>
  <c r="G29" s="1"/>
  <c r="H29"/>
  <c r="I29"/>
  <c r="L29"/>
  <c r="M29"/>
  <c r="N29"/>
  <c r="Q29" s="1"/>
  <c r="O29"/>
  <c r="P29"/>
  <c r="R29"/>
  <c r="S29"/>
  <c r="V29"/>
  <c r="W29"/>
  <c r="X29"/>
  <c r="AA29" s="1"/>
  <c r="AB29"/>
  <c r="AC29"/>
  <c r="AF29"/>
  <c r="AG29"/>
  <c r="AH29"/>
  <c r="AK29" s="1"/>
  <c r="AI29"/>
  <c r="AJ29"/>
  <c r="AJ96" s="1"/>
  <c r="AL29"/>
  <c r="AM29"/>
  <c r="AN29"/>
  <c r="AN96" s="1"/>
  <c r="AO29"/>
  <c r="AP29"/>
  <c r="AQ29"/>
  <c r="AR29"/>
  <c r="AU29" s="1"/>
  <c r="AS29"/>
  <c r="AT29"/>
  <c r="AT96" s="1"/>
  <c r="AS101" s="1"/>
  <c r="AV29"/>
  <c r="AW29"/>
  <c r="AX29"/>
  <c r="AY29"/>
  <c r="AZ29"/>
  <c r="BA29"/>
  <c r="BB29"/>
  <c r="BE29" s="1"/>
  <c r="BC29"/>
  <c r="BD29"/>
  <c r="BF29"/>
  <c r="BG29"/>
  <c r="BH29"/>
  <c r="BI29"/>
  <c r="BJ29"/>
  <c r="BK29"/>
  <c r="BL29"/>
  <c r="BO29" s="1"/>
  <c r="BM29"/>
  <c r="BN29"/>
  <c r="AH99"/>
  <c r="BS29" s="1"/>
  <c r="AM99"/>
  <c r="AR99"/>
  <c r="AI99"/>
  <c r="BT29" s="1"/>
  <c r="AN99"/>
  <c r="AS99"/>
  <c r="AJ99"/>
  <c r="BU29" s="1"/>
  <c r="AO99"/>
  <c r="AT99"/>
  <c r="AW99"/>
  <c r="BX29" s="1"/>
  <c r="BB99"/>
  <c r="BG99"/>
  <c r="AX99"/>
  <c r="BY29" s="1"/>
  <c r="BC99"/>
  <c r="BH99"/>
  <c r="AY99"/>
  <c r="BZ29" s="1"/>
  <c r="BD99"/>
  <c r="BI99"/>
  <c r="D240"/>
  <c r="DP29" s="1"/>
  <c r="H240"/>
  <c r="DQ29" s="1"/>
  <c r="AH100"/>
  <c r="BS30" s="1"/>
  <c r="AM100"/>
  <c r="AR100"/>
  <c r="AI100"/>
  <c r="BT30" s="1"/>
  <c r="AN100"/>
  <c r="AS100"/>
  <c r="AJ100"/>
  <c r="BU30" s="1"/>
  <c r="BU31" s="1"/>
  <c r="AO100"/>
  <c r="AT100"/>
  <c r="AW100"/>
  <c r="BX30" s="1"/>
  <c r="BB100"/>
  <c r="BG100"/>
  <c r="AX100"/>
  <c r="BY30" s="1"/>
  <c r="BC100"/>
  <c r="BH100"/>
  <c r="AY100"/>
  <c r="BZ30" s="1"/>
  <c r="BZ31" s="1"/>
  <c r="BD100"/>
  <c r="BI100"/>
  <c r="C240"/>
  <c r="DP30" s="1"/>
  <c r="G240"/>
  <c r="DQ30" s="1"/>
  <c r="AI61"/>
  <c r="AI96" s="1"/>
  <c r="AN61"/>
  <c r="AS61"/>
  <c r="AS96" s="1"/>
  <c r="AJ61"/>
  <c r="AO61"/>
  <c r="AO96" s="1"/>
  <c r="AN101" s="1"/>
  <c r="AT61"/>
  <c r="BH61"/>
  <c r="BH96"/>
  <c r="BX33" s="1"/>
  <c r="BX31" s="1"/>
  <c r="BC61"/>
  <c r="BC96"/>
  <c r="AX61"/>
  <c r="AX96"/>
  <c r="BI61"/>
  <c r="BI96"/>
  <c r="BY33" s="1"/>
  <c r="BY31" s="1"/>
  <c r="BD61"/>
  <c r="BD96"/>
  <c r="AY61"/>
  <c r="AY96"/>
  <c r="AH102"/>
  <c r="BS32" s="1"/>
  <c r="AM102"/>
  <c r="AR102"/>
  <c r="AI102"/>
  <c r="BT32" s="1"/>
  <c r="AN102"/>
  <c r="AS102"/>
  <c r="AJ102"/>
  <c r="BU32" s="1"/>
  <c r="AO102"/>
  <c r="AT102"/>
  <c r="AW102"/>
  <c r="BX32" s="1"/>
  <c r="BB102"/>
  <c r="BG102"/>
  <c r="AX102"/>
  <c r="BY32" s="1"/>
  <c r="BC102"/>
  <c r="BH102"/>
  <c r="AY102"/>
  <c r="BZ32" s="1"/>
  <c r="BD102"/>
  <c r="BI102"/>
  <c r="D235"/>
  <c r="DP33" s="1"/>
  <c r="H235"/>
  <c r="DQ33" s="1"/>
  <c r="C235"/>
  <c r="DP34" s="1"/>
  <c r="G235"/>
  <c r="DQ34" s="1"/>
  <c r="D234"/>
  <c r="DP35" s="1"/>
  <c r="H234"/>
  <c r="DQ35" s="1"/>
  <c r="C234"/>
  <c r="DP37" s="1"/>
  <c r="G234"/>
  <c r="DQ37" s="1"/>
  <c r="V39"/>
  <c r="D233"/>
  <c r="DP39"/>
  <c r="H233"/>
  <c r="DQ39"/>
  <c r="C233"/>
  <c r="DP40"/>
  <c r="G233"/>
  <c r="DQ40"/>
  <c r="D41"/>
  <c r="I41"/>
  <c r="N41"/>
  <c r="S41"/>
  <c r="X41"/>
  <c r="AC41"/>
  <c r="AH41"/>
  <c r="AM41"/>
  <c r="AR41"/>
  <c r="AW41"/>
  <c r="BB41"/>
  <c r="BG41"/>
  <c r="BL41"/>
  <c r="D238"/>
  <c r="DP41" s="1"/>
  <c r="H238"/>
  <c r="DQ41" s="1"/>
  <c r="D236"/>
  <c r="DP42" s="1"/>
  <c r="H236"/>
  <c r="DQ42" s="1"/>
  <c r="C236"/>
  <c r="DP43" s="1"/>
  <c r="G236"/>
  <c r="DQ43" s="1"/>
  <c r="D237"/>
  <c r="DP44" s="1"/>
  <c r="H237"/>
  <c r="DQ44" s="1"/>
  <c r="C237"/>
  <c r="DP45" s="1"/>
  <c r="G237"/>
  <c r="DQ45" s="1"/>
  <c r="D242"/>
  <c r="DP46" s="1"/>
  <c r="H242"/>
  <c r="DQ46" s="1"/>
  <c r="C242"/>
  <c r="DP47" s="1"/>
  <c r="G242"/>
  <c r="DQ47" s="1"/>
  <c r="BP48"/>
  <c r="D243"/>
  <c r="DP48"/>
  <c r="H243"/>
  <c r="DQ48"/>
  <c r="C243"/>
  <c r="DP49"/>
  <c r="G243"/>
  <c r="DQ49"/>
  <c r="BP50"/>
  <c r="BP52"/>
  <c r="BP55"/>
  <c r="DP57"/>
  <c r="BP58"/>
  <c r="BP59"/>
  <c r="C61"/>
  <c r="D61"/>
  <c r="G61" s="1"/>
  <c r="H61"/>
  <c r="I61"/>
  <c r="L61"/>
  <c r="M61"/>
  <c r="N61"/>
  <c r="Q61" s="1"/>
  <c r="O61"/>
  <c r="P61"/>
  <c r="R61"/>
  <c r="S61"/>
  <c r="V61"/>
  <c r="W61"/>
  <c r="X61"/>
  <c r="AA61" s="1"/>
  <c r="AB61"/>
  <c r="AC61"/>
  <c r="AF61"/>
  <c r="AG61"/>
  <c r="AH61"/>
  <c r="AK61" s="1"/>
  <c r="AL61"/>
  <c r="AM61"/>
  <c r="AP61"/>
  <c r="AQ61"/>
  <c r="AR61"/>
  <c r="AU61" s="1"/>
  <c r="AV61"/>
  <c r="AW61"/>
  <c r="AZ61"/>
  <c r="BA61"/>
  <c r="BB61"/>
  <c r="BE61" s="1"/>
  <c r="BF61"/>
  <c r="BG61"/>
  <c r="BJ61"/>
  <c r="BK61"/>
  <c r="BL61"/>
  <c r="BO61" s="1"/>
  <c r="BM61"/>
  <c r="BN61"/>
  <c r="BP61"/>
  <c r="BP64" s="1"/>
  <c r="BP63"/>
  <c r="D118"/>
  <c r="DP66"/>
  <c r="H118"/>
  <c r="DQ66"/>
  <c r="C118"/>
  <c r="DP67"/>
  <c r="G118"/>
  <c r="DQ67"/>
  <c r="D117"/>
  <c r="DP68"/>
  <c r="H117"/>
  <c r="DQ68"/>
  <c r="C117"/>
  <c r="DP69"/>
  <c r="G117"/>
  <c r="DQ69"/>
  <c r="D119"/>
  <c r="DP70"/>
  <c r="H119"/>
  <c r="DQ70"/>
  <c r="V71"/>
  <c r="C119"/>
  <c r="DP71" s="1"/>
  <c r="G119"/>
  <c r="DQ71" s="1"/>
  <c r="BQ72"/>
  <c r="BR72"/>
  <c r="BS72"/>
  <c r="BT72"/>
  <c r="BU72"/>
  <c r="BU73" s="1"/>
  <c r="BU74" s="1"/>
  <c r="BU75" s="1"/>
  <c r="BU76" s="1"/>
  <c r="BU77" s="1"/>
  <c r="BU78" s="1"/>
  <c r="BU79" s="1"/>
  <c r="BU80" s="1"/>
  <c r="BU81" s="1"/>
  <c r="BU82" s="1"/>
  <c r="BU83" s="1"/>
  <c r="BV72"/>
  <c r="BW72"/>
  <c r="BW73" s="1"/>
  <c r="BW74" s="1"/>
  <c r="BW75" s="1"/>
  <c r="BW76" s="1"/>
  <c r="BW77" s="1"/>
  <c r="BW78" s="1"/>
  <c r="BW79" s="1"/>
  <c r="BW80" s="1"/>
  <c r="BW81" s="1"/>
  <c r="BW82" s="1"/>
  <c r="BW83" s="1"/>
  <c r="BX72"/>
  <c r="BY72"/>
  <c r="BY73" s="1"/>
  <c r="BY74" s="1"/>
  <c r="BY75" s="1"/>
  <c r="BY76" s="1"/>
  <c r="BY77" s="1"/>
  <c r="BY78" s="1"/>
  <c r="BY79" s="1"/>
  <c r="BY80" s="1"/>
  <c r="BY81" s="1"/>
  <c r="BY82" s="1"/>
  <c r="BY83" s="1"/>
  <c r="D120"/>
  <c r="DP72"/>
  <c r="H120"/>
  <c r="DQ72"/>
  <c r="BQ73"/>
  <c r="BR73"/>
  <c r="BR74" s="1"/>
  <c r="BR75" s="1"/>
  <c r="BR76" s="1"/>
  <c r="BR77" s="1"/>
  <c r="BR78" s="1"/>
  <c r="BR79" s="1"/>
  <c r="BR80" s="1"/>
  <c r="BR81" s="1"/>
  <c r="BR82" s="1"/>
  <c r="BR83" s="1"/>
  <c r="BS73"/>
  <c r="BT73"/>
  <c r="BT74" s="1"/>
  <c r="BT75" s="1"/>
  <c r="BT76" s="1"/>
  <c r="BT77" s="1"/>
  <c r="BT78" s="1"/>
  <c r="BT79" s="1"/>
  <c r="BT80" s="1"/>
  <c r="BT81" s="1"/>
  <c r="BT82" s="1"/>
  <c r="BT83" s="1"/>
  <c r="BV73"/>
  <c r="BV74" s="1"/>
  <c r="BV75" s="1"/>
  <c r="BV76" s="1"/>
  <c r="BV77" s="1"/>
  <c r="BV78" s="1"/>
  <c r="BV79" s="1"/>
  <c r="BV80" s="1"/>
  <c r="BV81" s="1"/>
  <c r="BV82" s="1"/>
  <c r="BV83" s="1"/>
  <c r="BX73"/>
  <c r="BX74" s="1"/>
  <c r="BX75" s="1"/>
  <c r="BX76" s="1"/>
  <c r="BX77" s="1"/>
  <c r="BX78" s="1"/>
  <c r="BX79" s="1"/>
  <c r="BX80" s="1"/>
  <c r="BX81" s="1"/>
  <c r="BX82" s="1"/>
  <c r="BX83" s="1"/>
  <c r="C120"/>
  <c r="DP73" s="1"/>
  <c r="G120"/>
  <c r="DQ73" s="1"/>
  <c r="BQ74"/>
  <c r="BQ75" s="1"/>
  <c r="BQ76" s="1"/>
  <c r="BQ77" s="1"/>
  <c r="BQ78" s="1"/>
  <c r="BQ79" s="1"/>
  <c r="BQ80" s="1"/>
  <c r="BQ81" s="1"/>
  <c r="BQ82" s="1"/>
  <c r="BQ83" s="1"/>
  <c r="BS74"/>
  <c r="BS75" s="1"/>
  <c r="BS76" s="1"/>
  <c r="BS77" s="1"/>
  <c r="BS78" s="1"/>
  <c r="BS79" s="1"/>
  <c r="BS80" s="1"/>
  <c r="BS81" s="1"/>
  <c r="BS82" s="1"/>
  <c r="BS83" s="1"/>
  <c r="D128"/>
  <c r="DP74"/>
  <c r="H128"/>
  <c r="DQ74"/>
  <c r="C128"/>
  <c r="DP75" s="1"/>
  <c r="G128"/>
  <c r="DQ75" s="1"/>
  <c r="D121"/>
  <c r="DP76"/>
  <c r="H121"/>
  <c r="DQ76"/>
  <c r="C77"/>
  <c r="D77"/>
  <c r="G77" s="1"/>
  <c r="E77"/>
  <c r="F77"/>
  <c r="H77"/>
  <c r="BK77" s="1"/>
  <c r="I77"/>
  <c r="J77"/>
  <c r="K77"/>
  <c r="L77"/>
  <c r="M77"/>
  <c r="N77"/>
  <c r="Q77" s="1"/>
  <c r="R77"/>
  <c r="S77"/>
  <c r="T77"/>
  <c r="U77"/>
  <c r="V77"/>
  <c r="W77"/>
  <c r="X77"/>
  <c r="AA77" s="1"/>
  <c r="Y77"/>
  <c r="Z77"/>
  <c r="AB77"/>
  <c r="AC77"/>
  <c r="AD77"/>
  <c r="AE77"/>
  <c r="AF77"/>
  <c r="AG77"/>
  <c r="AH77"/>
  <c r="AK77" s="1"/>
  <c r="AI77"/>
  <c r="AJ77"/>
  <c r="AL77"/>
  <c r="AM77"/>
  <c r="AN77"/>
  <c r="AO77"/>
  <c r="AP77"/>
  <c r="AQ77"/>
  <c r="AR77"/>
  <c r="AU77" s="1"/>
  <c r="AS77"/>
  <c r="AT77"/>
  <c r="AV77"/>
  <c r="AW77"/>
  <c r="AX77"/>
  <c r="AY77"/>
  <c r="AZ77"/>
  <c r="BA77"/>
  <c r="BB77"/>
  <c r="BE77" s="1"/>
  <c r="BC77"/>
  <c r="BD77"/>
  <c r="BF77"/>
  <c r="BG77"/>
  <c r="BH77"/>
  <c r="BI77"/>
  <c r="BJ77"/>
  <c r="BL77"/>
  <c r="BM77"/>
  <c r="BN77"/>
  <c r="BM100"/>
  <c r="BO77"/>
  <c r="C121"/>
  <c r="DP77" s="1"/>
  <c r="G121"/>
  <c r="DQ77" s="1"/>
  <c r="C78"/>
  <c r="D78"/>
  <c r="E78"/>
  <c r="F78"/>
  <c r="G78"/>
  <c r="H78"/>
  <c r="I78"/>
  <c r="L78" s="1"/>
  <c r="J78"/>
  <c r="K78"/>
  <c r="M78"/>
  <c r="N78"/>
  <c r="Q78"/>
  <c r="R78"/>
  <c r="S78"/>
  <c r="V78" s="1"/>
  <c r="T78"/>
  <c r="U78"/>
  <c r="W78"/>
  <c r="X78"/>
  <c r="Y78"/>
  <c r="Z78"/>
  <c r="AA78"/>
  <c r="AB78"/>
  <c r="AC78"/>
  <c r="AF78" s="1"/>
  <c r="AD78"/>
  <c r="AE78"/>
  <c r="AG78"/>
  <c r="AH78"/>
  <c r="AI78"/>
  <c r="AJ78"/>
  <c r="AK78"/>
  <c r="AL78"/>
  <c r="AM78"/>
  <c r="AP78" s="1"/>
  <c r="AN78"/>
  <c r="AO78"/>
  <c r="AQ78"/>
  <c r="AR78"/>
  <c r="AS78"/>
  <c r="AT78"/>
  <c r="AU78"/>
  <c r="AV78"/>
  <c r="AW78"/>
  <c r="AZ78" s="1"/>
  <c r="AX78"/>
  <c r="AY78"/>
  <c r="BA78"/>
  <c r="BB78"/>
  <c r="BC78"/>
  <c r="BD78"/>
  <c r="BE78"/>
  <c r="BF78"/>
  <c r="BG78"/>
  <c r="BJ78" s="1"/>
  <c r="BH78"/>
  <c r="BI78"/>
  <c r="BK78"/>
  <c r="BM78"/>
  <c r="BO78"/>
  <c r="D122"/>
  <c r="DP78" s="1"/>
  <c r="H122"/>
  <c r="DQ78" s="1"/>
  <c r="G79"/>
  <c r="L79"/>
  <c r="Q79"/>
  <c r="V79"/>
  <c r="AA79"/>
  <c r="AF79"/>
  <c r="AK79"/>
  <c r="AP79"/>
  <c r="AU79"/>
  <c r="AZ79"/>
  <c r="BE79"/>
  <c r="BJ79"/>
  <c r="BK79"/>
  <c r="BL79"/>
  <c r="BO79"/>
  <c r="C122"/>
  <c r="DP79" s="1"/>
  <c r="G122"/>
  <c r="DQ79" s="1"/>
  <c r="C80"/>
  <c r="D80"/>
  <c r="E80"/>
  <c r="F80"/>
  <c r="G80"/>
  <c r="H80"/>
  <c r="I80"/>
  <c r="BL80" s="1"/>
  <c r="BO80" s="1"/>
  <c r="J80"/>
  <c r="K80"/>
  <c r="M80"/>
  <c r="N80"/>
  <c r="Q80"/>
  <c r="R80"/>
  <c r="S80"/>
  <c r="V80" s="1"/>
  <c r="T80"/>
  <c r="U80"/>
  <c r="W80"/>
  <c r="X80"/>
  <c r="Y80"/>
  <c r="Z80"/>
  <c r="AA80"/>
  <c r="AB80"/>
  <c r="AC80"/>
  <c r="AF80" s="1"/>
  <c r="AD80"/>
  <c r="AE80"/>
  <c r="AG80"/>
  <c r="AH80"/>
  <c r="AI80"/>
  <c r="AJ80"/>
  <c r="AK80"/>
  <c r="AL80"/>
  <c r="AM80"/>
  <c r="AP80" s="1"/>
  <c r="AN80"/>
  <c r="AO80"/>
  <c r="AQ80"/>
  <c r="AR80"/>
  <c r="AS80"/>
  <c r="AT80"/>
  <c r="AU80"/>
  <c r="AV80"/>
  <c r="AW80"/>
  <c r="AZ80" s="1"/>
  <c r="AX80"/>
  <c r="AY80"/>
  <c r="BA80"/>
  <c r="BK80" s="1"/>
  <c r="BB80"/>
  <c r="BC80"/>
  <c r="BD80"/>
  <c r="BE80"/>
  <c r="BF80"/>
  <c r="BG80"/>
  <c r="BJ80" s="1"/>
  <c r="BH80"/>
  <c r="BI80"/>
  <c r="BM80"/>
  <c r="BN80"/>
  <c r="D126"/>
  <c r="DP80" s="1"/>
  <c r="H126"/>
  <c r="DQ80" s="1"/>
  <c r="C81"/>
  <c r="D81"/>
  <c r="E81"/>
  <c r="F81"/>
  <c r="G81"/>
  <c r="H81"/>
  <c r="I81"/>
  <c r="BL81" s="1"/>
  <c r="BO81" s="1"/>
  <c r="J81"/>
  <c r="K81"/>
  <c r="M81"/>
  <c r="N81"/>
  <c r="Q81"/>
  <c r="R81"/>
  <c r="S81"/>
  <c r="V81" s="1"/>
  <c r="T81"/>
  <c r="U81"/>
  <c r="W81"/>
  <c r="X81"/>
  <c r="Y81"/>
  <c r="Z81"/>
  <c r="AA81"/>
  <c r="AB81"/>
  <c r="AC81"/>
  <c r="AF81" s="1"/>
  <c r="AD81"/>
  <c r="AE81"/>
  <c r="AG81"/>
  <c r="AH81"/>
  <c r="AI81"/>
  <c r="AJ81"/>
  <c r="AK81"/>
  <c r="AL81"/>
  <c r="AM81"/>
  <c r="AP81" s="1"/>
  <c r="AN81"/>
  <c r="AO81"/>
  <c r="AQ81"/>
  <c r="AR81"/>
  <c r="AS81"/>
  <c r="AT81"/>
  <c r="AU81"/>
  <c r="AV81"/>
  <c r="AW81"/>
  <c r="AZ81" s="1"/>
  <c r="AX81"/>
  <c r="AY81"/>
  <c r="BA81"/>
  <c r="BB81"/>
  <c r="BC81"/>
  <c r="BD81"/>
  <c r="BE81"/>
  <c r="BF81"/>
  <c r="BG81"/>
  <c r="BJ81" s="1"/>
  <c r="BH81"/>
  <c r="BI81"/>
  <c r="BK81"/>
  <c r="BM81"/>
  <c r="BN81"/>
  <c r="C126"/>
  <c r="DP81" s="1"/>
  <c r="G126"/>
  <c r="DQ81" s="1"/>
  <c r="C82"/>
  <c r="D82"/>
  <c r="E82"/>
  <c r="F82"/>
  <c r="G82"/>
  <c r="H82"/>
  <c r="I82"/>
  <c r="BL82" s="1"/>
  <c r="BO82" s="1"/>
  <c r="J82"/>
  <c r="K82"/>
  <c r="M82"/>
  <c r="N82"/>
  <c r="Q82"/>
  <c r="R82"/>
  <c r="S82"/>
  <c r="V82" s="1"/>
  <c r="T82"/>
  <c r="U82"/>
  <c r="W82"/>
  <c r="X82"/>
  <c r="Y82"/>
  <c r="Z82"/>
  <c r="AA82"/>
  <c r="AB82"/>
  <c r="AC82"/>
  <c r="AF82" s="1"/>
  <c r="AD82"/>
  <c r="AE82"/>
  <c r="AG82"/>
  <c r="AH82"/>
  <c r="AI82"/>
  <c r="AJ82"/>
  <c r="AK82"/>
  <c r="AL82"/>
  <c r="AM82"/>
  <c r="AP82" s="1"/>
  <c r="AN82"/>
  <c r="AO82"/>
  <c r="AQ82"/>
  <c r="AR82"/>
  <c r="AS82"/>
  <c r="AT82"/>
  <c r="AU82"/>
  <c r="AV82"/>
  <c r="AW82"/>
  <c r="AZ82" s="1"/>
  <c r="AX82"/>
  <c r="AY82"/>
  <c r="BA82"/>
  <c r="BB82"/>
  <c r="BC82"/>
  <c r="BD82"/>
  <c r="BE82"/>
  <c r="BF82"/>
  <c r="BG82"/>
  <c r="BJ82" s="1"/>
  <c r="BH82"/>
  <c r="BI82"/>
  <c r="BK82"/>
  <c r="BM82"/>
  <c r="BN82"/>
  <c r="D127"/>
  <c r="DP82" s="1"/>
  <c r="H127"/>
  <c r="DQ82" s="1"/>
  <c r="C83"/>
  <c r="D83"/>
  <c r="E83"/>
  <c r="F83"/>
  <c r="G83"/>
  <c r="H83"/>
  <c r="I83"/>
  <c r="BL83" s="1"/>
  <c r="BO83" s="1"/>
  <c r="J83"/>
  <c r="K83"/>
  <c r="M83"/>
  <c r="N83"/>
  <c r="Q83"/>
  <c r="R83"/>
  <c r="S83"/>
  <c r="V83" s="1"/>
  <c r="T83"/>
  <c r="U83"/>
  <c r="W83"/>
  <c r="X83"/>
  <c r="Y83"/>
  <c r="Z83"/>
  <c r="AA83"/>
  <c r="AB83"/>
  <c r="AC83"/>
  <c r="AF83" s="1"/>
  <c r="AD83"/>
  <c r="AE83"/>
  <c r="AG83"/>
  <c r="AH83"/>
  <c r="AI83"/>
  <c r="AJ83"/>
  <c r="AK83"/>
  <c r="AL83"/>
  <c r="AM83"/>
  <c r="AP83" s="1"/>
  <c r="AN83"/>
  <c r="AO83"/>
  <c r="AQ83"/>
  <c r="AR83"/>
  <c r="AS83"/>
  <c r="AT83"/>
  <c r="AU83"/>
  <c r="AV83"/>
  <c r="AW83"/>
  <c r="AZ83" s="1"/>
  <c r="AX83"/>
  <c r="AY83"/>
  <c r="BA83"/>
  <c r="BB83"/>
  <c r="BC83"/>
  <c r="BD83"/>
  <c r="BE83"/>
  <c r="BF83"/>
  <c r="BG83"/>
  <c r="BJ83" s="1"/>
  <c r="BH83"/>
  <c r="BI83"/>
  <c r="BK83"/>
  <c r="BM83"/>
  <c r="BN83"/>
  <c r="C127"/>
  <c r="DP83" s="1"/>
  <c r="G127"/>
  <c r="DQ83" s="1"/>
  <c r="C84"/>
  <c r="D84"/>
  <c r="E84"/>
  <c r="F84"/>
  <c r="G84"/>
  <c r="H84"/>
  <c r="I84"/>
  <c r="BL84" s="1"/>
  <c r="BO84" s="1"/>
  <c r="J84"/>
  <c r="K84"/>
  <c r="M84"/>
  <c r="N84"/>
  <c r="Q84"/>
  <c r="R84"/>
  <c r="S84"/>
  <c r="V84" s="1"/>
  <c r="T84"/>
  <c r="U84"/>
  <c r="W84"/>
  <c r="X84"/>
  <c r="Y84"/>
  <c r="Z84"/>
  <c r="AA84"/>
  <c r="AB84"/>
  <c r="AC84"/>
  <c r="AF84" s="1"/>
  <c r="AD84"/>
  <c r="AE84"/>
  <c r="AG84"/>
  <c r="AH84"/>
  <c r="AI84"/>
  <c r="AJ84"/>
  <c r="AK84"/>
  <c r="AL84"/>
  <c r="AM84"/>
  <c r="AP84" s="1"/>
  <c r="AN84"/>
  <c r="AO84"/>
  <c r="AQ84"/>
  <c r="AR84"/>
  <c r="AS84"/>
  <c r="AT84"/>
  <c r="AU84"/>
  <c r="AV84"/>
  <c r="AW84"/>
  <c r="AZ84" s="1"/>
  <c r="AX84"/>
  <c r="AY84"/>
  <c r="BA84"/>
  <c r="BB84"/>
  <c r="BC84"/>
  <c r="BD84"/>
  <c r="BE84"/>
  <c r="BF84"/>
  <c r="BG84"/>
  <c r="BJ84" s="1"/>
  <c r="BH84"/>
  <c r="BI84"/>
  <c r="BK84"/>
  <c r="BM84"/>
  <c r="BN84"/>
  <c r="D123"/>
  <c r="DP84"/>
  <c r="H123"/>
  <c r="DQ84"/>
  <c r="C85"/>
  <c r="D85"/>
  <c r="G85" s="1"/>
  <c r="E85"/>
  <c r="F85"/>
  <c r="H85"/>
  <c r="BK85" s="1"/>
  <c r="I85"/>
  <c r="J85"/>
  <c r="K85"/>
  <c r="L85"/>
  <c r="M85"/>
  <c r="N85"/>
  <c r="Q85" s="1"/>
  <c r="R85"/>
  <c r="S85"/>
  <c r="T85"/>
  <c r="U85"/>
  <c r="V85"/>
  <c r="W85"/>
  <c r="X85"/>
  <c r="AA85" s="1"/>
  <c r="Y85"/>
  <c r="Z85"/>
  <c r="AB85"/>
  <c r="AC85"/>
  <c r="AD85"/>
  <c r="AE85"/>
  <c r="AF85"/>
  <c r="AG85"/>
  <c r="AH85"/>
  <c r="AK85" s="1"/>
  <c r="AI85"/>
  <c r="AJ85"/>
  <c r="AL85"/>
  <c r="AM85"/>
  <c r="AN85"/>
  <c r="AO85"/>
  <c r="AP85"/>
  <c r="AQ85"/>
  <c r="AR85"/>
  <c r="AU85" s="1"/>
  <c r="AS85"/>
  <c r="AT85"/>
  <c r="AV85"/>
  <c r="AW85"/>
  <c r="AX85"/>
  <c r="AY85"/>
  <c r="AZ85"/>
  <c r="BA85"/>
  <c r="BB85"/>
  <c r="BE85" s="1"/>
  <c r="BC85"/>
  <c r="BD85"/>
  <c r="BF85"/>
  <c r="BG85"/>
  <c r="BH85"/>
  <c r="BI85"/>
  <c r="BJ85"/>
  <c r="BL85"/>
  <c r="BO85" s="1"/>
  <c r="BM85"/>
  <c r="BN85"/>
  <c r="C123"/>
  <c r="DP85" s="1"/>
  <c r="G123"/>
  <c r="DQ85" s="1"/>
  <c r="C86"/>
  <c r="D86"/>
  <c r="E86"/>
  <c r="F86"/>
  <c r="G86"/>
  <c r="H86"/>
  <c r="I86"/>
  <c r="L86" s="1"/>
  <c r="J86"/>
  <c r="K86"/>
  <c r="M86"/>
  <c r="N86"/>
  <c r="Q86"/>
  <c r="R86"/>
  <c r="S86"/>
  <c r="V86" s="1"/>
  <c r="T86"/>
  <c r="U86"/>
  <c r="W86"/>
  <c r="X86"/>
  <c r="Y86"/>
  <c r="Z86"/>
  <c r="AA86"/>
  <c r="AB86"/>
  <c r="AC86"/>
  <c r="AF86" s="1"/>
  <c r="AD86"/>
  <c r="AE86"/>
  <c r="AG86"/>
  <c r="BK86" s="1"/>
  <c r="AH86"/>
  <c r="AI86"/>
  <c r="AJ86"/>
  <c r="AK86"/>
  <c r="AL86"/>
  <c r="AM86"/>
  <c r="AP86" s="1"/>
  <c r="AN86"/>
  <c r="AO86"/>
  <c r="AQ86"/>
  <c r="AR86"/>
  <c r="AS86"/>
  <c r="AT86"/>
  <c r="AU86"/>
  <c r="AV86"/>
  <c r="AW86"/>
  <c r="AZ86" s="1"/>
  <c r="AX86"/>
  <c r="AY86"/>
  <c r="BA86"/>
  <c r="BB86"/>
  <c r="BC86"/>
  <c r="BD86"/>
  <c r="BE86"/>
  <c r="BF86"/>
  <c r="BG86"/>
  <c r="BJ86" s="1"/>
  <c r="BH86"/>
  <c r="BI86"/>
  <c r="BM86"/>
  <c r="BN86"/>
  <c r="D129"/>
  <c r="DP86"/>
  <c r="H129"/>
  <c r="DQ86"/>
  <c r="C87"/>
  <c r="D87"/>
  <c r="G87" s="1"/>
  <c r="E87"/>
  <c r="F87"/>
  <c r="H87"/>
  <c r="BK87" s="1"/>
  <c r="I87"/>
  <c r="J87"/>
  <c r="K87"/>
  <c r="L87"/>
  <c r="M87"/>
  <c r="N87"/>
  <c r="Q87" s="1"/>
  <c r="R87"/>
  <c r="S87"/>
  <c r="T87"/>
  <c r="U87"/>
  <c r="V87"/>
  <c r="W87"/>
  <c r="X87"/>
  <c r="AA87" s="1"/>
  <c r="Y87"/>
  <c r="Z87"/>
  <c r="AB87"/>
  <c r="AC87"/>
  <c r="AD87"/>
  <c r="AE87"/>
  <c r="AF87"/>
  <c r="AG87"/>
  <c r="AH87"/>
  <c r="AK87" s="1"/>
  <c r="AI87"/>
  <c r="AJ87"/>
  <c r="AL87"/>
  <c r="AM87"/>
  <c r="AN87"/>
  <c r="AO87"/>
  <c r="AP87"/>
  <c r="AQ87"/>
  <c r="AR87"/>
  <c r="AU87" s="1"/>
  <c r="AS87"/>
  <c r="AT87"/>
  <c r="AV87"/>
  <c r="AW87"/>
  <c r="AX87"/>
  <c r="AY87"/>
  <c r="AZ87"/>
  <c r="BA87"/>
  <c r="BB87"/>
  <c r="BE87" s="1"/>
  <c r="BC87"/>
  <c r="BD87"/>
  <c r="BF87"/>
  <c r="BG87"/>
  <c r="BH87"/>
  <c r="BI87"/>
  <c r="BJ87"/>
  <c r="BM87"/>
  <c r="BN87"/>
  <c r="C129"/>
  <c r="DP87" s="1"/>
  <c r="G129"/>
  <c r="DQ87" s="1"/>
  <c r="C88"/>
  <c r="D88"/>
  <c r="E88"/>
  <c r="F88"/>
  <c r="G88"/>
  <c r="H88"/>
  <c r="I88"/>
  <c r="BL88" s="1"/>
  <c r="BO88" s="1"/>
  <c r="J88"/>
  <c r="K88"/>
  <c r="M88"/>
  <c r="N88"/>
  <c r="Q88"/>
  <c r="R88"/>
  <c r="S88"/>
  <c r="V88" s="1"/>
  <c r="T88"/>
  <c r="U88"/>
  <c r="W88"/>
  <c r="X88"/>
  <c r="Y88"/>
  <c r="Z88"/>
  <c r="AA88"/>
  <c r="AB88"/>
  <c r="AC88"/>
  <c r="AF88" s="1"/>
  <c r="AD88"/>
  <c r="AE88"/>
  <c r="AG88"/>
  <c r="AH88"/>
  <c r="AI88"/>
  <c r="AJ88"/>
  <c r="AK88"/>
  <c r="AL88"/>
  <c r="AM88"/>
  <c r="AP88" s="1"/>
  <c r="AN88"/>
  <c r="AO88"/>
  <c r="AQ88"/>
  <c r="AR88"/>
  <c r="AS88"/>
  <c r="AT88"/>
  <c r="AU88"/>
  <c r="AV88"/>
  <c r="AW88"/>
  <c r="AZ88" s="1"/>
  <c r="AX88"/>
  <c r="AY88"/>
  <c r="BA88"/>
  <c r="BB88"/>
  <c r="BC88"/>
  <c r="BD88"/>
  <c r="BE88"/>
  <c r="BF88"/>
  <c r="BG88"/>
  <c r="BJ88" s="1"/>
  <c r="BH88"/>
  <c r="BI88"/>
  <c r="BK88"/>
  <c r="BM88"/>
  <c r="BN88"/>
  <c r="C89"/>
  <c r="D89"/>
  <c r="G89" s="1"/>
  <c r="E89"/>
  <c r="F89"/>
  <c r="H89"/>
  <c r="BK89" s="1"/>
  <c r="I89"/>
  <c r="J89"/>
  <c r="K89"/>
  <c r="L89"/>
  <c r="M89"/>
  <c r="N89"/>
  <c r="Q89" s="1"/>
  <c r="R89"/>
  <c r="S89"/>
  <c r="T89"/>
  <c r="U89"/>
  <c r="V89"/>
  <c r="W89"/>
  <c r="X89"/>
  <c r="AA89" s="1"/>
  <c r="Y89"/>
  <c r="Z89"/>
  <c r="AB89"/>
  <c r="AC89"/>
  <c r="AD89"/>
  <c r="AE89"/>
  <c r="AF89"/>
  <c r="AG89"/>
  <c r="AH89"/>
  <c r="AK89" s="1"/>
  <c r="AI89"/>
  <c r="AJ89"/>
  <c r="AL89"/>
  <c r="AM89"/>
  <c r="AN89"/>
  <c r="AO89"/>
  <c r="AP89"/>
  <c r="AQ89"/>
  <c r="AR89"/>
  <c r="AU89" s="1"/>
  <c r="AS89"/>
  <c r="AT89"/>
  <c r="AV89"/>
  <c r="AW89"/>
  <c r="AX89"/>
  <c r="AY89"/>
  <c r="AZ89"/>
  <c r="BA89"/>
  <c r="BB89"/>
  <c r="BE89" s="1"/>
  <c r="BC89"/>
  <c r="BD89"/>
  <c r="BF89"/>
  <c r="BG89"/>
  <c r="BH89"/>
  <c r="BI89"/>
  <c r="BJ89"/>
  <c r="BL89"/>
  <c r="BO89" s="1"/>
  <c r="BM89"/>
  <c r="BN89"/>
  <c r="BR89"/>
  <c r="C90"/>
  <c r="D90"/>
  <c r="G90" s="1"/>
  <c r="E90"/>
  <c r="F90"/>
  <c r="H90"/>
  <c r="BK90" s="1"/>
  <c r="I90"/>
  <c r="J90"/>
  <c r="K90"/>
  <c r="L90"/>
  <c r="M90"/>
  <c r="N90"/>
  <c r="Q90" s="1"/>
  <c r="R90"/>
  <c r="S90"/>
  <c r="T90"/>
  <c r="U90"/>
  <c r="V90"/>
  <c r="W90"/>
  <c r="X90"/>
  <c r="AA90" s="1"/>
  <c r="Y90"/>
  <c r="Z90"/>
  <c r="AB90"/>
  <c r="AC90"/>
  <c r="AD90"/>
  <c r="AE90"/>
  <c r="AF90"/>
  <c r="AG90"/>
  <c r="AH90"/>
  <c r="AK90" s="1"/>
  <c r="AI90"/>
  <c r="AJ90"/>
  <c r="AL90"/>
  <c r="AM90"/>
  <c r="AN90"/>
  <c r="AO90"/>
  <c r="AP90"/>
  <c r="AQ90"/>
  <c r="AR90"/>
  <c r="AU90" s="1"/>
  <c r="AS90"/>
  <c r="AT90"/>
  <c r="AV90"/>
  <c r="AW90"/>
  <c r="AX90"/>
  <c r="AY90"/>
  <c r="AZ90"/>
  <c r="BA90"/>
  <c r="BB90"/>
  <c r="BE90" s="1"/>
  <c r="BC90"/>
  <c r="BD90"/>
  <c r="BF90"/>
  <c r="BG90"/>
  <c r="BH90"/>
  <c r="BI90"/>
  <c r="BJ90"/>
  <c r="BL90"/>
  <c r="BO90" s="1"/>
  <c r="BM90"/>
  <c r="BN90"/>
  <c r="D124"/>
  <c r="DP90" s="1"/>
  <c r="H124"/>
  <c r="DQ90" s="1"/>
  <c r="C91"/>
  <c r="D91"/>
  <c r="E91"/>
  <c r="F91"/>
  <c r="G91"/>
  <c r="H91"/>
  <c r="I91"/>
  <c r="L91" s="1"/>
  <c r="J91"/>
  <c r="K91"/>
  <c r="M91"/>
  <c r="N91"/>
  <c r="Q91"/>
  <c r="R91"/>
  <c r="S91"/>
  <c r="V91" s="1"/>
  <c r="T91"/>
  <c r="U91"/>
  <c r="W91"/>
  <c r="X91"/>
  <c r="Y91"/>
  <c r="Z91"/>
  <c r="AA91"/>
  <c r="AB91"/>
  <c r="AC91"/>
  <c r="AF91" s="1"/>
  <c r="AD91"/>
  <c r="AE91"/>
  <c r="AG91"/>
  <c r="BK91" s="1"/>
  <c r="AH91"/>
  <c r="AI91"/>
  <c r="AJ91"/>
  <c r="AK91"/>
  <c r="AL91"/>
  <c r="AM91"/>
  <c r="AP91" s="1"/>
  <c r="AN91"/>
  <c r="AO91"/>
  <c r="AQ91"/>
  <c r="AR91"/>
  <c r="AS91"/>
  <c r="AT91"/>
  <c r="AU91"/>
  <c r="AV91"/>
  <c r="AW91"/>
  <c r="AZ91" s="1"/>
  <c r="AX91"/>
  <c r="AY91"/>
  <c r="BA91"/>
  <c r="BB91"/>
  <c r="BC91"/>
  <c r="BD91"/>
  <c r="BE91"/>
  <c r="BF91"/>
  <c r="BG91"/>
  <c r="BJ91" s="1"/>
  <c r="BH91"/>
  <c r="BI91"/>
  <c r="BM91"/>
  <c r="BN91"/>
  <c r="C124"/>
  <c r="DP91"/>
  <c r="G124"/>
  <c r="DQ91"/>
  <c r="C92"/>
  <c r="D92"/>
  <c r="G92" s="1"/>
  <c r="E92"/>
  <c r="F92"/>
  <c r="H92"/>
  <c r="BK92" s="1"/>
  <c r="I92"/>
  <c r="J92"/>
  <c r="K92"/>
  <c r="L92"/>
  <c r="M92"/>
  <c r="N92"/>
  <c r="Q92" s="1"/>
  <c r="R92"/>
  <c r="S92"/>
  <c r="T92"/>
  <c r="U92"/>
  <c r="V92"/>
  <c r="W92"/>
  <c r="X92"/>
  <c r="AA92" s="1"/>
  <c r="Y92"/>
  <c r="Z92"/>
  <c r="AB92"/>
  <c r="AC92"/>
  <c r="AD92"/>
  <c r="AE92"/>
  <c r="AF92"/>
  <c r="AG92"/>
  <c r="AH92"/>
  <c r="AK92" s="1"/>
  <c r="AI92"/>
  <c r="AJ92"/>
  <c r="AL92"/>
  <c r="AM92"/>
  <c r="AN92"/>
  <c r="AO92"/>
  <c r="AP92"/>
  <c r="AQ92"/>
  <c r="AR92"/>
  <c r="AU92" s="1"/>
  <c r="AS92"/>
  <c r="AT92"/>
  <c r="AV92"/>
  <c r="AW92"/>
  <c r="AX92"/>
  <c r="AY92"/>
  <c r="AZ92"/>
  <c r="BA92"/>
  <c r="BB92"/>
  <c r="BE92" s="1"/>
  <c r="BC92"/>
  <c r="BD92"/>
  <c r="BF92"/>
  <c r="BG92"/>
  <c r="BH92"/>
  <c r="BI92"/>
  <c r="BJ92"/>
  <c r="BM92"/>
  <c r="BN92"/>
  <c r="D125"/>
  <c r="F125" s="1"/>
  <c r="H125"/>
  <c r="DQ92" s="1"/>
  <c r="C93"/>
  <c r="D93"/>
  <c r="E93"/>
  <c r="F93"/>
  <c r="G93"/>
  <c r="H93"/>
  <c r="I93"/>
  <c r="J93"/>
  <c r="K93"/>
  <c r="M93"/>
  <c r="N93"/>
  <c r="Q93"/>
  <c r="R93"/>
  <c r="S93"/>
  <c r="V93" s="1"/>
  <c r="T93"/>
  <c r="U93"/>
  <c r="W93"/>
  <c r="X93"/>
  <c r="Y93"/>
  <c r="Z93"/>
  <c r="AA93"/>
  <c r="AB93"/>
  <c r="AC93"/>
  <c r="AF93" s="1"/>
  <c r="AD93"/>
  <c r="AE93"/>
  <c r="AG93"/>
  <c r="AH93"/>
  <c r="AI93"/>
  <c r="AJ93"/>
  <c r="AK93"/>
  <c r="AL93"/>
  <c r="AM93"/>
  <c r="AP93" s="1"/>
  <c r="AN93"/>
  <c r="AO93"/>
  <c r="AQ93"/>
  <c r="AR93"/>
  <c r="AS93"/>
  <c r="AT93"/>
  <c r="AU93"/>
  <c r="AV93"/>
  <c r="AW93"/>
  <c r="AZ93" s="1"/>
  <c r="AX93"/>
  <c r="AY93"/>
  <c r="BA93"/>
  <c r="BB93"/>
  <c r="BC93"/>
  <c r="BD93"/>
  <c r="BE93"/>
  <c r="BF93"/>
  <c r="BG93"/>
  <c r="BJ93" s="1"/>
  <c r="BH93"/>
  <c r="BI93"/>
  <c r="BK93"/>
  <c r="BM93"/>
  <c r="BN93"/>
  <c r="BN94"/>
  <c r="BN96"/>
  <c r="BM102"/>
  <c r="C125"/>
  <c r="DP93"/>
  <c r="G125"/>
  <c r="DQ93"/>
  <c r="C94"/>
  <c r="D94"/>
  <c r="G94" s="1"/>
  <c r="E94"/>
  <c r="F94"/>
  <c r="H94"/>
  <c r="I94"/>
  <c r="J94"/>
  <c r="K94"/>
  <c r="L94"/>
  <c r="M94"/>
  <c r="N94"/>
  <c r="Q94" s="1"/>
  <c r="R94"/>
  <c r="S94"/>
  <c r="T94"/>
  <c r="U94"/>
  <c r="V94"/>
  <c r="W94"/>
  <c r="X94"/>
  <c r="AA94" s="1"/>
  <c r="Y94"/>
  <c r="Z94"/>
  <c r="AB94"/>
  <c r="AC94"/>
  <c r="AD94"/>
  <c r="AE94"/>
  <c r="AF94"/>
  <c r="AG94"/>
  <c r="AH94"/>
  <c r="AK94" s="1"/>
  <c r="AI94"/>
  <c r="AJ94"/>
  <c r="AL94"/>
  <c r="AM94"/>
  <c r="AN94"/>
  <c r="AO94"/>
  <c r="AP94"/>
  <c r="AQ94"/>
  <c r="AR94"/>
  <c r="AU94" s="1"/>
  <c r="AS94"/>
  <c r="AT94"/>
  <c r="AV94"/>
  <c r="AW94"/>
  <c r="AX94"/>
  <c r="AY94"/>
  <c r="AZ94"/>
  <c r="BA94"/>
  <c r="BB94"/>
  <c r="BE94" s="1"/>
  <c r="BC94"/>
  <c r="BD94"/>
  <c r="BF94"/>
  <c r="BG94"/>
  <c r="BH94"/>
  <c r="BI94"/>
  <c r="BJ94"/>
  <c r="BL94"/>
  <c r="BO94" s="1"/>
  <c r="BM94"/>
  <c r="D130"/>
  <c r="DP94"/>
  <c r="H130"/>
  <c r="DQ94"/>
  <c r="D131"/>
  <c r="DP95"/>
  <c r="H131"/>
  <c r="DQ95"/>
  <c r="C96"/>
  <c r="D96"/>
  <c r="G96" s="1"/>
  <c r="H96"/>
  <c r="I96"/>
  <c r="L96"/>
  <c r="M96"/>
  <c r="N96"/>
  <c r="Q96" s="1"/>
  <c r="R96"/>
  <c r="S96"/>
  <c r="V96"/>
  <c r="W96"/>
  <c r="X96"/>
  <c r="AA96" s="1"/>
  <c r="AB96"/>
  <c r="AC96"/>
  <c r="AF96"/>
  <c r="AG96"/>
  <c r="AH96"/>
  <c r="AK96" s="1"/>
  <c r="AL96"/>
  <c r="AM96"/>
  <c r="AP96"/>
  <c r="AQ96"/>
  <c r="AR96"/>
  <c r="AU96" s="1"/>
  <c r="AV96"/>
  <c r="AW96"/>
  <c r="AZ96"/>
  <c r="BA96"/>
  <c r="BB96"/>
  <c r="BE96" s="1"/>
  <c r="BF96"/>
  <c r="BG96"/>
  <c r="BJ96"/>
  <c r="BK96"/>
  <c r="BL96"/>
  <c r="BO96" s="1"/>
  <c r="BQ96"/>
  <c r="BR96"/>
  <c r="C131"/>
  <c r="DP96"/>
  <c r="G131"/>
  <c r="DQ96"/>
  <c r="D116"/>
  <c r="DP97"/>
  <c r="H116"/>
  <c r="DQ97"/>
  <c r="AJ98"/>
  <c r="AO98"/>
  <c r="AT98"/>
  <c r="BL98"/>
  <c r="BM98"/>
  <c r="BN98"/>
  <c r="BP98"/>
  <c r="C116"/>
  <c r="G116"/>
  <c r="DQ98" s="1"/>
  <c r="BL99"/>
  <c r="BM99"/>
  <c r="BN99"/>
  <c r="BL100"/>
  <c r="BN100"/>
  <c r="D101"/>
  <c r="E101"/>
  <c r="I101"/>
  <c r="N101"/>
  <c r="S101"/>
  <c r="X101"/>
  <c r="AC101"/>
  <c r="AD101"/>
  <c r="AH101"/>
  <c r="AM101"/>
  <c r="AR101"/>
  <c r="AW101"/>
  <c r="AX101"/>
  <c r="BB101"/>
  <c r="BC101"/>
  <c r="BG101"/>
  <c r="BH101"/>
  <c r="BL102"/>
  <c r="BN102"/>
  <c r="BQ104"/>
  <c r="BR104"/>
  <c r="BS104"/>
  <c r="BT104"/>
  <c r="BU104"/>
  <c r="BV104"/>
  <c r="BQ105"/>
  <c r="BQ106" s="1"/>
  <c r="BQ107" s="1"/>
  <c r="BQ108" s="1"/>
  <c r="BQ109" s="1"/>
  <c r="BQ110" s="1"/>
  <c r="BQ111" s="1"/>
  <c r="BQ112" s="1"/>
  <c r="BQ113" s="1"/>
  <c r="BQ114" s="1"/>
  <c r="BQ115" s="1"/>
  <c r="BR105"/>
  <c r="BS105"/>
  <c r="BT105"/>
  <c r="BU105"/>
  <c r="BU106" s="1"/>
  <c r="BU107" s="1"/>
  <c r="BU108" s="1"/>
  <c r="BU109" s="1"/>
  <c r="BU110" s="1"/>
  <c r="BU111" s="1"/>
  <c r="BU112" s="1"/>
  <c r="BU113" s="1"/>
  <c r="BU114" s="1"/>
  <c r="BU115" s="1"/>
  <c r="BV105"/>
  <c r="BR106"/>
  <c r="BS106"/>
  <c r="BS107" s="1"/>
  <c r="BS108" s="1"/>
  <c r="BS109" s="1"/>
  <c r="BS110" s="1"/>
  <c r="BS111" s="1"/>
  <c r="BS112" s="1"/>
  <c r="BS113" s="1"/>
  <c r="BS114" s="1"/>
  <c r="BS115" s="1"/>
  <c r="BT106"/>
  <c r="BV106"/>
  <c r="BR107"/>
  <c r="BT107"/>
  <c r="BV107"/>
  <c r="BR108"/>
  <c r="BT108"/>
  <c r="BV108"/>
  <c r="BR109"/>
  <c r="BT109"/>
  <c r="BV109"/>
  <c r="B110"/>
  <c r="BR110"/>
  <c r="BR111" s="1"/>
  <c r="BR112" s="1"/>
  <c r="BT110"/>
  <c r="BT111" s="1"/>
  <c r="BT112" s="1"/>
  <c r="BV110"/>
  <c r="BV111" s="1"/>
  <c r="BV112" s="1"/>
  <c r="DM110"/>
  <c r="B111"/>
  <c r="H134"/>
  <c r="H112" s="1"/>
  <c r="G130"/>
  <c r="G134"/>
  <c r="DI112"/>
  <c r="BR113"/>
  <c r="BR114" s="1"/>
  <c r="BR115" s="1"/>
  <c r="BT113"/>
  <c r="BT114" s="1"/>
  <c r="BT115" s="1"/>
  <c r="BV113"/>
  <c r="BV114"/>
  <c r="DM114"/>
  <c r="BV115"/>
  <c r="DM115"/>
  <c r="F116"/>
  <c r="I116"/>
  <c r="E117"/>
  <c r="F117"/>
  <c r="I117"/>
  <c r="E118"/>
  <c r="F118"/>
  <c r="I118"/>
  <c r="E119"/>
  <c r="F119"/>
  <c r="I119"/>
  <c r="E120"/>
  <c r="F120"/>
  <c r="I120"/>
  <c r="E121"/>
  <c r="F121"/>
  <c r="I121"/>
  <c r="E122"/>
  <c r="F122"/>
  <c r="I122"/>
  <c r="E123"/>
  <c r="F123"/>
  <c r="I123"/>
  <c r="E124"/>
  <c r="F124"/>
  <c r="I124"/>
  <c r="E125"/>
  <c r="I125"/>
  <c r="E126"/>
  <c r="F126"/>
  <c r="I126"/>
  <c r="E127"/>
  <c r="F127"/>
  <c r="I127"/>
  <c r="E128"/>
  <c r="F128"/>
  <c r="I128"/>
  <c r="E129"/>
  <c r="F129"/>
  <c r="I129"/>
  <c r="C130"/>
  <c r="E130"/>
  <c r="F130"/>
  <c r="I130"/>
  <c r="I134" s="1"/>
  <c r="E131"/>
  <c r="F131"/>
  <c r="I131"/>
  <c r="C134"/>
  <c r="E134" s="1"/>
  <c r="D134"/>
  <c r="F134" s="1"/>
  <c r="D138"/>
  <c r="F138"/>
  <c r="H138"/>
  <c r="D141"/>
  <c r="F142" s="1"/>
  <c r="F141"/>
  <c r="H141"/>
  <c r="D143"/>
  <c r="F143"/>
  <c r="H143"/>
  <c r="D145"/>
  <c r="F145"/>
  <c r="H145"/>
  <c r="D147"/>
  <c r="F147"/>
  <c r="H147"/>
  <c r="B164"/>
  <c r="B165"/>
  <c r="E210"/>
  <c r="E211"/>
  <c r="F211" s="1"/>
  <c r="E212"/>
  <c r="F212" s="1"/>
  <c r="E201"/>
  <c r="E203"/>
  <c r="E205"/>
  <c r="F205" s="1"/>
  <c r="E191"/>
  <c r="E193"/>
  <c r="E195"/>
  <c r="E197"/>
  <c r="E183"/>
  <c r="E184"/>
  <c r="E185"/>
  <c r="E187"/>
  <c r="E173"/>
  <c r="E174"/>
  <c r="E175"/>
  <c r="F175" s="1"/>
  <c r="E177"/>
  <c r="F177" s="1"/>
  <c r="E207"/>
  <c r="D210"/>
  <c r="F210" s="1"/>
  <c r="D211"/>
  <c r="D212"/>
  <c r="D201"/>
  <c r="D203" s="1"/>
  <c r="D205"/>
  <c r="D191"/>
  <c r="D197" s="1"/>
  <c r="F197" s="1"/>
  <c r="D193"/>
  <c r="F193" s="1"/>
  <c r="D195"/>
  <c r="D183"/>
  <c r="D187" s="1"/>
  <c r="F187" s="1"/>
  <c r="D184"/>
  <c r="F184" s="1"/>
  <c r="D185"/>
  <c r="D173"/>
  <c r="D174"/>
  <c r="F174" s="1"/>
  <c r="D175"/>
  <c r="D177"/>
  <c r="D207"/>
  <c r="F173"/>
  <c r="F183"/>
  <c r="F185"/>
  <c r="F191"/>
  <c r="F195"/>
  <c r="F207"/>
  <c r="B222"/>
  <c r="B223"/>
  <c r="H246"/>
  <c r="H224" s="1"/>
  <c r="G246"/>
  <c r="E229"/>
  <c r="F229"/>
  <c r="I229"/>
  <c r="E230"/>
  <c r="F230"/>
  <c r="I230"/>
  <c r="E231"/>
  <c r="F231"/>
  <c r="I231"/>
  <c r="E232"/>
  <c r="F232"/>
  <c r="I232"/>
  <c r="E233"/>
  <c r="F233"/>
  <c r="I233"/>
  <c r="E234"/>
  <c r="F234"/>
  <c r="I234"/>
  <c r="E235"/>
  <c r="F235"/>
  <c r="I235"/>
  <c r="E236"/>
  <c r="F236"/>
  <c r="I236"/>
  <c r="E237"/>
  <c r="F237"/>
  <c r="I237"/>
  <c r="C238"/>
  <c r="G238"/>
  <c r="E238"/>
  <c r="F238"/>
  <c r="I238"/>
  <c r="E239"/>
  <c r="F239"/>
  <c r="I239"/>
  <c r="E240"/>
  <c r="F240"/>
  <c r="I240"/>
  <c r="E241"/>
  <c r="F241"/>
  <c r="I241"/>
  <c r="E242"/>
  <c r="F242"/>
  <c r="I242"/>
  <c r="E243"/>
  <c r="F243"/>
  <c r="I243"/>
  <c r="C244"/>
  <c r="D244"/>
  <c r="G244"/>
  <c r="E244"/>
  <c r="H244"/>
  <c r="F244" s="1"/>
  <c r="I244"/>
  <c r="C246"/>
  <c r="E246" s="1"/>
  <c r="G261" s="1"/>
  <c r="H261" s="1"/>
  <c r="D246"/>
  <c r="F246" s="1"/>
  <c r="G262" s="1"/>
  <c r="H262" s="1"/>
  <c r="I246"/>
  <c r="D250"/>
  <c r="F250"/>
  <c r="H250"/>
  <c r="D253"/>
  <c r="G260" s="1"/>
  <c r="F253"/>
  <c r="F254" s="1"/>
  <c r="H253"/>
  <c r="D255"/>
  <c r="F255"/>
  <c r="H255"/>
  <c r="D257"/>
  <c r="F257"/>
  <c r="H257"/>
  <c r="BI273"/>
  <c r="BJ273"/>
  <c r="BK273"/>
  <c r="BM273"/>
  <c r="BN273"/>
  <c r="BL273" s="1"/>
  <c r="BI274"/>
  <c r="BJ274"/>
  <c r="BL274"/>
  <c r="BM274"/>
  <c r="BK274" s="1"/>
  <c r="BN274"/>
  <c r="BI275"/>
  <c r="BJ275"/>
  <c r="BK275"/>
  <c r="BM275"/>
  <c r="BN275"/>
  <c r="BL275" s="1"/>
  <c r="BI276"/>
  <c r="BJ276"/>
  <c r="BL276"/>
  <c r="BM276"/>
  <c r="BK276" s="1"/>
  <c r="BN276"/>
  <c r="B277"/>
  <c r="BI277"/>
  <c r="BJ277"/>
  <c r="BM277"/>
  <c r="BK277" s="1"/>
  <c r="BN277"/>
  <c r="BL277" s="1"/>
  <c r="B278"/>
  <c r="BI278"/>
  <c r="BJ278"/>
  <c r="BK278"/>
  <c r="BM278"/>
  <c r="BN278"/>
  <c r="BL278" s="1"/>
  <c r="BI279"/>
  <c r="BJ279"/>
  <c r="BL279"/>
  <c r="BM279"/>
  <c r="BK279" s="1"/>
  <c r="BN279"/>
  <c r="BI280"/>
  <c r="BJ280"/>
  <c r="BK280"/>
  <c r="BM280"/>
  <c r="BN280"/>
  <c r="BL280" s="1"/>
  <c r="E321"/>
  <c r="E325" s="1"/>
  <c r="D321"/>
  <c r="E322"/>
  <c r="F322" s="1"/>
  <c r="D322"/>
  <c r="E323"/>
  <c r="D323"/>
  <c r="F323" s="1"/>
  <c r="E318"/>
  <c r="D318"/>
  <c r="F318" s="1"/>
  <c r="E314"/>
  <c r="E316"/>
  <c r="D314"/>
  <c r="F314" s="1"/>
  <c r="E304"/>
  <c r="E306"/>
  <c r="E310" s="1"/>
  <c r="F310" s="1"/>
  <c r="E308"/>
  <c r="D304"/>
  <c r="D306"/>
  <c r="D310" s="1"/>
  <c r="D308"/>
  <c r="E296"/>
  <c r="E300" s="1"/>
  <c r="E297"/>
  <c r="E298"/>
  <c r="D296"/>
  <c r="D300" s="1"/>
  <c r="D297"/>
  <c r="D298"/>
  <c r="E286"/>
  <c r="E292" s="1"/>
  <c r="F292" s="1"/>
  <c r="E287"/>
  <c r="E288"/>
  <c r="E289"/>
  <c r="F289" s="1"/>
  <c r="E290"/>
  <c r="F290" s="1"/>
  <c r="D286"/>
  <c r="D287"/>
  <c r="F287" s="1"/>
  <c r="D288"/>
  <c r="D289"/>
  <c r="D290"/>
  <c r="D292"/>
  <c r="BI281"/>
  <c r="BJ281"/>
  <c r="BM281"/>
  <c r="BN281"/>
  <c r="BL281" s="1"/>
  <c r="BI282"/>
  <c r="BJ282"/>
  <c r="BL282"/>
  <c r="BM282"/>
  <c r="BK282" s="1"/>
  <c r="BN282"/>
  <c r="BI283"/>
  <c r="BJ283"/>
  <c r="BK283"/>
  <c r="BM283"/>
  <c r="BN283"/>
  <c r="BL283" s="1"/>
  <c r="BI284"/>
  <c r="BJ284"/>
  <c r="BL284"/>
  <c r="BM284"/>
  <c r="BJ323" s="1"/>
  <c r="BL323" s="1"/>
  <c r="BN284"/>
  <c r="BI285"/>
  <c r="BJ285"/>
  <c r="BN285"/>
  <c r="BI286"/>
  <c r="BJ286"/>
  <c r="BI287"/>
  <c r="BJ287"/>
  <c r="F288"/>
  <c r="BI288"/>
  <c r="BJ288"/>
  <c r="BI289"/>
  <c r="BM302" s="1"/>
  <c r="BM305" s="1"/>
  <c r="BJ289"/>
  <c r="BM289"/>
  <c r="BK289" s="1"/>
  <c r="BM303" s="1"/>
  <c r="F297"/>
  <c r="F298"/>
  <c r="F304"/>
  <c r="F306"/>
  <c r="F308"/>
  <c r="BJ319"/>
  <c r="BK321"/>
  <c r="BK323"/>
  <c r="BJ329"/>
  <c r="BJ339" s="1"/>
  <c r="B338"/>
  <c r="B339"/>
  <c r="H362"/>
  <c r="H340" s="1"/>
  <c r="G362"/>
  <c r="BK343"/>
  <c r="C344"/>
  <c r="D344"/>
  <c r="G344"/>
  <c r="E344" s="1"/>
  <c r="H344"/>
  <c r="F344" s="1"/>
  <c r="I344"/>
  <c r="C345"/>
  <c r="E345" s="1"/>
  <c r="D345"/>
  <c r="F345"/>
  <c r="G345"/>
  <c r="H345"/>
  <c r="I345"/>
  <c r="BJ345"/>
  <c r="BK345"/>
  <c r="BL345" s="1"/>
  <c r="C346"/>
  <c r="D346"/>
  <c r="G346"/>
  <c r="E346" s="1"/>
  <c r="H346"/>
  <c r="F346"/>
  <c r="C347"/>
  <c r="D347"/>
  <c r="G347"/>
  <c r="E347" s="1"/>
  <c r="H347"/>
  <c r="F347" s="1"/>
  <c r="BJ347"/>
  <c r="BK347"/>
  <c r="BL347" s="1"/>
  <c r="C348"/>
  <c r="E348" s="1"/>
  <c r="D348"/>
  <c r="G348"/>
  <c r="H348"/>
  <c r="F348" s="1"/>
  <c r="C349"/>
  <c r="D349"/>
  <c r="G349"/>
  <c r="E349" s="1"/>
  <c r="H349"/>
  <c r="F349"/>
  <c r="BK349"/>
  <c r="C350"/>
  <c r="D350"/>
  <c r="G350"/>
  <c r="E350"/>
  <c r="H350"/>
  <c r="F350" s="1"/>
  <c r="C351"/>
  <c r="E351" s="1"/>
  <c r="D351"/>
  <c r="G351"/>
  <c r="H351"/>
  <c r="F351" s="1"/>
  <c r="I351"/>
  <c r="C352"/>
  <c r="D352"/>
  <c r="G352"/>
  <c r="E352" s="1"/>
  <c r="H352"/>
  <c r="F352"/>
  <c r="I352"/>
  <c r="C353"/>
  <c r="D353"/>
  <c r="G353"/>
  <c r="E353" s="1"/>
  <c r="H353"/>
  <c r="F353" s="1"/>
  <c r="I353"/>
  <c r="BJ353"/>
  <c r="BK353"/>
  <c r="BL353" s="1"/>
  <c r="C354"/>
  <c r="E354" s="1"/>
  <c r="D354"/>
  <c r="G354"/>
  <c r="H354"/>
  <c r="F354" s="1"/>
  <c r="C355"/>
  <c r="D355"/>
  <c r="G355"/>
  <c r="E355" s="1"/>
  <c r="H355"/>
  <c r="F355"/>
  <c r="I355"/>
  <c r="C356"/>
  <c r="D356"/>
  <c r="G356"/>
  <c r="E356" s="1"/>
  <c r="H356"/>
  <c r="F356" s="1"/>
  <c r="I356"/>
  <c r="BJ356"/>
  <c r="BK356"/>
  <c r="BL356" s="1"/>
  <c r="C357"/>
  <c r="E357" s="1"/>
  <c r="D357"/>
  <c r="G357"/>
  <c r="H357"/>
  <c r="F357" s="1"/>
  <c r="I357"/>
  <c r="C358"/>
  <c r="D358"/>
  <c r="G358"/>
  <c r="E358" s="1"/>
  <c r="H358"/>
  <c r="F358"/>
  <c r="I358"/>
  <c r="C359"/>
  <c r="D359"/>
  <c r="G359"/>
  <c r="E359" s="1"/>
  <c r="H359"/>
  <c r="F359" s="1"/>
  <c r="C360"/>
  <c r="D360"/>
  <c r="G360"/>
  <c r="E360"/>
  <c r="H360"/>
  <c r="F360"/>
  <c r="I360"/>
  <c r="BJ360"/>
  <c r="BL360" s="1"/>
  <c r="BK360"/>
  <c r="C361"/>
  <c r="D361"/>
  <c r="G361"/>
  <c r="E361" s="1"/>
  <c r="H361"/>
  <c r="F361"/>
  <c r="I361"/>
  <c r="C362"/>
  <c r="D362"/>
  <c r="E362"/>
  <c r="G378" s="1"/>
  <c r="F362"/>
  <c r="I362"/>
  <c r="BJ362"/>
  <c r="BK362"/>
  <c r="BJ364"/>
  <c r="BK364"/>
  <c r="BL364" s="1"/>
  <c r="D366"/>
  <c r="F366"/>
  <c r="H366"/>
  <c r="BK366"/>
  <c r="D369"/>
  <c r="F369"/>
  <c r="H369"/>
  <c r="F370"/>
  <c r="D371"/>
  <c r="F371"/>
  <c r="H371"/>
  <c r="D373"/>
  <c r="H373"/>
  <c r="D375"/>
  <c r="F375"/>
  <c r="H375"/>
  <c r="G379"/>
  <c r="H379" s="1"/>
  <c r="B390"/>
  <c r="B391"/>
  <c r="E435"/>
  <c r="F435" s="1"/>
  <c r="D435"/>
  <c r="E436"/>
  <c r="D436"/>
  <c r="F436" s="1"/>
  <c r="E437"/>
  <c r="D437"/>
  <c r="F437"/>
  <c r="E431"/>
  <c r="E427"/>
  <c r="E429"/>
  <c r="F429" s="1"/>
  <c r="D427"/>
  <c r="D429"/>
  <c r="E415"/>
  <c r="E421"/>
  <c r="E417"/>
  <c r="E423" s="1"/>
  <c r="E419"/>
  <c r="D415"/>
  <c r="D421"/>
  <c r="F421" s="1"/>
  <c r="D417"/>
  <c r="D419"/>
  <c r="D423" s="1"/>
  <c r="E409"/>
  <c r="E410"/>
  <c r="E411"/>
  <c r="E413"/>
  <c r="F413" s="1"/>
  <c r="D409"/>
  <c r="D410"/>
  <c r="D411"/>
  <c r="D413"/>
  <c r="E400"/>
  <c r="F400" s="1"/>
  <c r="E401"/>
  <c r="E402"/>
  <c r="E405" s="1"/>
  <c r="E403"/>
  <c r="D400"/>
  <c r="D401"/>
  <c r="F401" s="1"/>
  <c r="D402"/>
  <c r="D403"/>
  <c r="E433"/>
  <c r="D433"/>
  <c r="F433" s="1"/>
  <c r="D399"/>
  <c r="D405" s="1"/>
  <c r="E399"/>
  <c r="F399"/>
  <c r="F403"/>
  <c r="F409"/>
  <c r="F410"/>
  <c r="F411"/>
  <c r="F415"/>
  <c r="F419"/>
  <c r="F427"/>
  <c r="H458"/>
  <c r="H461"/>
  <c r="E523" s="1"/>
  <c r="H462"/>
  <c r="H463"/>
  <c r="F463" s="1"/>
  <c r="H464"/>
  <c r="H465"/>
  <c r="H467"/>
  <c r="H468"/>
  <c r="E524" s="1"/>
  <c r="F524" s="1"/>
  <c r="H469"/>
  <c r="H470"/>
  <c r="H471"/>
  <c r="H472"/>
  <c r="E514" s="1"/>
  <c r="F514" s="1"/>
  <c r="H474"/>
  <c r="H475"/>
  <c r="F475" s="1"/>
  <c r="H466"/>
  <c r="H460"/>
  <c r="E531" s="1"/>
  <c r="H473"/>
  <c r="G458"/>
  <c r="G476" s="1"/>
  <c r="G461"/>
  <c r="G462"/>
  <c r="D541" s="1"/>
  <c r="D543" s="1"/>
  <c r="G463"/>
  <c r="G464"/>
  <c r="E464" s="1"/>
  <c r="G465"/>
  <c r="G467"/>
  <c r="D525" s="1"/>
  <c r="G468"/>
  <c r="G469"/>
  <c r="D535" s="1"/>
  <c r="F535" s="1"/>
  <c r="G470"/>
  <c r="G471"/>
  <c r="D517" s="1"/>
  <c r="F517" s="1"/>
  <c r="G472"/>
  <c r="G474"/>
  <c r="D547" s="1"/>
  <c r="F547" s="1"/>
  <c r="G475"/>
  <c r="G466"/>
  <c r="D533" s="1"/>
  <c r="G460"/>
  <c r="G473"/>
  <c r="D458"/>
  <c r="D455" s="1"/>
  <c r="C458"/>
  <c r="E458" s="1"/>
  <c r="F458"/>
  <c r="F483"/>
  <c r="I458"/>
  <c r="C459"/>
  <c r="E459" s="1"/>
  <c r="D459"/>
  <c r="I459" s="1"/>
  <c r="F459"/>
  <c r="G459"/>
  <c r="H459"/>
  <c r="H476" s="1"/>
  <c r="C460"/>
  <c r="E460" s="1"/>
  <c r="D460"/>
  <c r="I460"/>
  <c r="C461"/>
  <c r="D461"/>
  <c r="I461" s="1"/>
  <c r="E461"/>
  <c r="F461"/>
  <c r="K461" s="1"/>
  <c r="C462"/>
  <c r="E462" s="1"/>
  <c r="D462"/>
  <c r="F462" s="1"/>
  <c r="C463"/>
  <c r="E463" s="1"/>
  <c r="D463"/>
  <c r="I463"/>
  <c r="C464"/>
  <c r="D464"/>
  <c r="I464" s="1"/>
  <c r="F464"/>
  <c r="C465"/>
  <c r="D465"/>
  <c r="F465" s="1"/>
  <c r="E465"/>
  <c r="I465"/>
  <c r="C466"/>
  <c r="E466" s="1"/>
  <c r="C467"/>
  <c r="E467" s="1"/>
  <c r="C468"/>
  <c r="D468"/>
  <c r="I468" s="1"/>
  <c r="E468"/>
  <c r="F468"/>
  <c r="C469"/>
  <c r="D469"/>
  <c r="F469" s="1"/>
  <c r="E469"/>
  <c r="I469"/>
  <c r="C470"/>
  <c r="E470" s="1"/>
  <c r="D470"/>
  <c r="F470" s="1"/>
  <c r="C471"/>
  <c r="E471" s="1"/>
  <c r="C472"/>
  <c r="E472"/>
  <c r="C473"/>
  <c r="E473"/>
  <c r="C474"/>
  <c r="E474" s="1"/>
  <c r="D474"/>
  <c r="F474" s="1"/>
  <c r="D475"/>
  <c r="I475"/>
  <c r="C476"/>
  <c r="D476"/>
  <c r="I476" s="1"/>
  <c r="D480"/>
  <c r="F480"/>
  <c r="H480"/>
  <c r="D483"/>
  <c r="H483"/>
  <c r="D485"/>
  <c r="F485"/>
  <c r="H485"/>
  <c r="H487"/>
  <c r="B504"/>
  <c r="B505"/>
  <c r="E549"/>
  <c r="F549" s="1"/>
  <c r="E550"/>
  <c r="E551"/>
  <c r="F551" s="1"/>
  <c r="E541"/>
  <c r="E543" s="1"/>
  <c r="E529"/>
  <c r="E535"/>
  <c r="E533"/>
  <c r="F533" s="1"/>
  <c r="E525"/>
  <c r="E515"/>
  <c r="E516"/>
  <c r="E517"/>
  <c r="E547"/>
  <c r="E545"/>
  <c r="D549"/>
  <c r="D550"/>
  <c r="D553" s="1"/>
  <c r="D551"/>
  <c r="D529"/>
  <c r="D531"/>
  <c r="D523"/>
  <c r="D527" s="1"/>
  <c r="D524"/>
  <c r="D514"/>
  <c r="D515"/>
  <c r="D516"/>
  <c r="F516" s="1"/>
  <c r="D545"/>
  <c r="F545" s="1"/>
  <c r="D513"/>
  <c r="D519" s="1"/>
  <c r="F515"/>
  <c r="F529"/>
  <c r="H570"/>
  <c r="H571"/>
  <c r="H588" s="1"/>
  <c r="H566" s="1"/>
  <c r="H572"/>
  <c r="H573"/>
  <c r="E634" s="1"/>
  <c r="H574"/>
  <c r="H575"/>
  <c r="F575" s="1"/>
  <c r="H576"/>
  <c r="H577"/>
  <c r="E626" s="1"/>
  <c r="F626" s="1"/>
  <c r="H578"/>
  <c r="H579"/>
  <c r="F579" s="1"/>
  <c r="H580"/>
  <c r="H581"/>
  <c r="E646" s="1"/>
  <c r="H582"/>
  <c r="H583"/>
  <c r="F583" s="1"/>
  <c r="H584"/>
  <c r="H585"/>
  <c r="E658" s="1"/>
  <c r="F658" s="1"/>
  <c r="G570"/>
  <c r="G571"/>
  <c r="G572"/>
  <c r="G588" s="1"/>
  <c r="G573"/>
  <c r="G574"/>
  <c r="D652" s="1"/>
  <c r="G575"/>
  <c r="G576"/>
  <c r="E576" s="1"/>
  <c r="G577"/>
  <c r="G578"/>
  <c r="G579"/>
  <c r="G580"/>
  <c r="E580" s="1"/>
  <c r="G581"/>
  <c r="G582"/>
  <c r="E582" s="1"/>
  <c r="G583"/>
  <c r="G584"/>
  <c r="E584" s="1"/>
  <c r="G585"/>
  <c r="C570"/>
  <c r="E570" s="1"/>
  <c r="D570"/>
  <c r="F570" s="1"/>
  <c r="F595"/>
  <c r="I571" s="1"/>
  <c r="C571"/>
  <c r="D571"/>
  <c r="E571"/>
  <c r="C572"/>
  <c r="D572"/>
  <c r="F572" s="1"/>
  <c r="C573"/>
  <c r="E573" s="1"/>
  <c r="D573"/>
  <c r="F573" s="1"/>
  <c r="I573"/>
  <c r="C574"/>
  <c r="E574" s="1"/>
  <c r="D574"/>
  <c r="I574" s="1"/>
  <c r="F574"/>
  <c r="C575"/>
  <c r="D575"/>
  <c r="E575"/>
  <c r="C576"/>
  <c r="D576"/>
  <c r="F576" s="1"/>
  <c r="C577"/>
  <c r="E577" s="1"/>
  <c r="D577"/>
  <c r="F577" s="1"/>
  <c r="I577"/>
  <c r="C578"/>
  <c r="E578" s="1"/>
  <c r="D578"/>
  <c r="I578" s="1"/>
  <c r="F578"/>
  <c r="C579"/>
  <c r="D579"/>
  <c r="E579"/>
  <c r="C580"/>
  <c r="D580"/>
  <c r="F580" s="1"/>
  <c r="C581"/>
  <c r="E581" s="1"/>
  <c r="D581"/>
  <c r="F581" s="1"/>
  <c r="I581"/>
  <c r="C582"/>
  <c r="D582"/>
  <c r="I582" s="1"/>
  <c r="F582"/>
  <c r="C583"/>
  <c r="D583"/>
  <c r="E583"/>
  <c r="C584"/>
  <c r="D584"/>
  <c r="F584" s="1"/>
  <c r="C585"/>
  <c r="E585" s="1"/>
  <c r="D585"/>
  <c r="F585" s="1"/>
  <c r="I585"/>
  <c r="D592"/>
  <c r="F592"/>
  <c r="H592"/>
  <c r="D595"/>
  <c r="H595"/>
  <c r="D597"/>
  <c r="F597"/>
  <c r="H597"/>
  <c r="D599"/>
  <c r="F599"/>
  <c r="H599"/>
  <c r="B616"/>
  <c r="E662"/>
  <c r="E666" s="1"/>
  <c r="E663"/>
  <c r="E664"/>
  <c r="F664" s="1"/>
  <c r="E656"/>
  <c r="F656" s="1"/>
  <c r="E652"/>
  <c r="E654"/>
  <c r="E642"/>
  <c r="E644"/>
  <c r="E636"/>
  <c r="F636" s="1"/>
  <c r="E635"/>
  <c r="E625"/>
  <c r="F625" s="1"/>
  <c r="E628"/>
  <c r="F628" s="1"/>
  <c r="D662"/>
  <c r="D664"/>
  <c r="D656"/>
  <c r="D644"/>
  <c r="F644" s="1"/>
  <c r="D646"/>
  <c r="D634"/>
  <c r="D636"/>
  <c r="D624"/>
  <c r="D625"/>
  <c r="D630" s="1"/>
  <c r="D626"/>
  <c r="D628"/>
  <c r="D658"/>
  <c r="H689"/>
  <c r="H690"/>
  <c r="H706" s="1"/>
  <c r="H684" s="1"/>
  <c r="H691"/>
  <c r="H692"/>
  <c r="E766" s="1"/>
  <c r="H693"/>
  <c r="H694"/>
  <c r="F694" s="1"/>
  <c r="H695"/>
  <c r="H696"/>
  <c r="E758" s="1"/>
  <c r="F758" s="1"/>
  <c r="H697"/>
  <c r="H698"/>
  <c r="F698" s="1"/>
  <c r="H699"/>
  <c r="H700"/>
  <c r="E776" s="1"/>
  <c r="F776" s="1"/>
  <c r="H701"/>
  <c r="H702"/>
  <c r="F702" s="1"/>
  <c r="H703"/>
  <c r="H704"/>
  <c r="E770" s="1"/>
  <c r="F770" s="1"/>
  <c r="G689"/>
  <c r="D738" s="1"/>
  <c r="G690"/>
  <c r="G691"/>
  <c r="G706" s="1"/>
  <c r="G692"/>
  <c r="G693"/>
  <c r="D774" s="1"/>
  <c r="G694"/>
  <c r="G695"/>
  <c r="E695" s="1"/>
  <c r="G696"/>
  <c r="G697"/>
  <c r="G698"/>
  <c r="G699"/>
  <c r="E699" s="1"/>
  <c r="G700"/>
  <c r="G701"/>
  <c r="D742" s="1"/>
  <c r="F742" s="1"/>
  <c r="G702"/>
  <c r="G703"/>
  <c r="D741" s="1"/>
  <c r="F741" s="1"/>
  <c r="G704"/>
  <c r="C689"/>
  <c r="E689" s="1"/>
  <c r="D689"/>
  <c r="F689" s="1"/>
  <c r="F713"/>
  <c r="I690" s="1"/>
  <c r="C690"/>
  <c r="D690"/>
  <c r="E690"/>
  <c r="C691"/>
  <c r="D691"/>
  <c r="F691" s="1"/>
  <c r="C692"/>
  <c r="E692" s="1"/>
  <c r="D692"/>
  <c r="F692" s="1"/>
  <c r="I692"/>
  <c r="C693"/>
  <c r="E693" s="1"/>
  <c r="D693"/>
  <c r="I693" s="1"/>
  <c r="F693"/>
  <c r="C694"/>
  <c r="D694"/>
  <c r="E694"/>
  <c r="C695"/>
  <c r="D695"/>
  <c r="F695" s="1"/>
  <c r="C696"/>
  <c r="E696" s="1"/>
  <c r="D696"/>
  <c r="F696" s="1"/>
  <c r="I696"/>
  <c r="C697"/>
  <c r="E697" s="1"/>
  <c r="D697"/>
  <c r="I697" s="1"/>
  <c r="F697"/>
  <c r="C698"/>
  <c r="D698"/>
  <c r="E698"/>
  <c r="C699"/>
  <c r="D699"/>
  <c r="F699" s="1"/>
  <c r="C700"/>
  <c r="E700" s="1"/>
  <c r="D700"/>
  <c r="F700" s="1"/>
  <c r="I700"/>
  <c r="C701"/>
  <c r="E701" s="1"/>
  <c r="D701"/>
  <c r="I701" s="1"/>
  <c r="F701"/>
  <c r="C702"/>
  <c r="D702"/>
  <c r="E702"/>
  <c r="C703"/>
  <c r="D703"/>
  <c r="F703" s="1"/>
  <c r="C704"/>
  <c r="E704" s="1"/>
  <c r="D704"/>
  <c r="F704" s="1"/>
  <c r="I704"/>
  <c r="D710"/>
  <c r="F710"/>
  <c r="H710"/>
  <c r="D713"/>
  <c r="H713"/>
  <c r="D717"/>
  <c r="F717"/>
  <c r="H717"/>
  <c r="B730"/>
  <c r="E774"/>
  <c r="E775"/>
  <c r="E760"/>
  <c r="E748"/>
  <c r="E750"/>
  <c r="F750" s="1"/>
  <c r="E738"/>
  <c r="E739"/>
  <c r="E740"/>
  <c r="E741"/>
  <c r="E744" s="1"/>
  <c r="E742"/>
  <c r="D775"/>
  <c r="D776"/>
  <c r="D766"/>
  <c r="D768"/>
  <c r="D756"/>
  <c r="D758"/>
  <c r="D750"/>
  <c r="D749"/>
  <c r="D739"/>
  <c r="F739" s="1"/>
  <c r="D770"/>
  <c r="B793"/>
  <c r="H798"/>
  <c r="H801"/>
  <c r="E857" s="1"/>
  <c r="H802"/>
  <c r="H803"/>
  <c r="H804"/>
  <c r="H805"/>
  <c r="F805" s="1"/>
  <c r="H807"/>
  <c r="H808"/>
  <c r="H809"/>
  <c r="H810"/>
  <c r="H811"/>
  <c r="H812"/>
  <c r="E848" s="1"/>
  <c r="F848" s="1"/>
  <c r="H813"/>
  <c r="H814"/>
  <c r="E881" s="1"/>
  <c r="H815"/>
  <c r="H800"/>
  <c r="E865" s="1"/>
  <c r="H806"/>
  <c r="H816"/>
  <c r="G798"/>
  <c r="G801"/>
  <c r="G802"/>
  <c r="G803"/>
  <c r="D883" s="1"/>
  <c r="G804"/>
  <c r="G805"/>
  <c r="D849" s="1"/>
  <c r="G807"/>
  <c r="G808"/>
  <c r="G809"/>
  <c r="G810"/>
  <c r="E810" s="1"/>
  <c r="G811"/>
  <c r="G812"/>
  <c r="G813"/>
  <c r="G814"/>
  <c r="D881" s="1"/>
  <c r="G815"/>
  <c r="G800"/>
  <c r="D865" s="1"/>
  <c r="D871" s="1"/>
  <c r="G806"/>
  <c r="C798"/>
  <c r="E798" s="1"/>
  <c r="D798"/>
  <c r="F798" s="1"/>
  <c r="F822"/>
  <c r="I801" s="1"/>
  <c r="C799"/>
  <c r="D799"/>
  <c r="E799"/>
  <c r="G799"/>
  <c r="G816" s="1"/>
  <c r="H799"/>
  <c r="F799" s="1"/>
  <c r="I799"/>
  <c r="C800"/>
  <c r="E800" s="1"/>
  <c r="D800"/>
  <c r="I800" s="1"/>
  <c r="F800"/>
  <c r="C801"/>
  <c r="D801"/>
  <c r="E801"/>
  <c r="C802"/>
  <c r="E802" s="1"/>
  <c r="D802"/>
  <c r="F802" s="1"/>
  <c r="C803"/>
  <c r="E803" s="1"/>
  <c r="D803"/>
  <c r="F803" s="1"/>
  <c r="I803"/>
  <c r="C804"/>
  <c r="E804" s="1"/>
  <c r="D804"/>
  <c r="I804" s="1"/>
  <c r="F804"/>
  <c r="C805"/>
  <c r="D805"/>
  <c r="E805"/>
  <c r="C806"/>
  <c r="D806"/>
  <c r="F806" s="1"/>
  <c r="E806"/>
  <c r="C807"/>
  <c r="E807" s="1"/>
  <c r="D807"/>
  <c r="F807" s="1"/>
  <c r="I807"/>
  <c r="C808"/>
  <c r="E808" s="1"/>
  <c r="D808"/>
  <c r="I808" s="1"/>
  <c r="F808"/>
  <c r="C809"/>
  <c r="D809"/>
  <c r="E809"/>
  <c r="F809"/>
  <c r="C810"/>
  <c r="D810"/>
  <c r="F810" s="1"/>
  <c r="C811"/>
  <c r="E811" s="1"/>
  <c r="D811"/>
  <c r="F811" s="1"/>
  <c r="I811"/>
  <c r="C812"/>
  <c r="D812"/>
  <c r="F812" s="1"/>
  <c r="I812"/>
  <c r="C813"/>
  <c r="D813"/>
  <c r="F813" s="1"/>
  <c r="I813"/>
  <c r="C814"/>
  <c r="D814"/>
  <c r="F814" s="1"/>
  <c r="I814"/>
  <c r="C815"/>
  <c r="D815"/>
  <c r="F815" s="1"/>
  <c r="I815"/>
  <c r="D819"/>
  <c r="F819"/>
  <c r="H819"/>
  <c r="D822"/>
  <c r="H822"/>
  <c r="D824"/>
  <c r="F824"/>
  <c r="H824"/>
  <c r="H826"/>
  <c r="B840"/>
  <c r="E883"/>
  <c r="E887" s="1"/>
  <c r="E884"/>
  <c r="E885"/>
  <c r="D884"/>
  <c r="D885"/>
  <c r="E879"/>
  <c r="D879"/>
  <c r="F879" s="1"/>
  <c r="E875"/>
  <c r="F875" s="1"/>
  <c r="D875"/>
  <c r="D877" s="1"/>
  <c r="E863"/>
  <c r="E869"/>
  <c r="E867"/>
  <c r="F867" s="1"/>
  <c r="D863"/>
  <c r="F863" s="1"/>
  <c r="D869"/>
  <c r="D867"/>
  <c r="E859"/>
  <c r="E858"/>
  <c r="F858" s="1"/>
  <c r="D857"/>
  <c r="D861" s="1"/>
  <c r="D859"/>
  <c r="D858"/>
  <c r="E849"/>
  <c r="F849" s="1"/>
  <c r="E850"/>
  <c r="E851"/>
  <c r="F851" s="1"/>
  <c r="D848"/>
  <c r="D850"/>
  <c r="D851"/>
  <c r="E847"/>
  <c r="F850"/>
  <c r="F859"/>
  <c r="F869"/>
  <c r="F884"/>
  <c r="F885"/>
  <c r="B895"/>
  <c r="H900"/>
  <c r="E952" s="1"/>
  <c r="F952" s="1"/>
  <c r="H903"/>
  <c r="H904"/>
  <c r="F904" s="1"/>
  <c r="H905"/>
  <c r="H906"/>
  <c r="H907"/>
  <c r="H909"/>
  <c r="H910"/>
  <c r="H911"/>
  <c r="E971" s="1"/>
  <c r="F971" s="1"/>
  <c r="H912"/>
  <c r="H913"/>
  <c r="H914"/>
  <c r="H915"/>
  <c r="H916"/>
  <c r="H917"/>
  <c r="H902"/>
  <c r="H908"/>
  <c r="F908" s="1"/>
  <c r="G900"/>
  <c r="G918" s="1"/>
  <c r="G903"/>
  <c r="G904"/>
  <c r="D977" s="1"/>
  <c r="G905"/>
  <c r="G906"/>
  <c r="G907"/>
  <c r="G909"/>
  <c r="E909" s="1"/>
  <c r="G910"/>
  <c r="G911"/>
  <c r="G912"/>
  <c r="G913"/>
  <c r="E913" s="1"/>
  <c r="G914"/>
  <c r="G915"/>
  <c r="D981" s="1"/>
  <c r="G916"/>
  <c r="G917"/>
  <c r="D965" s="1"/>
  <c r="D973" s="1"/>
  <c r="G902"/>
  <c r="G908"/>
  <c r="C900"/>
  <c r="E900" s="1"/>
  <c r="D900"/>
  <c r="D918" s="1"/>
  <c r="F900"/>
  <c r="F924"/>
  <c r="I900"/>
  <c r="C901"/>
  <c r="D901"/>
  <c r="F901" s="1"/>
  <c r="G901"/>
  <c r="E901" s="1"/>
  <c r="H901"/>
  <c r="E949" s="1"/>
  <c r="C902"/>
  <c r="D902"/>
  <c r="F902" s="1"/>
  <c r="E902"/>
  <c r="I902"/>
  <c r="C903"/>
  <c r="E903" s="1"/>
  <c r="D903"/>
  <c r="F903" s="1"/>
  <c r="C904"/>
  <c r="E904" s="1"/>
  <c r="D904"/>
  <c r="I904"/>
  <c r="C905"/>
  <c r="D905"/>
  <c r="I905" s="1"/>
  <c r="E905"/>
  <c r="F905"/>
  <c r="C906"/>
  <c r="D906"/>
  <c r="F906" s="1"/>
  <c r="E906"/>
  <c r="I906"/>
  <c r="C907"/>
  <c r="E907" s="1"/>
  <c r="D907"/>
  <c r="F907" s="1"/>
  <c r="C908"/>
  <c r="E908" s="1"/>
  <c r="D908"/>
  <c r="I908"/>
  <c r="C909"/>
  <c r="D909"/>
  <c r="I909" s="1"/>
  <c r="F909"/>
  <c r="C910"/>
  <c r="D910"/>
  <c r="F910" s="1"/>
  <c r="E910"/>
  <c r="I910"/>
  <c r="C911"/>
  <c r="E911" s="1"/>
  <c r="D911"/>
  <c r="F911" s="1"/>
  <c r="C912"/>
  <c r="E912" s="1"/>
  <c r="D912"/>
  <c r="F912"/>
  <c r="I912"/>
  <c r="C913"/>
  <c r="D913"/>
  <c r="I913" s="1"/>
  <c r="F913"/>
  <c r="C914"/>
  <c r="D914"/>
  <c r="F914" s="1"/>
  <c r="E914"/>
  <c r="I914"/>
  <c r="C915"/>
  <c r="E915" s="1"/>
  <c r="D915"/>
  <c r="F915" s="1"/>
  <c r="C916"/>
  <c r="E916" s="1"/>
  <c r="D916"/>
  <c r="F916"/>
  <c r="I916"/>
  <c r="C917"/>
  <c r="D917"/>
  <c r="I917" s="1"/>
  <c r="F917"/>
  <c r="D921"/>
  <c r="F921"/>
  <c r="H921"/>
  <c r="D924"/>
  <c r="H924"/>
  <c r="D926"/>
  <c r="F926"/>
  <c r="H926"/>
  <c r="H928"/>
  <c r="B942"/>
  <c r="E985"/>
  <c r="E986"/>
  <c r="E989" s="1"/>
  <c r="E987"/>
  <c r="D985"/>
  <c r="D986"/>
  <c r="D989" s="1"/>
  <c r="D987"/>
  <c r="E981"/>
  <c r="E977"/>
  <c r="E979"/>
  <c r="E965"/>
  <c r="F965" s="1"/>
  <c r="E967"/>
  <c r="F967" s="1"/>
  <c r="D971"/>
  <c r="D967"/>
  <c r="D969"/>
  <c r="E959"/>
  <c r="E961"/>
  <c r="E963" s="1"/>
  <c r="F963" s="1"/>
  <c r="E960"/>
  <c r="D959"/>
  <c r="D961"/>
  <c r="D963" s="1"/>
  <c r="D960"/>
  <c r="E950"/>
  <c r="F950" s="1"/>
  <c r="E951"/>
  <c r="E953"/>
  <c r="D950"/>
  <c r="D951"/>
  <c r="D952"/>
  <c r="D953"/>
  <c r="F953" s="1"/>
  <c r="E983"/>
  <c r="D983"/>
  <c r="F983" s="1"/>
  <c r="D949"/>
  <c r="D955" s="1"/>
  <c r="F951"/>
  <c r="F959"/>
  <c r="F960"/>
  <c r="F985"/>
  <c r="F986"/>
  <c r="F987"/>
  <c r="B1000"/>
  <c r="H1005"/>
  <c r="H1008"/>
  <c r="E1061" s="1"/>
  <c r="H1009"/>
  <c r="H1010"/>
  <c r="F1010" s="1"/>
  <c r="H1011"/>
  <c r="H1012"/>
  <c r="E1053" s="1"/>
  <c r="H1014"/>
  <c r="H1015"/>
  <c r="E1062" s="1"/>
  <c r="H1016"/>
  <c r="H1017"/>
  <c r="E1089" s="1"/>
  <c r="H1018"/>
  <c r="H1019"/>
  <c r="H1020"/>
  <c r="H1021"/>
  <c r="E1085" s="1"/>
  <c r="F1085" s="1"/>
  <c r="H1022"/>
  <c r="H1007"/>
  <c r="H1023" s="1"/>
  <c r="H1013"/>
  <c r="G1005"/>
  <c r="G1008"/>
  <c r="D1061" s="1"/>
  <c r="G1009"/>
  <c r="G1010"/>
  <c r="D1087" s="1"/>
  <c r="D1091" s="1"/>
  <c r="G1011"/>
  <c r="G1012"/>
  <c r="D1053" s="1"/>
  <c r="G1014"/>
  <c r="G1015"/>
  <c r="E1015" s="1"/>
  <c r="G1016"/>
  <c r="G1017"/>
  <c r="D1089" s="1"/>
  <c r="G1018"/>
  <c r="G1019"/>
  <c r="E1019" s="1"/>
  <c r="G1020"/>
  <c r="G1021"/>
  <c r="G1022"/>
  <c r="G1007"/>
  <c r="E1007" s="1"/>
  <c r="G1013"/>
  <c r="C1005"/>
  <c r="C1023" s="1"/>
  <c r="E1023" s="1"/>
  <c r="D1005"/>
  <c r="E1005"/>
  <c r="F1005"/>
  <c r="F1029"/>
  <c r="I1005" s="1"/>
  <c r="C1006"/>
  <c r="E1006" s="1"/>
  <c r="D1006"/>
  <c r="F1006" s="1"/>
  <c r="G1006"/>
  <c r="G1023" s="1"/>
  <c r="D1033" s="1"/>
  <c r="H1006"/>
  <c r="I1006"/>
  <c r="C1007"/>
  <c r="D1007"/>
  <c r="F1007" s="1"/>
  <c r="C1008"/>
  <c r="E1008" s="1"/>
  <c r="D1008"/>
  <c r="F1008" s="1"/>
  <c r="I1008"/>
  <c r="C1009"/>
  <c r="E1009" s="1"/>
  <c r="D1009"/>
  <c r="I1009" s="1"/>
  <c r="F1009"/>
  <c r="C1010"/>
  <c r="D1010"/>
  <c r="E1010"/>
  <c r="I1010"/>
  <c r="C1011"/>
  <c r="D1011"/>
  <c r="F1011" s="1"/>
  <c r="E1011"/>
  <c r="C1012"/>
  <c r="E1012" s="1"/>
  <c r="D1012"/>
  <c r="F1012" s="1"/>
  <c r="I1012"/>
  <c r="C1013"/>
  <c r="E1013" s="1"/>
  <c r="D1013"/>
  <c r="I1013" s="1"/>
  <c r="F1013"/>
  <c r="C1014"/>
  <c r="D1014"/>
  <c r="E1014"/>
  <c r="F1014"/>
  <c r="I1014"/>
  <c r="C1015"/>
  <c r="D1015"/>
  <c r="F1015" s="1"/>
  <c r="C1016"/>
  <c r="E1016" s="1"/>
  <c r="D1016"/>
  <c r="F1016" s="1"/>
  <c r="I1016"/>
  <c r="C1017"/>
  <c r="E1017" s="1"/>
  <c r="D1017"/>
  <c r="I1017" s="1"/>
  <c r="F1017"/>
  <c r="C1018"/>
  <c r="D1018"/>
  <c r="E1018"/>
  <c r="F1018"/>
  <c r="I1018"/>
  <c r="C1019"/>
  <c r="D1019"/>
  <c r="F1019" s="1"/>
  <c r="C1020"/>
  <c r="E1020" s="1"/>
  <c r="D1020"/>
  <c r="F1020" s="1"/>
  <c r="I1020"/>
  <c r="C1021"/>
  <c r="E1021" s="1"/>
  <c r="D1021"/>
  <c r="I1021" s="1"/>
  <c r="F1021"/>
  <c r="C1022"/>
  <c r="D1022"/>
  <c r="E1022"/>
  <c r="F1022"/>
  <c r="I1022"/>
  <c r="D1026"/>
  <c r="F1026"/>
  <c r="H1026"/>
  <c r="D1029"/>
  <c r="H1029"/>
  <c r="D1031"/>
  <c r="F1031"/>
  <c r="H1031"/>
  <c r="B1044"/>
  <c r="E1088"/>
  <c r="D1088"/>
  <c r="E1083"/>
  <c r="F1083" s="1"/>
  <c r="D1083"/>
  <c r="E1079"/>
  <c r="E1081"/>
  <c r="F1081" s="1"/>
  <c r="D1079"/>
  <c r="D1081"/>
  <c r="E1067"/>
  <c r="F1067" s="1"/>
  <c r="E1073"/>
  <c r="E1071"/>
  <c r="D1067"/>
  <c r="D1073"/>
  <c r="F1073" s="1"/>
  <c r="D1071"/>
  <c r="E1063"/>
  <c r="F1063" s="1"/>
  <c r="D1063"/>
  <c r="E1052"/>
  <c r="E1054"/>
  <c r="F1054" s="1"/>
  <c r="E1055"/>
  <c r="D1054"/>
  <c r="D1055"/>
  <c r="F1055" s="1"/>
  <c r="D1085"/>
  <c r="D1051"/>
  <c r="F1051" s="1"/>
  <c r="E1051"/>
  <c r="F1071"/>
  <c r="F1079"/>
  <c r="F1088"/>
  <c r="B1107"/>
  <c r="H1112"/>
  <c r="H1115"/>
  <c r="H1116"/>
  <c r="H1117"/>
  <c r="E1194" s="1"/>
  <c r="H1118"/>
  <c r="H1119"/>
  <c r="H1121"/>
  <c r="H1122"/>
  <c r="H1123"/>
  <c r="H1124"/>
  <c r="H1125"/>
  <c r="H1126"/>
  <c r="E1159" s="1"/>
  <c r="F1159" s="1"/>
  <c r="H1127"/>
  <c r="H1128"/>
  <c r="H1129"/>
  <c r="H1114"/>
  <c r="H1130" s="1"/>
  <c r="H1120"/>
  <c r="G1112"/>
  <c r="G1115"/>
  <c r="D1168" s="1"/>
  <c r="G1116"/>
  <c r="G1117"/>
  <c r="G1118"/>
  <c r="G1119"/>
  <c r="D1160" s="1"/>
  <c r="G1121"/>
  <c r="G1122"/>
  <c r="E1122" s="1"/>
  <c r="G1123"/>
  <c r="G1124"/>
  <c r="G1125"/>
  <c r="G1126"/>
  <c r="E1126" s="1"/>
  <c r="G1127"/>
  <c r="G1128"/>
  <c r="D1192" s="1"/>
  <c r="F1192" s="1"/>
  <c r="G1129"/>
  <c r="G1114"/>
  <c r="E1114" s="1"/>
  <c r="G1120"/>
  <c r="C1112"/>
  <c r="C1130" s="1"/>
  <c r="D1112"/>
  <c r="E1112"/>
  <c r="F1112"/>
  <c r="F1136"/>
  <c r="I1112" s="1"/>
  <c r="C1113"/>
  <c r="E1113" s="1"/>
  <c r="D1113"/>
  <c r="F1113" s="1"/>
  <c r="G1113"/>
  <c r="G1130" s="1"/>
  <c r="D1140" s="1"/>
  <c r="H1113"/>
  <c r="I1113"/>
  <c r="C1114"/>
  <c r="D1114"/>
  <c r="F1114" s="1"/>
  <c r="C1115"/>
  <c r="E1115" s="1"/>
  <c r="D1115"/>
  <c r="F1115" s="1"/>
  <c r="I1115"/>
  <c r="C1116"/>
  <c r="E1116" s="1"/>
  <c r="D1116"/>
  <c r="I1116" s="1"/>
  <c r="F1116"/>
  <c r="C1117"/>
  <c r="D1117"/>
  <c r="E1117"/>
  <c r="I1117"/>
  <c r="C1118"/>
  <c r="D1118"/>
  <c r="F1118" s="1"/>
  <c r="E1118"/>
  <c r="C1119"/>
  <c r="E1119" s="1"/>
  <c r="D1119"/>
  <c r="F1119" s="1"/>
  <c r="I1119"/>
  <c r="C1120"/>
  <c r="E1120" s="1"/>
  <c r="D1120"/>
  <c r="I1120" s="1"/>
  <c r="F1120"/>
  <c r="C1121"/>
  <c r="D1121"/>
  <c r="E1121"/>
  <c r="F1121"/>
  <c r="I1121"/>
  <c r="C1122"/>
  <c r="D1122"/>
  <c r="F1122" s="1"/>
  <c r="C1123"/>
  <c r="E1123" s="1"/>
  <c r="D1123"/>
  <c r="F1123" s="1"/>
  <c r="I1123"/>
  <c r="C1124"/>
  <c r="E1124" s="1"/>
  <c r="D1124"/>
  <c r="I1124" s="1"/>
  <c r="F1124"/>
  <c r="C1125"/>
  <c r="D1125"/>
  <c r="E1125"/>
  <c r="F1125"/>
  <c r="I1125"/>
  <c r="C1126"/>
  <c r="D1126"/>
  <c r="F1126" s="1"/>
  <c r="C1127"/>
  <c r="E1127" s="1"/>
  <c r="D1127"/>
  <c r="F1127" s="1"/>
  <c r="I1127"/>
  <c r="C1128"/>
  <c r="E1128" s="1"/>
  <c r="D1128"/>
  <c r="I1128" s="1"/>
  <c r="F1128"/>
  <c r="C1129"/>
  <c r="D1129"/>
  <c r="E1129"/>
  <c r="F1129"/>
  <c r="I1129"/>
  <c r="D1130"/>
  <c r="D1133"/>
  <c r="F1133"/>
  <c r="H1133"/>
  <c r="D1136"/>
  <c r="H1136"/>
  <c r="D1138"/>
  <c r="F1138"/>
  <c r="H1138"/>
  <c r="E1195"/>
  <c r="E1196"/>
  <c r="D1194"/>
  <c r="D1198" s="1"/>
  <c r="D1195"/>
  <c r="D1196"/>
  <c r="E1190"/>
  <c r="D1190"/>
  <c r="F1190" s="1"/>
  <c r="E1186"/>
  <c r="F1186" s="1"/>
  <c r="D1186"/>
  <c r="D1188" s="1"/>
  <c r="E1174"/>
  <c r="E1180"/>
  <c r="E1178"/>
  <c r="F1178" s="1"/>
  <c r="D1174"/>
  <c r="F1174" s="1"/>
  <c r="D1180"/>
  <c r="D1176"/>
  <c r="D1178"/>
  <c r="D1182"/>
  <c r="E1168"/>
  <c r="E1172" s="1"/>
  <c r="E1170"/>
  <c r="E1169"/>
  <c r="F1169" s="1"/>
  <c r="D1170"/>
  <c r="D1169"/>
  <c r="E1160"/>
  <c r="F1160" s="1"/>
  <c r="E1161"/>
  <c r="E1162"/>
  <c r="F1162" s="1"/>
  <c r="D1159"/>
  <c r="D1161"/>
  <c r="D1162"/>
  <c r="E1192"/>
  <c r="E1158"/>
  <c r="F1161"/>
  <c r="F1170"/>
  <c r="F1180"/>
  <c r="F1195"/>
  <c r="F1196"/>
  <c r="F114" i="17"/>
  <c r="F79"/>
  <c r="F44"/>
  <c r="E114"/>
  <c r="E79"/>
  <c r="E44"/>
  <c r="D114"/>
  <c r="D79"/>
  <c r="D44"/>
  <c r="D29" i="21" l="1"/>
  <c r="C47"/>
  <c r="F14"/>
  <c r="C65" i="23" s="1"/>
  <c r="D65" s="1"/>
  <c r="E65" s="1"/>
  <c r="F65" s="1"/>
  <c r="G65" s="1"/>
  <c r="H65" s="1"/>
  <c r="I65" s="1"/>
  <c r="J65" s="1"/>
  <c r="K65" s="1"/>
  <c r="L65" s="1"/>
  <c r="M65" s="1"/>
  <c r="N65" s="1"/>
  <c r="C65" i="22"/>
  <c r="D65" s="1"/>
  <c r="E65" s="1"/>
  <c r="F65" s="1"/>
  <c r="G65" s="1"/>
  <c r="H65" s="1"/>
  <c r="I65" s="1"/>
  <c r="J65" s="1"/>
  <c r="K65" s="1"/>
  <c r="L65" s="1"/>
  <c r="M65" s="1"/>
  <c r="N65" s="1"/>
  <c r="D22" i="21"/>
  <c r="C40"/>
  <c r="D40" s="1"/>
  <c r="D31" i="25"/>
  <c r="N19"/>
  <c r="N39" s="1"/>
  <c r="D27"/>
  <c r="J19"/>
  <c r="K19" i="26"/>
  <c r="D28"/>
  <c r="C10" i="23"/>
  <c r="C10" i="22"/>
  <c r="O19" i="26"/>
  <c r="D32"/>
  <c r="D35" i="21"/>
  <c r="C53"/>
  <c r="F18"/>
  <c r="C85" i="23" s="1"/>
  <c r="D85" s="1"/>
  <c r="E85" s="1"/>
  <c r="F85" s="1"/>
  <c r="G85" s="1"/>
  <c r="H85" s="1"/>
  <c r="I85" s="1"/>
  <c r="J85" s="1"/>
  <c r="K85" s="1"/>
  <c r="L85" s="1"/>
  <c r="M85" s="1"/>
  <c r="N85" s="1"/>
  <c r="C85" i="22"/>
  <c r="D85" s="1"/>
  <c r="E85" s="1"/>
  <c r="F85" s="1"/>
  <c r="G85" s="1"/>
  <c r="H85" s="1"/>
  <c r="I85" s="1"/>
  <c r="J85" s="1"/>
  <c r="K85" s="1"/>
  <c r="L85" s="1"/>
  <c r="M85" s="1"/>
  <c r="N85" s="1"/>
  <c r="D35" i="25"/>
  <c r="R19"/>
  <c r="R59" s="1"/>
  <c r="L19" i="26"/>
  <c r="D29"/>
  <c r="D28" i="47"/>
  <c r="L41" i="26"/>
  <c r="F24" i="21"/>
  <c r="P59" i="47"/>
  <c r="G11"/>
  <c r="J39" i="25"/>
  <c r="J41"/>
  <c r="D209" i="22"/>
  <c r="C54" i="21"/>
  <c r="C72" s="1"/>
  <c r="D72" s="1"/>
  <c r="C23"/>
  <c r="D17"/>
  <c r="C32"/>
  <c r="F14" i="25"/>
  <c r="F9"/>
  <c r="F6"/>
  <c r="F11" i="26"/>
  <c r="F6"/>
  <c r="G13" i="47"/>
  <c r="G15" i="25"/>
  <c r="F21" i="21"/>
  <c r="L59" i="47"/>
  <c r="R39" i="25"/>
  <c r="G14"/>
  <c r="C33" i="21"/>
  <c r="D11"/>
  <c r="F8"/>
  <c r="C35" i="23" s="1"/>
  <c r="D35" s="1"/>
  <c r="E35" s="1"/>
  <c r="F35" s="1"/>
  <c r="G35" s="1"/>
  <c r="H35" s="1"/>
  <c r="I35" s="1"/>
  <c r="J35" s="1"/>
  <c r="K35" s="1"/>
  <c r="L35" s="1"/>
  <c r="M35" s="1"/>
  <c r="N35" s="1"/>
  <c r="F6" i="21"/>
  <c r="C25" i="23" s="1"/>
  <c r="F13" i="25"/>
  <c r="F10"/>
  <c r="F5"/>
  <c r="F15" i="26"/>
  <c r="F10"/>
  <c r="F7"/>
  <c r="F1053" i="30"/>
  <c r="E1057"/>
  <c r="E1065"/>
  <c r="F1061"/>
  <c r="F949"/>
  <c r="E955"/>
  <c r="F955" s="1"/>
  <c r="H378"/>
  <c r="G263"/>
  <c r="H263" s="1"/>
  <c r="H260"/>
  <c r="F1130"/>
  <c r="F1089"/>
  <c r="F981"/>
  <c r="E778"/>
  <c r="D537"/>
  <c r="D556" s="1"/>
  <c r="F405"/>
  <c r="F423"/>
  <c r="F203"/>
  <c r="I918"/>
  <c r="D979"/>
  <c r="F977"/>
  <c r="F883"/>
  <c r="D887"/>
  <c r="F857"/>
  <c r="E861"/>
  <c r="F861" s="1"/>
  <c r="E768"/>
  <c r="F768" s="1"/>
  <c r="F766"/>
  <c r="E648"/>
  <c r="F646"/>
  <c r="F634"/>
  <c r="E638"/>
  <c r="H454"/>
  <c r="F476"/>
  <c r="E450"/>
  <c r="E451" s="1"/>
  <c r="E537"/>
  <c r="F537" s="1"/>
  <c r="F531"/>
  <c r="G150"/>
  <c r="G152"/>
  <c r="H152" s="1"/>
  <c r="H794"/>
  <c r="F881"/>
  <c r="F1168"/>
  <c r="D1172"/>
  <c r="D1201" s="1"/>
  <c r="H1001"/>
  <c r="F1033"/>
  <c r="F774"/>
  <c r="D778"/>
  <c r="F738"/>
  <c r="D654"/>
  <c r="F654" s="1"/>
  <c r="F652"/>
  <c r="F1158"/>
  <c r="F1172"/>
  <c r="E1130"/>
  <c r="F979"/>
  <c r="D992"/>
  <c r="F525"/>
  <c r="F543"/>
  <c r="F439"/>
  <c r="BL366"/>
  <c r="BL321"/>
  <c r="E328"/>
  <c r="H1108"/>
  <c r="F1140"/>
  <c r="F1194"/>
  <c r="E1198"/>
  <c r="F989"/>
  <c r="F865"/>
  <c r="E871"/>
  <c r="F871" s="1"/>
  <c r="G452"/>
  <c r="H452" s="1"/>
  <c r="E476"/>
  <c r="G490" s="1"/>
  <c r="E527"/>
  <c r="F527" s="1"/>
  <c r="F523"/>
  <c r="F300"/>
  <c r="G151"/>
  <c r="H151" s="1"/>
  <c r="AI101"/>
  <c r="BT33"/>
  <c r="BT31" s="1"/>
  <c r="T101"/>
  <c r="BY18"/>
  <c r="BY16" s="1"/>
  <c r="F928" s="1"/>
  <c r="J101"/>
  <c r="F373" s="1"/>
  <c r="BT18"/>
  <c r="BT16" s="1"/>
  <c r="F826" s="1"/>
  <c r="D1158"/>
  <c r="D1164" s="1"/>
  <c r="E1164"/>
  <c r="F1164" s="1"/>
  <c r="E1188"/>
  <c r="F1188" s="1"/>
  <c r="I1130"/>
  <c r="I1126"/>
  <c r="I1122"/>
  <c r="I1118"/>
  <c r="I1114"/>
  <c r="D1069"/>
  <c r="D1075" s="1"/>
  <c r="E1087"/>
  <c r="I1019"/>
  <c r="I1015"/>
  <c r="I1011"/>
  <c r="I1007"/>
  <c r="E969"/>
  <c r="E917"/>
  <c r="I915"/>
  <c r="I911"/>
  <c r="I907"/>
  <c r="I903"/>
  <c r="D847"/>
  <c r="D853" s="1"/>
  <c r="E853"/>
  <c r="F853" s="1"/>
  <c r="E877"/>
  <c r="F877" s="1"/>
  <c r="I810"/>
  <c r="I806"/>
  <c r="I802"/>
  <c r="F775"/>
  <c r="D748"/>
  <c r="E749"/>
  <c r="I703"/>
  <c r="I699"/>
  <c r="I695"/>
  <c r="I691"/>
  <c r="D642"/>
  <c r="I584"/>
  <c r="I580"/>
  <c r="I576"/>
  <c r="I572"/>
  <c r="E553"/>
  <c r="G491"/>
  <c r="I474"/>
  <c r="I470"/>
  <c r="I462"/>
  <c r="F460"/>
  <c r="F402"/>
  <c r="D431"/>
  <c r="F431" s="1"/>
  <c r="BJ366"/>
  <c r="BJ343"/>
  <c r="BJ349" s="1"/>
  <c r="BL349" s="1"/>
  <c r="BJ321"/>
  <c r="BJ325" s="1"/>
  <c r="F296"/>
  <c r="BK284"/>
  <c r="F321"/>
  <c r="F325" s="1"/>
  <c r="D179"/>
  <c r="D214"/>
  <c r="D217" s="1"/>
  <c r="DM111"/>
  <c r="BS33"/>
  <c r="BS31" s="1"/>
  <c r="BK94"/>
  <c r="C475" s="1"/>
  <c r="E475" s="1"/>
  <c r="BM96"/>
  <c r="DL114"/>
  <c r="DL115"/>
  <c r="BP96"/>
  <c r="BP99" s="1"/>
  <c r="BR95"/>
  <c r="BR94" s="1"/>
  <c r="BR93" s="1"/>
  <c r="BM101"/>
  <c r="F487" s="1"/>
  <c r="D1023"/>
  <c r="E1176"/>
  <c r="F1117"/>
  <c r="D1052"/>
  <c r="F1052" s="1"/>
  <c r="D1062"/>
  <c r="D1065" s="1"/>
  <c r="F961"/>
  <c r="I901"/>
  <c r="H918"/>
  <c r="H896" s="1"/>
  <c r="C816"/>
  <c r="E816" s="1"/>
  <c r="F801"/>
  <c r="I798"/>
  <c r="D740"/>
  <c r="F740" s="1"/>
  <c r="D760"/>
  <c r="F760" s="1"/>
  <c r="E756"/>
  <c r="C706"/>
  <c r="E706" s="1"/>
  <c r="E703"/>
  <c r="E691"/>
  <c r="F690"/>
  <c r="I689"/>
  <c r="F662"/>
  <c r="D635"/>
  <c r="F635" s="1"/>
  <c r="D663"/>
  <c r="F663" s="1"/>
  <c r="E624"/>
  <c r="C588"/>
  <c r="E588" s="1"/>
  <c r="E572"/>
  <c r="F571"/>
  <c r="I570"/>
  <c r="F541"/>
  <c r="E513"/>
  <c r="D439"/>
  <c r="D442" s="1"/>
  <c r="F417"/>
  <c r="BK329"/>
  <c r="D325"/>
  <c r="BK319"/>
  <c r="BN289"/>
  <c r="D316"/>
  <c r="F316" s="1"/>
  <c r="F201"/>
  <c r="E179"/>
  <c r="F179" s="1"/>
  <c r="E214"/>
  <c r="BX18"/>
  <c r="BX16" s="1"/>
  <c r="D928" s="1"/>
  <c r="DP98"/>
  <c r="DL110" s="1"/>
  <c r="E116"/>
  <c r="BL93"/>
  <c r="L93"/>
  <c r="I359" s="1"/>
  <c r="E1069"/>
  <c r="C918"/>
  <c r="D816"/>
  <c r="I809"/>
  <c r="I805"/>
  <c r="D706"/>
  <c r="I702"/>
  <c r="I698"/>
  <c r="I694"/>
  <c r="D588"/>
  <c r="I583"/>
  <c r="I579"/>
  <c r="I575"/>
  <c r="F550"/>
  <c r="E439"/>
  <c r="E442" s="1"/>
  <c r="G380"/>
  <c r="H380" s="1"/>
  <c r="F286"/>
  <c r="BS18"/>
  <c r="BS16" s="1"/>
  <c r="D826" s="1"/>
  <c r="BL92"/>
  <c r="BL87"/>
  <c r="DP92"/>
  <c r="DL111" s="1"/>
  <c r="BL91"/>
  <c r="L88"/>
  <c r="I354" s="1"/>
  <c r="BL86"/>
  <c r="L84"/>
  <c r="I350" s="1"/>
  <c r="L83"/>
  <c r="I349" s="1"/>
  <c r="L82"/>
  <c r="I348" s="1"/>
  <c r="L81"/>
  <c r="I347" s="1"/>
  <c r="L80"/>
  <c r="I346" s="1"/>
  <c r="N456" i="43"/>
  <c r="J456"/>
  <c r="F456"/>
  <c r="E446"/>
  <c r="E436"/>
  <c r="L426"/>
  <c r="H426"/>
  <c r="D428"/>
  <c r="D426"/>
  <c r="C416"/>
  <c r="N406"/>
  <c r="J406"/>
  <c r="N396"/>
  <c r="J396"/>
  <c r="O369"/>
  <c r="O367"/>
  <c r="O339"/>
  <c r="O337"/>
  <c r="I324"/>
  <c r="J324" s="1"/>
  <c r="K324" s="1"/>
  <c r="L324" s="1"/>
  <c r="H325"/>
  <c r="H326" s="1"/>
  <c r="I314"/>
  <c r="H315"/>
  <c r="H316" s="1"/>
  <c r="I294"/>
  <c r="J294" s="1"/>
  <c r="H295"/>
  <c r="I276"/>
  <c r="I277" s="1"/>
  <c r="J275"/>
  <c r="K275" s="1"/>
  <c r="O245"/>
  <c r="K202"/>
  <c r="C168"/>
  <c r="M87"/>
  <c r="I87"/>
  <c r="O65"/>
  <c r="O63"/>
  <c r="C128"/>
  <c r="C157"/>
  <c r="O155"/>
  <c r="C143"/>
  <c r="C424"/>
  <c r="F202"/>
  <c r="F387"/>
  <c r="F256"/>
  <c r="F257" s="1"/>
  <c r="G255"/>
  <c r="E202"/>
  <c r="E452"/>
  <c r="E172"/>
  <c r="G152"/>
  <c r="H151"/>
  <c r="I151" s="1"/>
  <c r="E187"/>
  <c r="E186" s="1"/>
  <c r="E387"/>
  <c r="D360"/>
  <c r="E359"/>
  <c r="E319"/>
  <c r="D320"/>
  <c r="D300"/>
  <c r="E299"/>
  <c r="F299" s="1"/>
  <c r="D266"/>
  <c r="E265"/>
  <c r="E266" s="1"/>
  <c r="E267" s="1"/>
  <c r="D252"/>
  <c r="E235"/>
  <c r="D236"/>
  <c r="D92"/>
  <c r="D87"/>
  <c r="G172"/>
  <c r="H171"/>
  <c r="I171" s="1"/>
  <c r="D163"/>
  <c r="D444"/>
  <c r="H146"/>
  <c r="G147"/>
  <c r="D142"/>
  <c r="D422"/>
  <c r="O480"/>
  <c r="N345"/>
  <c r="N346" s="1"/>
  <c r="C458"/>
  <c r="C456"/>
  <c r="J446"/>
  <c r="J448"/>
  <c r="F446"/>
  <c r="N436"/>
  <c r="J436"/>
  <c r="F436"/>
  <c r="E426"/>
  <c r="E428"/>
  <c r="L416"/>
  <c r="H416"/>
  <c r="C406"/>
  <c r="C408"/>
  <c r="C405"/>
  <c r="O352"/>
  <c r="O347"/>
  <c r="K304"/>
  <c r="L304" s="1"/>
  <c r="M304" s="1"/>
  <c r="N304" s="1"/>
  <c r="N305" s="1"/>
  <c r="N306" s="1"/>
  <c r="J305"/>
  <c r="J306" s="1"/>
  <c r="K412"/>
  <c r="G412"/>
  <c r="I261"/>
  <c r="I262" s="1"/>
  <c r="J260"/>
  <c r="K260" s="1"/>
  <c r="I240"/>
  <c r="H241"/>
  <c r="H242" s="1"/>
  <c r="I226"/>
  <c r="I227" s="1"/>
  <c r="J225"/>
  <c r="K225" s="1"/>
  <c r="O220"/>
  <c r="M202"/>
  <c r="N201"/>
  <c r="J201"/>
  <c r="O166"/>
  <c r="O20"/>
  <c r="O18"/>
  <c r="C257"/>
  <c r="C178"/>
  <c r="C147"/>
  <c r="O145"/>
  <c r="C133"/>
  <c r="C414"/>
  <c r="C113"/>
  <c r="C394"/>
  <c r="O84"/>
  <c r="F86"/>
  <c r="F92" s="1"/>
  <c r="F173"/>
  <c r="E142"/>
  <c r="E422"/>
  <c r="H116"/>
  <c r="I116" s="1"/>
  <c r="G117"/>
  <c r="H141"/>
  <c r="I141" s="1"/>
  <c r="G142"/>
  <c r="F112"/>
  <c r="G111"/>
  <c r="H345"/>
  <c r="H346" s="1"/>
  <c r="E182"/>
  <c r="L456"/>
  <c r="H456"/>
  <c r="D456"/>
  <c r="C446"/>
  <c r="C448"/>
  <c r="C436"/>
  <c r="N426"/>
  <c r="J426"/>
  <c r="F428"/>
  <c r="F426"/>
  <c r="E416"/>
  <c r="L406"/>
  <c r="H406"/>
  <c r="D406"/>
  <c r="C396"/>
  <c r="I354"/>
  <c r="J354" s="1"/>
  <c r="H355"/>
  <c r="H356" s="1"/>
  <c r="F336"/>
  <c r="O292"/>
  <c r="I265"/>
  <c r="H266"/>
  <c r="H267" s="1"/>
  <c r="H205"/>
  <c r="G206"/>
  <c r="G202"/>
  <c r="K87"/>
  <c r="G87"/>
  <c r="C376"/>
  <c r="C485"/>
  <c r="C378"/>
  <c r="C202"/>
  <c r="C283"/>
  <c r="C163"/>
  <c r="C444"/>
  <c r="C123"/>
  <c r="C187"/>
  <c r="C387"/>
  <c r="E93"/>
  <c r="H176"/>
  <c r="I176" s="1"/>
  <c r="G177"/>
  <c r="E162"/>
  <c r="E442"/>
  <c r="E412"/>
  <c r="E132"/>
  <c r="E112"/>
  <c r="E392"/>
  <c r="E364"/>
  <c r="D365"/>
  <c r="E339"/>
  <c r="F339" s="1"/>
  <c r="D340"/>
  <c r="D310"/>
  <c r="E309"/>
  <c r="D221"/>
  <c r="E220"/>
  <c r="E245"/>
  <c r="F245" s="1"/>
  <c r="D246"/>
  <c r="D216"/>
  <c r="E215"/>
  <c r="E216" s="1"/>
  <c r="E217" s="1"/>
  <c r="D182"/>
  <c r="E181"/>
  <c r="F181" s="1"/>
  <c r="G181" s="1"/>
  <c r="H181" s="1"/>
  <c r="I181" s="1"/>
  <c r="J181" s="1"/>
  <c r="K181" s="1"/>
  <c r="L181" s="1"/>
  <c r="M181" s="1"/>
  <c r="N181" s="1"/>
  <c r="H156"/>
  <c r="G157"/>
  <c r="D153"/>
  <c r="D434"/>
  <c r="J345"/>
  <c r="J346" s="1"/>
  <c r="J325"/>
  <c r="J326" s="1"/>
  <c r="H305"/>
  <c r="H306" s="1"/>
  <c r="G182"/>
  <c r="G183" s="1"/>
  <c r="E300"/>
  <c r="E456"/>
  <c r="H446"/>
  <c r="D448"/>
  <c r="D446"/>
  <c r="L436"/>
  <c r="H436"/>
  <c r="D436"/>
  <c r="D438"/>
  <c r="C426"/>
  <c r="N416"/>
  <c r="J416"/>
  <c r="F416"/>
  <c r="E406"/>
  <c r="E398"/>
  <c r="E396"/>
  <c r="D356"/>
  <c r="I349"/>
  <c r="J349" s="1"/>
  <c r="H350"/>
  <c r="I329"/>
  <c r="J329" s="1"/>
  <c r="K329" s="1"/>
  <c r="L329" s="1"/>
  <c r="H330"/>
  <c r="H331" s="1"/>
  <c r="G316"/>
  <c r="M392"/>
  <c r="H270"/>
  <c r="G271"/>
  <c r="O255"/>
  <c r="H230"/>
  <c r="G231"/>
  <c r="H216"/>
  <c r="H217" s="1"/>
  <c r="I215"/>
  <c r="I211"/>
  <c r="I212" s="1"/>
  <c r="J210"/>
  <c r="K210" s="1"/>
  <c r="I202"/>
  <c r="L201"/>
  <c r="O199"/>
  <c r="H201"/>
  <c r="O201" s="1"/>
  <c r="O202" s="1"/>
  <c r="O176"/>
  <c r="H121"/>
  <c r="G122"/>
  <c r="L387"/>
  <c r="H387"/>
  <c r="O50"/>
  <c r="O48"/>
  <c r="C87"/>
  <c r="O86"/>
  <c r="O87" s="1"/>
  <c r="C464"/>
  <c r="C92"/>
  <c r="C452"/>
  <c r="C172"/>
  <c r="C153"/>
  <c r="C434"/>
  <c r="C117"/>
  <c r="F371"/>
  <c r="F163"/>
  <c r="F444"/>
  <c r="F153"/>
  <c r="F143"/>
  <c r="F133"/>
  <c r="I369"/>
  <c r="J369" s="1"/>
  <c r="H370"/>
  <c r="H371" s="1"/>
  <c r="H161"/>
  <c r="I161" s="1"/>
  <c r="G162"/>
  <c r="E432"/>
  <c r="E152"/>
  <c r="G132"/>
  <c r="H131"/>
  <c r="I131" s="1"/>
  <c r="D202"/>
  <c r="D283"/>
  <c r="F126"/>
  <c r="G126" s="1"/>
  <c r="E127"/>
  <c r="D172"/>
  <c r="D452"/>
  <c r="O486"/>
  <c r="L345"/>
  <c r="L346" s="1"/>
  <c r="I182"/>
  <c r="I183" s="1"/>
  <c r="C342" i="23"/>
  <c r="C342" i="22"/>
  <c r="D332" i="23"/>
  <c r="D332" i="22"/>
  <c r="D327" i="23"/>
  <c r="D327" i="22"/>
  <c r="D322" i="23"/>
  <c r="D322" i="22"/>
  <c r="E312" i="23"/>
  <c r="E312" i="22"/>
  <c r="C292" i="23"/>
  <c r="C292" i="22"/>
  <c r="M40" i="45"/>
  <c r="M35"/>
  <c r="I40"/>
  <c r="I35"/>
  <c r="E40"/>
  <c r="E35"/>
  <c r="L41"/>
  <c r="L36"/>
  <c r="H41"/>
  <c r="H36"/>
  <c r="D41"/>
  <c r="D36"/>
  <c r="C83" i="44"/>
  <c r="C74"/>
  <c r="G83"/>
  <c r="G74"/>
  <c r="K83"/>
  <c r="K74"/>
  <c r="D84"/>
  <c r="D75"/>
  <c r="H84"/>
  <c r="H75"/>
  <c r="L84"/>
  <c r="L75"/>
  <c r="E85"/>
  <c r="E76"/>
  <c r="I85"/>
  <c r="I76"/>
  <c r="M85"/>
  <c r="M76"/>
  <c r="F86"/>
  <c r="F77"/>
  <c r="J86"/>
  <c r="J77"/>
  <c r="B84"/>
  <c r="B75"/>
  <c r="L13" i="23"/>
  <c r="L13" i="22"/>
  <c r="L341" i="41"/>
  <c r="L434"/>
  <c r="L435" s="1"/>
  <c r="L301"/>
  <c r="H454"/>
  <c r="H455" s="1"/>
  <c r="H361"/>
  <c r="E311"/>
  <c r="D377"/>
  <c r="D394"/>
  <c r="D301"/>
  <c r="C464"/>
  <c r="C371"/>
  <c r="L237"/>
  <c r="L424"/>
  <c r="K409"/>
  <c r="K222"/>
  <c r="I389"/>
  <c r="I202"/>
  <c r="F202"/>
  <c r="F389"/>
  <c r="E389"/>
  <c r="E202"/>
  <c r="D202"/>
  <c r="D389"/>
  <c r="C257"/>
  <c r="C444"/>
  <c r="C283"/>
  <c r="C389"/>
  <c r="O201"/>
  <c r="O202" s="1"/>
  <c r="C202"/>
  <c r="N414"/>
  <c r="N133"/>
  <c r="M414"/>
  <c r="M133"/>
  <c r="L113"/>
  <c r="L394"/>
  <c r="J414"/>
  <c r="J133"/>
  <c r="H133"/>
  <c r="H414"/>
  <c r="H415" s="1"/>
  <c r="G439"/>
  <c r="G158"/>
  <c r="G394"/>
  <c r="G113"/>
  <c r="D178"/>
  <c r="D459"/>
  <c r="C459"/>
  <c r="C178"/>
  <c r="O177"/>
  <c r="O178" s="1"/>
  <c r="M199" i="22"/>
  <c r="M234"/>
  <c r="M244"/>
  <c r="M254"/>
  <c r="M402" i="43"/>
  <c r="K402"/>
  <c r="I402"/>
  <c r="G402"/>
  <c r="F398"/>
  <c r="N392"/>
  <c r="L392"/>
  <c r="J392"/>
  <c r="H392"/>
  <c r="K385"/>
  <c r="K386" s="1"/>
  <c r="G385"/>
  <c r="I370"/>
  <c r="I371" s="1"/>
  <c r="M363"/>
  <c r="I363"/>
  <c r="M343"/>
  <c r="I343"/>
  <c r="G334"/>
  <c r="H334" s="1"/>
  <c r="M333"/>
  <c r="I333"/>
  <c r="M328"/>
  <c r="I328"/>
  <c r="M323"/>
  <c r="I323"/>
  <c r="M318"/>
  <c r="I318"/>
  <c r="K303"/>
  <c r="G303"/>
  <c r="K298"/>
  <c r="G298"/>
  <c r="J276"/>
  <c r="J277" s="1"/>
  <c r="J261"/>
  <c r="J262" s="1"/>
  <c r="N248"/>
  <c r="J248"/>
  <c r="D242"/>
  <c r="N234"/>
  <c r="J234"/>
  <c r="J281" s="1"/>
  <c r="J280" s="1"/>
  <c r="J226"/>
  <c r="J227" s="1"/>
  <c r="J211"/>
  <c r="J212" s="1"/>
  <c r="O197"/>
  <c r="O253" s="1"/>
  <c r="L180"/>
  <c r="H180"/>
  <c r="N170"/>
  <c r="J170"/>
  <c r="E166"/>
  <c r="L160"/>
  <c r="H160"/>
  <c r="O160" s="1"/>
  <c r="N150"/>
  <c r="J150"/>
  <c r="L140"/>
  <c r="H140"/>
  <c r="N130"/>
  <c r="J130"/>
  <c r="L115"/>
  <c r="H115"/>
  <c r="N105"/>
  <c r="J105"/>
  <c r="O103"/>
  <c r="O174" s="1"/>
  <c r="N92"/>
  <c r="L92"/>
  <c r="J92"/>
  <c r="H92"/>
  <c r="M90"/>
  <c r="M89" s="1"/>
  <c r="K90"/>
  <c r="K89" s="1"/>
  <c r="I90"/>
  <c r="I89" s="1"/>
  <c r="G90"/>
  <c r="G89" s="1"/>
  <c r="E90"/>
  <c r="E89" s="1"/>
  <c r="C90"/>
  <c r="O80"/>
  <c r="N77"/>
  <c r="J77"/>
  <c r="O75"/>
  <c r="D75"/>
  <c r="F73"/>
  <c r="O68"/>
  <c r="L67"/>
  <c r="H67"/>
  <c r="N65"/>
  <c r="J65"/>
  <c r="F65"/>
  <c r="M62"/>
  <c r="I62"/>
  <c r="N57"/>
  <c r="J57"/>
  <c r="O55"/>
  <c r="O52"/>
  <c r="K52"/>
  <c r="G52"/>
  <c r="L47"/>
  <c r="H47"/>
  <c r="N45"/>
  <c r="J45"/>
  <c r="O42"/>
  <c r="K42"/>
  <c r="G42"/>
  <c r="E40"/>
  <c r="N37"/>
  <c r="J37"/>
  <c r="O36"/>
  <c r="O37" s="1"/>
  <c r="D35"/>
  <c r="F33"/>
  <c r="O32"/>
  <c r="K32"/>
  <c r="G32"/>
  <c r="L27"/>
  <c r="H27"/>
  <c r="N25"/>
  <c r="J25"/>
  <c r="F25"/>
  <c r="O23"/>
  <c r="M22"/>
  <c r="I22"/>
  <c r="E18"/>
  <c r="L17"/>
  <c r="H17"/>
  <c r="N15"/>
  <c r="J15"/>
  <c r="F15"/>
  <c r="M12"/>
  <c r="I12"/>
  <c r="E8"/>
  <c r="F180"/>
  <c r="E250"/>
  <c r="E177"/>
  <c r="C10"/>
  <c r="C106" s="1"/>
  <c r="D106" s="1"/>
  <c r="E106" s="1"/>
  <c r="F106" s="1"/>
  <c r="G106" s="1"/>
  <c r="O400" i="41"/>
  <c r="N475"/>
  <c r="N474" s="1"/>
  <c r="N236"/>
  <c r="M256"/>
  <c r="C189"/>
  <c r="C352" i="23"/>
  <c r="C352" i="22"/>
  <c r="C347" i="23"/>
  <c r="C347" i="22"/>
  <c r="D342" i="23"/>
  <c r="D342" i="22"/>
  <c r="E332" i="23"/>
  <c r="E332" i="22"/>
  <c r="E327" i="23"/>
  <c r="E327" i="22"/>
  <c r="E322" i="23"/>
  <c r="E322" i="22"/>
  <c r="C302" i="23"/>
  <c r="C302" i="22"/>
  <c r="D292" i="23"/>
  <c r="D292" i="22"/>
  <c r="B40" i="45"/>
  <c r="B35"/>
  <c r="J40"/>
  <c r="J35"/>
  <c r="F40"/>
  <c r="F35"/>
  <c r="M41"/>
  <c r="M36"/>
  <c r="I41"/>
  <c r="I36"/>
  <c r="E41"/>
  <c r="E36"/>
  <c r="B83" i="44"/>
  <c r="B74"/>
  <c r="F83"/>
  <c r="F74"/>
  <c r="J83"/>
  <c r="J74"/>
  <c r="C84"/>
  <c r="C75"/>
  <c r="G84"/>
  <c r="G75"/>
  <c r="K84"/>
  <c r="K75"/>
  <c r="D85"/>
  <c r="D76"/>
  <c r="H85"/>
  <c r="H76"/>
  <c r="L85"/>
  <c r="L76"/>
  <c r="E86"/>
  <c r="E77"/>
  <c r="I86"/>
  <c r="I77"/>
  <c r="M86"/>
  <c r="M77"/>
  <c r="G8" i="23"/>
  <c r="G8" i="22"/>
  <c r="K13" i="23"/>
  <c r="K13" i="22"/>
  <c r="N433" i="41"/>
  <c r="N431"/>
  <c r="O446"/>
  <c r="D475"/>
  <c r="D474" s="1"/>
  <c r="D401"/>
  <c r="D403"/>
  <c r="O436"/>
  <c r="O426"/>
  <c r="O421"/>
  <c r="O416"/>
  <c r="O411"/>
  <c r="O406"/>
  <c r="O391"/>
  <c r="O396"/>
  <c r="M454"/>
  <c r="M361"/>
  <c r="K453"/>
  <c r="K455"/>
  <c r="H369"/>
  <c r="G370"/>
  <c r="G371" s="1"/>
  <c r="F301"/>
  <c r="F394"/>
  <c r="E455"/>
  <c r="E453"/>
  <c r="E414"/>
  <c r="E321"/>
  <c r="E301"/>
  <c r="C433"/>
  <c r="C435"/>
  <c r="N235"/>
  <c r="M236"/>
  <c r="M220"/>
  <c r="N220" s="1"/>
  <c r="N221" s="1"/>
  <c r="L221"/>
  <c r="G255"/>
  <c r="H255" s="1"/>
  <c r="F256"/>
  <c r="N439"/>
  <c r="N158"/>
  <c r="M439"/>
  <c r="M158"/>
  <c r="J439"/>
  <c r="J158"/>
  <c r="I394"/>
  <c r="I113"/>
  <c r="E394"/>
  <c r="O112"/>
  <c r="O113" s="1"/>
  <c r="E113"/>
  <c r="D404"/>
  <c r="D405" s="1"/>
  <c r="D123"/>
  <c r="N199" i="22"/>
  <c r="N234"/>
  <c r="N244"/>
  <c r="N254"/>
  <c r="M221" i="41"/>
  <c r="E352" i="23"/>
  <c r="E352" i="22"/>
  <c r="D347" i="23"/>
  <c r="D347" i="22"/>
  <c r="C312" i="23"/>
  <c r="C312" i="22"/>
  <c r="D302" i="23"/>
  <c r="D302" i="22"/>
  <c r="E292" i="23"/>
  <c r="E292" i="22"/>
  <c r="F292" i="23"/>
  <c r="F292" i="22"/>
  <c r="K40" i="45"/>
  <c r="K35"/>
  <c r="G40"/>
  <c r="G35"/>
  <c r="C40"/>
  <c r="C35"/>
  <c r="J41"/>
  <c r="J36"/>
  <c r="F41"/>
  <c r="F36"/>
  <c r="B41"/>
  <c r="B36"/>
  <c r="E83" i="44"/>
  <c r="E74"/>
  <c r="I83"/>
  <c r="I74"/>
  <c r="M83"/>
  <c r="M74"/>
  <c r="F84"/>
  <c r="F75"/>
  <c r="J84"/>
  <c r="J75"/>
  <c r="C85"/>
  <c r="C76"/>
  <c r="G85"/>
  <c r="G76"/>
  <c r="K85"/>
  <c r="K76"/>
  <c r="D86"/>
  <c r="D77"/>
  <c r="H86"/>
  <c r="H77"/>
  <c r="L86"/>
  <c r="L77"/>
  <c r="B86"/>
  <c r="B77"/>
  <c r="D105" i="43"/>
  <c r="D110"/>
  <c r="D120"/>
  <c r="D135"/>
  <c r="O135" s="1"/>
  <c r="D115"/>
  <c r="D130"/>
  <c r="F8" i="23"/>
  <c r="F8" i="22"/>
  <c r="E18" i="23"/>
  <c r="E18" i="22"/>
  <c r="N18" i="23"/>
  <c r="N18" i="22"/>
  <c r="O89" i="41"/>
  <c r="O451"/>
  <c r="M394"/>
  <c r="M301"/>
  <c r="I415"/>
  <c r="I413"/>
  <c r="H341"/>
  <c r="H434"/>
  <c r="H435" s="1"/>
  <c r="H301"/>
  <c r="F454"/>
  <c r="F361"/>
  <c r="E434"/>
  <c r="O434" s="1"/>
  <c r="O435" s="1"/>
  <c r="O340"/>
  <c r="O341" s="1"/>
  <c r="E341"/>
  <c r="C361"/>
  <c r="O360"/>
  <c r="O361" s="1"/>
  <c r="C454"/>
  <c r="C405"/>
  <c r="N283"/>
  <c r="N389"/>
  <c r="N202"/>
  <c r="M283"/>
  <c r="M389"/>
  <c r="M202"/>
  <c r="L202"/>
  <c r="L389"/>
  <c r="K257"/>
  <c r="K444"/>
  <c r="K283"/>
  <c r="K202"/>
  <c r="K389"/>
  <c r="H202"/>
  <c r="H389"/>
  <c r="G389"/>
  <c r="G202"/>
  <c r="D424"/>
  <c r="D237"/>
  <c r="C222"/>
  <c r="C409"/>
  <c r="N394"/>
  <c r="N113"/>
  <c r="L133"/>
  <c r="L414"/>
  <c r="K133"/>
  <c r="K414"/>
  <c r="J394"/>
  <c r="J113"/>
  <c r="H113"/>
  <c r="H394"/>
  <c r="G133"/>
  <c r="G414"/>
  <c r="F439"/>
  <c r="F158"/>
  <c r="D464"/>
  <c r="O182"/>
  <c r="O183" s="1"/>
  <c r="D183"/>
  <c r="D133"/>
  <c r="D414"/>
  <c r="C168"/>
  <c r="C449"/>
  <c r="C439"/>
  <c r="O157"/>
  <c r="O158" s="1"/>
  <c r="C158"/>
  <c r="I432" i="43"/>
  <c r="M385"/>
  <c r="M406" s="1"/>
  <c r="I385"/>
  <c r="I386" s="1"/>
  <c r="K363"/>
  <c r="G363"/>
  <c r="O357"/>
  <c r="K343"/>
  <c r="G343"/>
  <c r="K333"/>
  <c r="G333"/>
  <c r="K328"/>
  <c r="G328"/>
  <c r="K323"/>
  <c r="G323"/>
  <c r="O307"/>
  <c r="M303"/>
  <c r="I303"/>
  <c r="I298"/>
  <c r="H276"/>
  <c r="H261"/>
  <c r="L258"/>
  <c r="L234"/>
  <c r="H234"/>
  <c r="H281" s="1"/>
  <c r="H226"/>
  <c r="H223"/>
  <c r="H211"/>
  <c r="H208"/>
  <c r="N180"/>
  <c r="J180"/>
  <c r="H177"/>
  <c r="L170"/>
  <c r="H170"/>
  <c r="O170" s="1"/>
  <c r="N160"/>
  <c r="J160"/>
  <c r="L150"/>
  <c r="H150"/>
  <c r="N140"/>
  <c r="J140"/>
  <c r="L130"/>
  <c r="H130"/>
  <c r="M92"/>
  <c r="K92"/>
  <c r="I92"/>
  <c r="G92"/>
  <c r="N90"/>
  <c r="N89" s="1"/>
  <c r="L90"/>
  <c r="L89" s="1"/>
  <c r="J90"/>
  <c r="J89" s="1"/>
  <c r="H90"/>
  <c r="H89" s="1"/>
  <c r="F90"/>
  <c r="F89" s="1"/>
  <c r="D90"/>
  <c r="D89" s="1"/>
  <c r="L77"/>
  <c r="H77"/>
  <c r="D65"/>
  <c r="N63"/>
  <c r="O62"/>
  <c r="K62"/>
  <c r="G62"/>
  <c r="L57"/>
  <c r="H57"/>
  <c r="M52"/>
  <c r="I52"/>
  <c r="M42"/>
  <c r="I42"/>
  <c r="L37"/>
  <c r="H37"/>
  <c r="D25"/>
  <c r="O22"/>
  <c r="K22"/>
  <c r="G22"/>
  <c r="N18"/>
  <c r="O16"/>
  <c r="O17" s="1"/>
  <c r="D15"/>
  <c r="F125"/>
  <c r="F120"/>
  <c r="C40"/>
  <c r="C136" s="1"/>
  <c r="D136" s="1"/>
  <c r="E136" s="1"/>
  <c r="F136" s="1"/>
  <c r="G136" s="1"/>
  <c r="R385" i="41"/>
  <c r="O420"/>
  <c r="O430"/>
  <c r="O456"/>
  <c r="O461"/>
  <c r="L475"/>
  <c r="L474" s="1"/>
  <c r="E256"/>
  <c r="F122"/>
  <c r="C332" i="23"/>
  <c r="C332" i="22"/>
  <c r="C327" i="23"/>
  <c r="C327" i="22"/>
  <c r="C322" i="23"/>
  <c r="C322" i="22"/>
  <c r="D312" i="23"/>
  <c r="D312" i="22"/>
  <c r="E302" i="23"/>
  <c r="E302" i="22"/>
  <c r="L40" i="45"/>
  <c r="L42" s="1"/>
  <c r="M487" i="23" s="1"/>
  <c r="L35" i="45"/>
  <c r="L37" s="1"/>
  <c r="M487" i="22" s="1"/>
  <c r="H40" i="45"/>
  <c r="H42" s="1"/>
  <c r="I487" i="23" s="1"/>
  <c r="H35" i="45"/>
  <c r="H37" s="1"/>
  <c r="I487" i="22" s="1"/>
  <c r="D40" i="45"/>
  <c r="D42" s="1"/>
  <c r="E487" i="23" s="1"/>
  <c r="D35" i="45"/>
  <c r="D37" s="1"/>
  <c r="E487" i="22" s="1"/>
  <c r="K41" i="45"/>
  <c r="K36"/>
  <c r="G41"/>
  <c r="G36"/>
  <c r="C41"/>
  <c r="C36"/>
  <c r="D83" i="44"/>
  <c r="D74"/>
  <c r="H83"/>
  <c r="H74"/>
  <c r="L83"/>
  <c r="L74"/>
  <c r="L78" s="1"/>
  <c r="M486" i="22" s="1"/>
  <c r="E84" i="44"/>
  <c r="E75"/>
  <c r="I84"/>
  <c r="I75"/>
  <c r="M84"/>
  <c r="M75"/>
  <c r="F85"/>
  <c r="F76"/>
  <c r="J85"/>
  <c r="J76"/>
  <c r="C86"/>
  <c r="C77"/>
  <c r="G86"/>
  <c r="G77"/>
  <c r="K86"/>
  <c r="K77"/>
  <c r="B85"/>
  <c r="B76"/>
  <c r="O441" i="41"/>
  <c r="O432"/>
  <c r="L433"/>
  <c r="L431"/>
  <c r="C280"/>
  <c r="N455"/>
  <c r="N453"/>
  <c r="M434"/>
  <c r="M341"/>
  <c r="J454"/>
  <c r="J361"/>
  <c r="J301"/>
  <c r="I454"/>
  <c r="I361"/>
  <c r="I301"/>
  <c r="G361"/>
  <c r="G454"/>
  <c r="G301"/>
  <c r="D454"/>
  <c r="D455" s="1"/>
  <c r="D361"/>
  <c r="C366"/>
  <c r="O320"/>
  <c r="O321" s="1"/>
  <c r="C321"/>
  <c r="C394"/>
  <c r="C377"/>
  <c r="C301"/>
  <c r="O300"/>
  <c r="O301" s="1"/>
  <c r="N444"/>
  <c r="N257"/>
  <c r="F235"/>
  <c r="G235" s="1"/>
  <c r="E236"/>
  <c r="E283" s="1"/>
  <c r="E220"/>
  <c r="F220" s="1"/>
  <c r="D221"/>
  <c r="L158"/>
  <c r="L439"/>
  <c r="K439"/>
  <c r="K158"/>
  <c r="F414"/>
  <c r="F133"/>
  <c r="E183"/>
  <c r="E464"/>
  <c r="H121"/>
  <c r="G122"/>
  <c r="D158"/>
  <c r="D439"/>
  <c r="E166"/>
  <c r="F166" s="1"/>
  <c r="G166" s="1"/>
  <c r="H166" s="1"/>
  <c r="I166" s="1"/>
  <c r="J166" s="1"/>
  <c r="K166" s="1"/>
  <c r="D167"/>
  <c r="C133"/>
  <c r="C414"/>
  <c r="O132"/>
  <c r="O133" s="1"/>
  <c r="L199" i="22"/>
  <c r="L214"/>
  <c r="L234"/>
  <c r="L244"/>
  <c r="L254"/>
  <c r="I355" i="43"/>
  <c r="I356" s="1"/>
  <c r="I350"/>
  <c r="I351" s="1"/>
  <c r="I295"/>
  <c r="O10" i="41"/>
  <c r="E221"/>
  <c r="I167"/>
  <c r="I168" s="1"/>
  <c r="G28" i="23"/>
  <c r="G28" i="22"/>
  <c r="C33" i="23"/>
  <c r="C33" i="22"/>
  <c r="G33" i="23"/>
  <c r="G33" i="22"/>
  <c r="K38" i="23"/>
  <c r="K38" i="22"/>
  <c r="K48" i="23"/>
  <c r="K48" i="22"/>
  <c r="F53" i="23"/>
  <c r="F53" i="22"/>
  <c r="D58" i="23"/>
  <c r="D58" i="22"/>
  <c r="H58" i="23"/>
  <c r="H58" i="22"/>
  <c r="M58" i="23"/>
  <c r="M58" i="22"/>
  <c r="M63" i="23"/>
  <c r="M63" i="22"/>
  <c r="H114" i="23"/>
  <c r="H114" i="22"/>
  <c r="M114" i="23"/>
  <c r="M114" i="22"/>
  <c r="C124" i="23"/>
  <c r="C124" i="22"/>
  <c r="G124" i="23"/>
  <c r="G124" i="22"/>
  <c r="C129" i="23"/>
  <c r="C129" i="22"/>
  <c r="H134" i="23"/>
  <c r="H134" i="22"/>
  <c r="D139" i="23"/>
  <c r="D139" i="22"/>
  <c r="M144" i="23"/>
  <c r="M144" i="22"/>
  <c r="D149" i="23"/>
  <c r="D149" i="22"/>
  <c r="M149" i="23"/>
  <c r="M149" i="22"/>
  <c r="E159" i="23"/>
  <c r="E159" i="22"/>
  <c r="D169" i="23"/>
  <c r="D169" i="22"/>
  <c r="H169" i="23"/>
  <c r="H169" i="22"/>
  <c r="M169" i="23"/>
  <c r="M169" i="22"/>
  <c r="H203" i="23"/>
  <c r="H204" s="1"/>
  <c r="H203" i="22"/>
  <c r="H204" s="1"/>
  <c r="L203" i="23"/>
  <c r="L204" s="1"/>
  <c r="L203" i="22"/>
  <c r="L204" s="1"/>
  <c r="H208" i="23"/>
  <c r="H209" s="1"/>
  <c r="H208" i="22"/>
  <c r="H209" s="1"/>
  <c r="L208" i="23"/>
  <c r="L209" s="1"/>
  <c r="L208" i="22"/>
  <c r="L209" s="1"/>
  <c r="H213" i="23"/>
  <c r="H214" s="1"/>
  <c r="H213" i="22"/>
  <c r="H214" s="1"/>
  <c r="I223" i="23"/>
  <c r="I224" s="1"/>
  <c r="I223" i="22"/>
  <c r="I224" s="1"/>
  <c r="I228" i="23"/>
  <c r="I229" s="1"/>
  <c r="I228" i="22"/>
  <c r="I229" s="1"/>
  <c r="I238" i="23"/>
  <c r="I239" s="1"/>
  <c r="I238" i="22"/>
  <c r="I239" s="1"/>
  <c r="H248" i="23"/>
  <c r="H249" s="1"/>
  <c r="H248" i="22"/>
  <c r="H249" s="1"/>
  <c r="H258" i="23"/>
  <c r="H259" s="1"/>
  <c r="H258" i="22"/>
  <c r="H259" s="1"/>
  <c r="H263" i="23"/>
  <c r="H264" s="1"/>
  <c r="H263" i="22"/>
  <c r="H264" s="1"/>
  <c r="H268" i="23"/>
  <c r="H269" s="1"/>
  <c r="H268" i="22"/>
  <c r="H269" s="1"/>
  <c r="H273" i="23"/>
  <c r="H274" s="1"/>
  <c r="H273" i="22"/>
  <c r="H274" s="1"/>
  <c r="G292" i="23"/>
  <c r="G292" i="22"/>
  <c r="K292" i="23"/>
  <c r="K292" i="22"/>
  <c r="G302" i="23"/>
  <c r="G302" i="22"/>
  <c r="K302" i="23"/>
  <c r="K302" i="22"/>
  <c r="I312" i="23"/>
  <c r="I312" i="22"/>
  <c r="M312" i="23"/>
  <c r="M312" i="22"/>
  <c r="I322" i="23"/>
  <c r="I322" i="22"/>
  <c r="M322" i="23"/>
  <c r="M322" i="22"/>
  <c r="H327" i="23"/>
  <c r="H327" i="22"/>
  <c r="L327" i="23"/>
  <c r="L327" i="22"/>
  <c r="G332" i="23"/>
  <c r="G332" i="22"/>
  <c r="K332" i="23"/>
  <c r="K332" i="22"/>
  <c r="H342" i="23"/>
  <c r="H342" i="22"/>
  <c r="L342" i="23"/>
  <c r="L342" i="22"/>
  <c r="G347" i="23"/>
  <c r="G347" i="22"/>
  <c r="K347" i="23"/>
  <c r="K347" i="22"/>
  <c r="J352" i="23"/>
  <c r="J352" i="22"/>
  <c r="N352" i="23"/>
  <c r="N352" i="22"/>
  <c r="G85" i="41"/>
  <c r="F86"/>
  <c r="S16" i="47"/>
  <c r="J51"/>
  <c r="H28"/>
  <c r="T5"/>
  <c r="H49" s="1"/>
  <c r="O16"/>
  <c r="G64"/>
  <c r="P4"/>
  <c r="I199" i="22"/>
  <c r="I234"/>
  <c r="I244"/>
  <c r="I254"/>
  <c r="E199"/>
  <c r="E234"/>
  <c r="E244"/>
  <c r="E254"/>
  <c r="T13" i="25"/>
  <c r="P49" s="1"/>
  <c r="P28"/>
  <c r="T5"/>
  <c r="H28"/>
  <c r="K16"/>
  <c r="R24"/>
  <c r="R35" s="1"/>
  <c r="H15"/>
  <c r="H37" i="26"/>
  <c r="G67"/>
  <c r="R7"/>
  <c r="G7"/>
  <c r="J26"/>
  <c r="I16"/>
  <c r="G9"/>
  <c r="R9"/>
  <c r="G11"/>
  <c r="R11"/>
  <c r="N26"/>
  <c r="G13"/>
  <c r="R13"/>
  <c r="N298" i="22"/>
  <c r="N308"/>
  <c r="N318"/>
  <c r="N358"/>
  <c r="N368"/>
  <c r="N353"/>
  <c r="N363"/>
  <c r="D92" i="41"/>
  <c r="S51" i="47"/>
  <c r="N258" i="22"/>
  <c r="N259" s="1"/>
  <c r="N249"/>
  <c r="N228"/>
  <c r="N229" s="1"/>
  <c r="N203"/>
  <c r="N204" s="1"/>
  <c r="Q15" i="25"/>
  <c r="M219" i="22"/>
  <c r="M208"/>
  <c r="M209" s="1"/>
  <c r="L268"/>
  <c r="L269" s="1"/>
  <c r="L263"/>
  <c r="L264" s="1"/>
  <c r="L238"/>
  <c r="L239" s="1"/>
  <c r="E8" i="23"/>
  <c r="E8" i="22"/>
  <c r="J13" i="23"/>
  <c r="J13" i="22"/>
  <c r="N13" i="23"/>
  <c r="N13" i="22"/>
  <c r="M18" i="23"/>
  <c r="M18" i="22"/>
  <c r="D23" i="23"/>
  <c r="D23" i="22"/>
  <c r="H23" i="23"/>
  <c r="H23" i="22"/>
  <c r="L23" i="23"/>
  <c r="L23" i="22"/>
  <c r="F28" i="23"/>
  <c r="F28" i="22"/>
  <c r="F33" i="23"/>
  <c r="F33" i="22"/>
  <c r="J38" i="23"/>
  <c r="J38" i="22"/>
  <c r="N38" i="23"/>
  <c r="N38" i="22"/>
  <c r="E43" i="23"/>
  <c r="E43" i="22"/>
  <c r="N43" i="23"/>
  <c r="N43" i="22"/>
  <c r="J48" i="23"/>
  <c r="J48" i="22"/>
  <c r="E53" i="23"/>
  <c r="E53" i="22"/>
  <c r="I53" i="23"/>
  <c r="I53" i="22"/>
  <c r="L58" i="23"/>
  <c r="L58" i="22"/>
  <c r="C63" i="23"/>
  <c r="C63" i="22"/>
  <c r="G63" i="23"/>
  <c r="G63" i="22"/>
  <c r="K73" i="23"/>
  <c r="K73" i="22"/>
  <c r="E104" i="23"/>
  <c r="E104" i="22"/>
  <c r="J104" i="23"/>
  <c r="J104" i="22"/>
  <c r="N104" i="23"/>
  <c r="N104" i="22"/>
  <c r="C114" i="23"/>
  <c r="C114" i="22"/>
  <c r="G114" i="23"/>
  <c r="G114" i="22"/>
  <c r="L114" i="23"/>
  <c r="L114" i="22"/>
  <c r="F124" i="23"/>
  <c r="F124" i="22"/>
  <c r="N129" i="23"/>
  <c r="N129" i="22"/>
  <c r="G134" i="23"/>
  <c r="G134" i="22"/>
  <c r="L134" i="23"/>
  <c r="L134" i="22"/>
  <c r="L144" i="23"/>
  <c r="L144" i="22"/>
  <c r="C149" i="23"/>
  <c r="C149" i="22"/>
  <c r="H154" i="23"/>
  <c r="H154" i="22"/>
  <c r="C169" i="23"/>
  <c r="C169" i="22"/>
  <c r="G203" i="23"/>
  <c r="G203" i="22"/>
  <c r="K203" i="23"/>
  <c r="K203" i="22"/>
  <c r="G208" i="23"/>
  <c r="G208" i="22"/>
  <c r="K208" i="23"/>
  <c r="K208" i="22"/>
  <c r="H223" i="23"/>
  <c r="H224" s="1"/>
  <c r="H223" i="22"/>
  <c r="H224" s="1"/>
  <c r="L223" i="23"/>
  <c r="L224" s="1"/>
  <c r="L223" i="22"/>
  <c r="L224" s="1"/>
  <c r="H228" i="23"/>
  <c r="H229" s="1"/>
  <c r="H228" i="22"/>
  <c r="H229" s="1"/>
  <c r="H238" i="23"/>
  <c r="H239" s="1"/>
  <c r="H238" i="22"/>
  <c r="H239" s="1"/>
  <c r="G258" i="23"/>
  <c r="G258" i="22"/>
  <c r="K258" i="23"/>
  <c r="K258" i="22"/>
  <c r="G263" i="23"/>
  <c r="G263" i="22"/>
  <c r="K263" i="23"/>
  <c r="K263" i="22"/>
  <c r="G268" i="23"/>
  <c r="G268" i="22"/>
  <c r="K268" i="23"/>
  <c r="K268" i="22"/>
  <c r="G273" i="23"/>
  <c r="G273" i="22"/>
  <c r="K273" i="23"/>
  <c r="K273" i="22"/>
  <c r="J292" i="23"/>
  <c r="J292" i="22"/>
  <c r="N292" i="23"/>
  <c r="N292" i="22"/>
  <c r="N293" s="1"/>
  <c r="J302" i="23"/>
  <c r="J302" i="22"/>
  <c r="N302" i="23"/>
  <c r="N302" i="22"/>
  <c r="N303" s="1"/>
  <c r="H312" i="23"/>
  <c r="H312" i="22"/>
  <c r="L312" i="23"/>
  <c r="L312" i="22"/>
  <c r="H322" i="23"/>
  <c r="H322" i="22"/>
  <c r="L322"/>
  <c r="L322" i="23"/>
  <c r="G327"/>
  <c r="G327" i="22"/>
  <c r="K327" i="23"/>
  <c r="K327" i="22"/>
  <c r="J332" i="23"/>
  <c r="J332" i="22"/>
  <c r="N332" i="23"/>
  <c r="N332" i="22"/>
  <c r="N333" s="1"/>
  <c r="N337" i="23"/>
  <c r="N337" i="22"/>
  <c r="N338" s="1"/>
  <c r="G342" i="23"/>
  <c r="G342" i="22"/>
  <c r="K342" i="23"/>
  <c r="K342" i="22"/>
  <c r="J347" i="23"/>
  <c r="J347" i="22"/>
  <c r="N347" i="23"/>
  <c r="N347" i="22"/>
  <c r="N348" s="1"/>
  <c r="I352" i="23"/>
  <c r="I352" i="22"/>
  <c r="M352" i="23"/>
  <c r="M352" i="22"/>
  <c r="G80" i="41"/>
  <c r="F81"/>
  <c r="G14" i="47"/>
  <c r="Q19"/>
  <c r="Q41" s="1"/>
  <c r="G12"/>
  <c r="O19"/>
  <c r="G10"/>
  <c r="M19"/>
  <c r="M41" s="1"/>
  <c r="G8"/>
  <c r="K19"/>
  <c r="K37" s="1"/>
  <c r="T4"/>
  <c r="T15"/>
  <c r="R49" s="1"/>
  <c r="R59" s="1"/>
  <c r="I291" i="22"/>
  <c r="E291"/>
  <c r="R8" i="25"/>
  <c r="G8"/>
  <c r="K26"/>
  <c r="K37" s="1"/>
  <c r="R10"/>
  <c r="G10"/>
  <c r="M26"/>
  <c r="R12"/>
  <c r="G12"/>
  <c r="O26"/>
  <c r="O37" s="1"/>
  <c r="O39" i="26"/>
  <c r="O59"/>
  <c r="K39"/>
  <c r="K59"/>
  <c r="G39"/>
  <c r="G59"/>
  <c r="G57"/>
  <c r="V14" i="25"/>
  <c r="Q67" s="1"/>
  <c r="Q47"/>
  <c r="F199" i="22"/>
  <c r="F234"/>
  <c r="F244"/>
  <c r="F254"/>
  <c r="M298" i="23"/>
  <c r="M308"/>
  <c r="M318"/>
  <c r="M323"/>
  <c r="M338"/>
  <c r="M358"/>
  <c r="M368"/>
  <c r="M353"/>
  <c r="M313"/>
  <c r="M363"/>
  <c r="O42" i="41"/>
  <c r="O47"/>
  <c r="O52"/>
  <c r="O55"/>
  <c r="O60"/>
  <c r="O65"/>
  <c r="O77"/>
  <c r="O85"/>
  <c r="O108"/>
  <c r="O111"/>
  <c r="O116"/>
  <c r="O136"/>
  <c r="O141"/>
  <c r="O146"/>
  <c r="O151"/>
  <c r="O166"/>
  <c r="O171"/>
  <c r="O215"/>
  <c r="O220"/>
  <c r="O225"/>
  <c r="O230"/>
  <c r="O235"/>
  <c r="O240"/>
  <c r="O296"/>
  <c r="O306"/>
  <c r="O314"/>
  <c r="O324"/>
  <c r="O336"/>
  <c r="O359"/>
  <c r="O386"/>
  <c r="N470"/>
  <c r="N469" s="1"/>
  <c r="L281"/>
  <c r="L280" s="1"/>
  <c r="D281"/>
  <c r="D280" s="1"/>
  <c r="C402"/>
  <c r="F309"/>
  <c r="G309" s="1"/>
  <c r="E364"/>
  <c r="F364" s="1"/>
  <c r="L256"/>
  <c r="D256"/>
  <c r="E122"/>
  <c r="C92"/>
  <c r="M37" i="47"/>
  <c r="N219" i="22"/>
  <c r="N208"/>
  <c r="N209" s="1"/>
  <c r="M268"/>
  <c r="M269" s="1"/>
  <c r="M263"/>
  <c r="M264" s="1"/>
  <c r="M238"/>
  <c r="M239" s="1"/>
  <c r="M214"/>
  <c r="L273"/>
  <c r="L274" s="1"/>
  <c r="L73"/>
  <c r="G78" i="44"/>
  <c r="H486" i="22" s="1"/>
  <c r="G159"/>
  <c r="E224"/>
  <c r="N134" i="23"/>
  <c r="D13"/>
  <c r="D13" i="22"/>
  <c r="H13" i="23"/>
  <c r="H13" i="22"/>
  <c r="M13" i="23"/>
  <c r="M13" i="22"/>
  <c r="C18" i="23"/>
  <c r="C18" i="22"/>
  <c r="G18" i="23"/>
  <c r="G18" i="22"/>
  <c r="C23" i="23"/>
  <c r="C23" i="22"/>
  <c r="K23" i="23"/>
  <c r="K23" i="22"/>
  <c r="E28" i="23"/>
  <c r="E28" i="22"/>
  <c r="N28" i="23"/>
  <c r="N28" i="22"/>
  <c r="E33" i="23"/>
  <c r="E33" i="22"/>
  <c r="D38" i="23"/>
  <c r="D38" i="22"/>
  <c r="H38" i="23"/>
  <c r="H38" i="22"/>
  <c r="M38" i="23"/>
  <c r="M38" i="22"/>
  <c r="M43" i="23"/>
  <c r="M43" i="22"/>
  <c r="D48" i="23"/>
  <c r="D48" i="22"/>
  <c r="H48" i="23"/>
  <c r="H48" i="22"/>
  <c r="K58" i="23"/>
  <c r="K58" i="22"/>
  <c r="J73" i="23"/>
  <c r="J73" i="22"/>
  <c r="D104" i="23"/>
  <c r="D104" i="22"/>
  <c r="H104" i="23"/>
  <c r="H104" i="22"/>
  <c r="K114" i="23"/>
  <c r="K114" i="22"/>
  <c r="E124" i="23"/>
  <c r="E124" i="22"/>
  <c r="I129" i="23"/>
  <c r="I129" i="22"/>
  <c r="M129"/>
  <c r="M129" i="23"/>
  <c r="K134"/>
  <c r="K134" i="22"/>
  <c r="F144" i="23"/>
  <c r="F144" i="22"/>
  <c r="K144" i="23"/>
  <c r="K144" i="22"/>
  <c r="K169" i="23"/>
  <c r="K169" i="22"/>
  <c r="J203" i="23"/>
  <c r="J204" s="1"/>
  <c r="J203" i="22"/>
  <c r="J208" i="23"/>
  <c r="J209" s="1"/>
  <c r="J208" i="22"/>
  <c r="G223" i="23"/>
  <c r="G223" i="22"/>
  <c r="K223" i="23"/>
  <c r="K223" i="22"/>
  <c r="G228" i="23"/>
  <c r="G228" i="22"/>
  <c r="K228" i="23"/>
  <c r="K228" i="22"/>
  <c r="G238" i="23"/>
  <c r="G238" i="22"/>
  <c r="K238" i="23"/>
  <c r="K238" i="22"/>
  <c r="K248" i="23"/>
  <c r="K248" i="22"/>
  <c r="J258" i="23"/>
  <c r="J259" s="1"/>
  <c r="J258" i="22"/>
  <c r="J263" i="23"/>
  <c r="J264" s="1"/>
  <c r="J263" i="22"/>
  <c r="J268" i="23"/>
  <c r="J269" s="1"/>
  <c r="J268" i="22"/>
  <c r="J273" i="23"/>
  <c r="J274" s="1"/>
  <c r="J273" i="22"/>
  <c r="I292" i="23"/>
  <c r="I292" i="22"/>
  <c r="M292" i="23"/>
  <c r="M293" s="1"/>
  <c r="M292" i="22"/>
  <c r="H297" i="23"/>
  <c r="H297" i="22"/>
  <c r="I302" i="23"/>
  <c r="I302" i="22"/>
  <c r="M302" i="23"/>
  <c r="M303" s="1"/>
  <c r="M302" i="22"/>
  <c r="G312" i="23"/>
  <c r="G312" i="22"/>
  <c r="K312" i="23"/>
  <c r="K312" i="22"/>
  <c r="G322" i="23"/>
  <c r="G322" i="22"/>
  <c r="K322" i="23"/>
  <c r="K322" i="22"/>
  <c r="J327" i="23"/>
  <c r="J327" i="22"/>
  <c r="N327" i="23"/>
  <c r="N327" i="22"/>
  <c r="N328" s="1"/>
  <c r="I332" i="23"/>
  <c r="I332" i="22"/>
  <c r="M332" i="23"/>
  <c r="M333" s="1"/>
  <c r="M332" i="22"/>
  <c r="H337" i="23"/>
  <c r="H337" i="22"/>
  <c r="J342" i="23"/>
  <c r="J342" i="22"/>
  <c r="N342" i="23"/>
  <c r="N342" i="22"/>
  <c r="N343" s="1"/>
  <c r="I347" i="23"/>
  <c r="I347" i="22"/>
  <c r="M347" i="23"/>
  <c r="M348" s="1"/>
  <c r="M347" i="22"/>
  <c r="H352" i="23"/>
  <c r="H352" i="22"/>
  <c r="L352" i="23"/>
  <c r="L352" i="22"/>
  <c r="F70" i="41"/>
  <c r="E71"/>
  <c r="E92" s="1"/>
  <c r="G15" i="47"/>
  <c r="R15"/>
  <c r="R26"/>
  <c r="R37" s="1"/>
  <c r="I16"/>
  <c r="Q11"/>
  <c r="N24"/>
  <c r="N35" s="1"/>
  <c r="M47"/>
  <c r="M57" s="1"/>
  <c r="V10"/>
  <c r="M67" s="1"/>
  <c r="M16"/>
  <c r="J30"/>
  <c r="J41" s="1"/>
  <c r="H19"/>
  <c r="H41" s="1"/>
  <c r="G5"/>
  <c r="R6"/>
  <c r="R4"/>
  <c r="R7"/>
  <c r="R9"/>
  <c r="R11"/>
  <c r="R13"/>
  <c r="F4"/>
  <c r="D24"/>
  <c r="D16"/>
  <c r="F6"/>
  <c r="S12" i="25"/>
  <c r="O51" s="1"/>
  <c r="K197" i="22" s="1"/>
  <c r="O30" i="25"/>
  <c r="O41" s="1"/>
  <c r="S8"/>
  <c r="K51" s="1"/>
  <c r="G197" i="22" s="1"/>
  <c r="K30" i="25"/>
  <c r="K41" s="1"/>
  <c r="S4"/>
  <c r="G30"/>
  <c r="J291" i="22"/>
  <c r="N59" i="25"/>
  <c r="F291" i="22"/>
  <c r="J59" i="25"/>
  <c r="Q24"/>
  <c r="H14"/>
  <c r="S12" i="26"/>
  <c r="O51" s="1"/>
  <c r="K197" i="23" s="1"/>
  <c r="O30" i="26"/>
  <c r="O41" s="1"/>
  <c r="S8"/>
  <c r="K51" s="1"/>
  <c r="G197" i="23" s="1"/>
  <c r="K30" i="26"/>
  <c r="K41" s="1"/>
  <c r="S4"/>
  <c r="G30"/>
  <c r="T13"/>
  <c r="P49" s="1"/>
  <c r="P28"/>
  <c r="P39" s="1"/>
  <c r="T9"/>
  <c r="L49" s="1"/>
  <c r="L28"/>
  <c r="L39" s="1"/>
  <c r="T5"/>
  <c r="H28"/>
  <c r="K16"/>
  <c r="G8"/>
  <c r="R8"/>
  <c r="K26"/>
  <c r="K37" s="1"/>
  <c r="G10"/>
  <c r="R10"/>
  <c r="M26"/>
  <c r="R12"/>
  <c r="G12"/>
  <c r="O26"/>
  <c r="O37" s="1"/>
  <c r="R47" i="25"/>
  <c r="V15"/>
  <c r="R67" s="1"/>
  <c r="O309" i="41"/>
  <c r="O319"/>
  <c r="O354"/>
  <c r="L451"/>
  <c r="L453"/>
  <c r="M470"/>
  <c r="M469" s="1"/>
  <c r="I470"/>
  <c r="I469" s="1"/>
  <c r="E470"/>
  <c r="E469" s="1"/>
  <c r="N41" i="47"/>
  <c r="Q57"/>
  <c r="U9"/>
  <c r="D30"/>
  <c r="D32"/>
  <c r="S64" i="25"/>
  <c r="L26" i="26"/>
  <c r="L37" s="1"/>
  <c r="N268" i="22"/>
  <c r="N269" s="1"/>
  <c r="N263"/>
  <c r="N264" s="1"/>
  <c r="N238"/>
  <c r="N239" s="1"/>
  <c r="N214"/>
  <c r="M273"/>
  <c r="M274" s="1"/>
  <c r="M223"/>
  <c r="M224" s="1"/>
  <c r="L258"/>
  <c r="L259" s="1"/>
  <c r="L249"/>
  <c r="L228"/>
  <c r="L229" s="1"/>
  <c r="L169"/>
  <c r="J144"/>
  <c r="H144"/>
  <c r="G249"/>
  <c r="G144"/>
  <c r="N273" i="23"/>
  <c r="N274" s="1"/>
  <c r="J23"/>
  <c r="J23" i="22"/>
  <c r="M28" i="23"/>
  <c r="M28" i="22"/>
  <c r="L38" i="23"/>
  <c r="L38" i="22"/>
  <c r="G43" i="23"/>
  <c r="G43" i="22"/>
  <c r="C53" i="23"/>
  <c r="C53" i="22"/>
  <c r="G53" i="23"/>
  <c r="G53" i="22"/>
  <c r="J58" i="23"/>
  <c r="J58" i="22"/>
  <c r="N58" i="23"/>
  <c r="N58" i="22"/>
  <c r="E63" i="23"/>
  <c r="E63" i="22"/>
  <c r="N63" i="23"/>
  <c r="N63" i="22"/>
  <c r="D73" i="23"/>
  <c r="D73" i="22"/>
  <c r="H73" i="23"/>
  <c r="H73" i="22"/>
  <c r="G104" i="23"/>
  <c r="G104" i="22"/>
  <c r="E114" i="23"/>
  <c r="E114" i="22"/>
  <c r="J114" i="23"/>
  <c r="J114" i="22"/>
  <c r="D129" i="23"/>
  <c r="D129" i="22"/>
  <c r="E134" i="23"/>
  <c r="E134" i="22"/>
  <c r="J134" i="23"/>
  <c r="J134" i="22"/>
  <c r="E144" i="23"/>
  <c r="E144" i="22"/>
  <c r="N149" i="23"/>
  <c r="N149" i="22"/>
  <c r="F159" i="23"/>
  <c r="F159" i="22"/>
  <c r="J169" i="23"/>
  <c r="J169" i="22"/>
  <c r="N169" i="23"/>
  <c r="N169" i="22"/>
  <c r="I203" i="23"/>
  <c r="I204" s="1"/>
  <c r="I203" i="22"/>
  <c r="I204" s="1"/>
  <c r="I208" i="23"/>
  <c r="I209" s="1"/>
  <c r="I208" i="22"/>
  <c r="I209" s="1"/>
  <c r="K213" i="23"/>
  <c r="K214" s="1"/>
  <c r="K213" i="22"/>
  <c r="K214" s="1"/>
  <c r="J223" i="23"/>
  <c r="J224" s="1"/>
  <c r="J223" i="22"/>
  <c r="J228" i="23"/>
  <c r="J229" s="1"/>
  <c r="J228" i="22"/>
  <c r="J238" i="23"/>
  <c r="J239" s="1"/>
  <c r="J238" i="22"/>
  <c r="J248" i="23"/>
  <c r="J249" s="1"/>
  <c r="J248" i="22"/>
  <c r="I258" i="23"/>
  <c r="I259" s="1"/>
  <c r="I258" i="22"/>
  <c r="I259" s="1"/>
  <c r="I263" i="23"/>
  <c r="I264" s="1"/>
  <c r="I263" i="22"/>
  <c r="I264" s="1"/>
  <c r="I268" i="23"/>
  <c r="I269" s="1"/>
  <c r="I268" i="22"/>
  <c r="I269" s="1"/>
  <c r="I273" i="23"/>
  <c r="I274" s="1"/>
  <c r="I273" i="22"/>
  <c r="I274" s="1"/>
  <c r="H292" i="23"/>
  <c r="H292" i="22"/>
  <c r="L292" i="23"/>
  <c r="L292" i="22"/>
  <c r="H302" i="23"/>
  <c r="H302" i="22"/>
  <c r="L302" i="23"/>
  <c r="L302" i="22"/>
  <c r="J312" i="23"/>
  <c r="J312" i="22"/>
  <c r="N312" i="23"/>
  <c r="N312" i="22"/>
  <c r="N313" s="1"/>
  <c r="J322" i="23"/>
  <c r="J322" i="22"/>
  <c r="N322" i="23"/>
  <c r="N322" i="22"/>
  <c r="N323" s="1"/>
  <c r="I327" i="23"/>
  <c r="I327" i="22"/>
  <c r="M327" i="23"/>
  <c r="M328" s="1"/>
  <c r="M327" i="22"/>
  <c r="H332" i="23"/>
  <c r="H332" i="22"/>
  <c r="L332" i="23"/>
  <c r="L332" i="22"/>
  <c r="I342" i="23"/>
  <c r="I342" i="22"/>
  <c r="M342" i="23"/>
  <c r="M343" s="1"/>
  <c r="M342" i="22"/>
  <c r="H347" i="23"/>
  <c r="H347" i="22"/>
  <c r="L347" i="23"/>
  <c r="L347" i="22"/>
  <c r="G352" i="23"/>
  <c r="G352" i="22"/>
  <c r="K352" i="23"/>
  <c r="K352" i="22"/>
  <c r="T14" i="47"/>
  <c r="Q49" s="1"/>
  <c r="Q59" s="1"/>
  <c r="Q28"/>
  <c r="Q39" s="1"/>
  <c r="P13"/>
  <c r="P64"/>
  <c r="O28"/>
  <c r="O39" s="1"/>
  <c r="T12"/>
  <c r="O49" s="1"/>
  <c r="O59" s="1"/>
  <c r="P11"/>
  <c r="N64"/>
  <c r="T10"/>
  <c r="M49" s="1"/>
  <c r="M59" s="1"/>
  <c r="M28"/>
  <c r="M39" s="1"/>
  <c r="P9"/>
  <c r="L64"/>
  <c r="K28"/>
  <c r="K39" s="1"/>
  <c r="T8"/>
  <c r="K49" s="1"/>
  <c r="K59" s="1"/>
  <c r="H199" i="22"/>
  <c r="H234"/>
  <c r="H244"/>
  <c r="H254"/>
  <c r="D199"/>
  <c r="D234"/>
  <c r="D244"/>
  <c r="D254"/>
  <c r="K291"/>
  <c r="O59" i="25"/>
  <c r="G291" i="22"/>
  <c r="K59" i="25"/>
  <c r="R7"/>
  <c r="G7"/>
  <c r="J26"/>
  <c r="J37" s="1"/>
  <c r="I16"/>
  <c r="R9"/>
  <c r="G9"/>
  <c r="R11"/>
  <c r="G11"/>
  <c r="N26"/>
  <c r="N37" s="1"/>
  <c r="R13"/>
  <c r="G13"/>
  <c r="K394" i="41"/>
  <c r="S30" i="47"/>
  <c r="O41"/>
  <c r="K41"/>
  <c r="K16"/>
  <c r="H13"/>
  <c r="H11"/>
  <c r="H9"/>
  <c r="G7"/>
  <c r="R5"/>
  <c r="G37" i="26"/>
  <c r="P26"/>
  <c r="P37" s="1"/>
  <c r="S64"/>
  <c r="N223" i="22"/>
  <c r="N224" s="1"/>
  <c r="M291"/>
  <c r="M258"/>
  <c r="M259" s="1"/>
  <c r="M249"/>
  <c r="M228"/>
  <c r="M229" s="1"/>
  <c r="M203"/>
  <c r="M204" s="1"/>
  <c r="Q14" i="25"/>
  <c r="L219" i="22"/>
  <c r="L48"/>
  <c r="H78" i="44"/>
  <c r="I486" i="22" s="1"/>
  <c r="I249"/>
  <c r="T9" i="25"/>
  <c r="L49" s="1"/>
  <c r="F78" i="44"/>
  <c r="G486" i="22" s="1"/>
  <c r="E78" i="44"/>
  <c r="F486" i="22" s="1"/>
  <c r="F269"/>
  <c r="F114"/>
  <c r="C293"/>
  <c r="C298"/>
  <c r="C308"/>
  <c r="C303"/>
  <c r="C318"/>
  <c r="C323"/>
  <c r="C328"/>
  <c r="C333"/>
  <c r="C338"/>
  <c r="C343"/>
  <c r="C348"/>
  <c r="C358"/>
  <c r="C368"/>
  <c r="C353"/>
  <c r="C313"/>
  <c r="C363"/>
  <c r="G6" i="25"/>
  <c r="R6"/>
  <c r="N199" i="23"/>
  <c r="N234"/>
  <c r="N244"/>
  <c r="N254"/>
  <c r="J199"/>
  <c r="J214"/>
  <c r="J234"/>
  <c r="J244"/>
  <c r="J254"/>
  <c r="J219"/>
  <c r="F254"/>
  <c r="F199"/>
  <c r="F244"/>
  <c r="F234"/>
  <c r="K293"/>
  <c r="K298"/>
  <c r="K308"/>
  <c r="K303"/>
  <c r="K318"/>
  <c r="K323"/>
  <c r="K328"/>
  <c r="K333"/>
  <c r="K338"/>
  <c r="K343"/>
  <c r="K348"/>
  <c r="K358"/>
  <c r="K368"/>
  <c r="K353"/>
  <c r="K313"/>
  <c r="K363"/>
  <c r="G293"/>
  <c r="G298"/>
  <c r="G308"/>
  <c r="G303"/>
  <c r="G318"/>
  <c r="G323"/>
  <c r="G328"/>
  <c r="G333"/>
  <c r="G338"/>
  <c r="G343"/>
  <c r="G348"/>
  <c r="G358"/>
  <c r="G368"/>
  <c r="G353"/>
  <c r="G313"/>
  <c r="G363"/>
  <c r="C308"/>
  <c r="C303"/>
  <c r="C363"/>
  <c r="C298"/>
  <c r="C358"/>
  <c r="C368"/>
  <c r="C353"/>
  <c r="C313"/>
  <c r="C293"/>
  <c r="C338"/>
  <c r="C343"/>
  <c r="C348"/>
  <c r="C318"/>
  <c r="C323"/>
  <c r="C328"/>
  <c r="C333"/>
  <c r="E9"/>
  <c r="E34"/>
  <c r="E54"/>
  <c r="E19"/>
  <c r="E44"/>
  <c r="E64"/>
  <c r="E84"/>
  <c r="E29"/>
  <c r="E79"/>
  <c r="E69"/>
  <c r="I78" i="44"/>
  <c r="J486" i="22" s="1"/>
  <c r="S11" i="25"/>
  <c r="N51" s="1"/>
  <c r="J197" i="22" s="1"/>
  <c r="I219"/>
  <c r="I214"/>
  <c r="G219"/>
  <c r="G214"/>
  <c r="F274"/>
  <c r="F209"/>
  <c r="D224"/>
  <c r="M214" i="23"/>
  <c r="L199"/>
  <c r="L214"/>
  <c r="L234"/>
  <c r="L244"/>
  <c r="L249"/>
  <c r="L254"/>
  <c r="L219"/>
  <c r="H199"/>
  <c r="H234"/>
  <c r="H244"/>
  <c r="H254"/>
  <c r="H219"/>
  <c r="D244"/>
  <c r="D234"/>
  <c r="D254"/>
  <c r="D199"/>
  <c r="I293"/>
  <c r="I298"/>
  <c r="I308"/>
  <c r="I303"/>
  <c r="I318"/>
  <c r="I323"/>
  <c r="I328"/>
  <c r="I333"/>
  <c r="I338"/>
  <c r="I343"/>
  <c r="I348"/>
  <c r="I358"/>
  <c r="I368"/>
  <c r="I353"/>
  <c r="I313"/>
  <c r="I363"/>
  <c r="E308"/>
  <c r="E303"/>
  <c r="E363"/>
  <c r="E298"/>
  <c r="E358"/>
  <c r="E368"/>
  <c r="E353"/>
  <c r="E313"/>
  <c r="E293"/>
  <c r="E338"/>
  <c r="E343"/>
  <c r="E348"/>
  <c r="E318"/>
  <c r="E323"/>
  <c r="E328"/>
  <c r="E333"/>
  <c r="G14" i="26"/>
  <c r="R14"/>
  <c r="H37" i="47"/>
  <c r="G59" i="25"/>
  <c r="J78" i="44"/>
  <c r="K486" i="22" s="1"/>
  <c r="H219"/>
  <c r="D78" i="44"/>
  <c r="E486" i="22" s="1"/>
  <c r="E209"/>
  <c r="N249" i="23"/>
  <c r="N48"/>
  <c r="N23"/>
  <c r="N124"/>
  <c r="M33"/>
  <c r="M159"/>
  <c r="G4" i="25"/>
  <c r="R4"/>
  <c r="G5"/>
  <c r="R5"/>
  <c r="M199" i="23"/>
  <c r="M234"/>
  <c r="M244"/>
  <c r="M254"/>
  <c r="I199"/>
  <c r="I234"/>
  <c r="I244"/>
  <c r="I254"/>
  <c r="E234"/>
  <c r="E199"/>
  <c r="E244"/>
  <c r="E254"/>
  <c r="E219"/>
  <c r="N293"/>
  <c r="N298"/>
  <c r="N308"/>
  <c r="N303"/>
  <c r="N318"/>
  <c r="N323"/>
  <c r="N328"/>
  <c r="N333"/>
  <c r="N338"/>
  <c r="N343"/>
  <c r="N348"/>
  <c r="N358"/>
  <c r="N368"/>
  <c r="N353"/>
  <c r="N313"/>
  <c r="N363"/>
  <c r="J293"/>
  <c r="J298"/>
  <c r="J308"/>
  <c r="J303"/>
  <c r="J318"/>
  <c r="J323"/>
  <c r="J328"/>
  <c r="J333"/>
  <c r="J338"/>
  <c r="J343"/>
  <c r="J348"/>
  <c r="J358"/>
  <c r="J368"/>
  <c r="J353"/>
  <c r="J313"/>
  <c r="J363"/>
  <c r="F303"/>
  <c r="F333"/>
  <c r="F353"/>
  <c r="F308"/>
  <c r="F328"/>
  <c r="F358"/>
  <c r="F368"/>
  <c r="F298"/>
  <c r="F323"/>
  <c r="F348"/>
  <c r="F363"/>
  <c r="F293"/>
  <c r="F318"/>
  <c r="F338"/>
  <c r="F343"/>
  <c r="F313"/>
  <c r="C19"/>
  <c r="C24"/>
  <c r="C34"/>
  <c r="C64"/>
  <c r="C84"/>
  <c r="C54"/>
  <c r="C79"/>
  <c r="C69"/>
  <c r="G5" i="26"/>
  <c r="R5"/>
  <c r="G15"/>
  <c r="R15"/>
  <c r="R30" i="25"/>
  <c r="R41" s="1"/>
  <c r="F219" i="22"/>
  <c r="F249"/>
  <c r="F224"/>
  <c r="E219"/>
  <c r="M219" i="23"/>
  <c r="D219" i="22"/>
  <c r="D274"/>
  <c r="N73" i="23"/>
  <c r="N53"/>
  <c r="N154"/>
  <c r="N144"/>
  <c r="N114"/>
  <c r="M8"/>
  <c r="M139"/>
  <c r="C141" i="22"/>
  <c r="D141" s="1"/>
  <c r="E141" s="1"/>
  <c r="F141" s="1"/>
  <c r="G141" s="1"/>
  <c r="H141" s="1"/>
  <c r="I141" s="1"/>
  <c r="J141" s="1"/>
  <c r="K141" s="1"/>
  <c r="L141" s="1"/>
  <c r="M141" s="1"/>
  <c r="N141" s="1"/>
  <c r="D45"/>
  <c r="E45" s="1"/>
  <c r="F45" s="1"/>
  <c r="G45" s="1"/>
  <c r="H45" s="1"/>
  <c r="I45" s="1"/>
  <c r="J45" s="1"/>
  <c r="K45" s="1"/>
  <c r="L45" s="1"/>
  <c r="M45" s="1"/>
  <c r="N45" s="1"/>
  <c r="D269"/>
  <c r="D259"/>
  <c r="D264"/>
  <c r="D249"/>
  <c r="N8" i="23"/>
  <c r="N139"/>
  <c r="M73"/>
  <c r="M53"/>
  <c r="M134"/>
  <c r="L63"/>
  <c r="L53"/>
  <c r="L18"/>
  <c r="L159"/>
  <c r="L129"/>
  <c r="K28"/>
  <c r="K43"/>
  <c r="K8"/>
  <c r="K149"/>
  <c r="J124"/>
  <c r="I214"/>
  <c r="C78" i="44"/>
  <c r="D486" i="22" s="1"/>
  <c r="D229"/>
  <c r="D214"/>
  <c r="D204"/>
  <c r="N219" i="23"/>
  <c r="N214"/>
  <c r="N33"/>
  <c r="N159"/>
  <c r="M249"/>
  <c r="M48"/>
  <c r="M23"/>
  <c r="M124"/>
  <c r="M104"/>
  <c r="L33"/>
  <c r="L139"/>
  <c r="J87" i="44"/>
  <c r="K486" i="23" s="1"/>
  <c r="K124"/>
  <c r="K104"/>
  <c r="J28"/>
  <c r="J43"/>
  <c r="J8"/>
  <c r="J149"/>
  <c r="I219"/>
  <c r="I48"/>
  <c r="I23"/>
  <c r="K87" i="44"/>
  <c r="L486" i="23" s="1"/>
  <c r="L124"/>
  <c r="L104"/>
  <c r="K63"/>
  <c r="K53"/>
  <c r="K18"/>
  <c r="K159"/>
  <c r="K129"/>
  <c r="J33"/>
  <c r="J139"/>
  <c r="I249"/>
  <c r="I58"/>
  <c r="I33"/>
  <c r="L28"/>
  <c r="L43"/>
  <c r="L8"/>
  <c r="L149"/>
  <c r="K33"/>
  <c r="K139"/>
  <c r="I87" i="44"/>
  <c r="J486" i="23" s="1"/>
  <c r="J63"/>
  <c r="J53"/>
  <c r="J18"/>
  <c r="J159"/>
  <c r="J129"/>
  <c r="H124"/>
  <c r="H139"/>
  <c r="G249"/>
  <c r="G23"/>
  <c r="G149"/>
  <c r="F274"/>
  <c r="F73"/>
  <c r="F58"/>
  <c r="F48"/>
  <c r="F13"/>
  <c r="F169"/>
  <c r="F139"/>
  <c r="F104"/>
  <c r="E224"/>
  <c r="H63"/>
  <c r="H53"/>
  <c r="H18"/>
  <c r="H159"/>
  <c r="G214"/>
  <c r="G73"/>
  <c r="G58"/>
  <c r="G48"/>
  <c r="G13"/>
  <c r="G169"/>
  <c r="G139"/>
  <c r="F219"/>
  <c r="F249"/>
  <c r="F224"/>
  <c r="G87" i="44"/>
  <c r="H486" i="23" s="1"/>
  <c r="H28"/>
  <c r="H43"/>
  <c r="H8"/>
  <c r="H129"/>
  <c r="F269"/>
  <c r="F63"/>
  <c r="F38"/>
  <c r="F18"/>
  <c r="F129"/>
  <c r="E209"/>
  <c r="H33"/>
  <c r="H149"/>
  <c r="G219"/>
  <c r="G38"/>
  <c r="G129"/>
  <c r="F209"/>
  <c r="F43"/>
  <c r="F23"/>
  <c r="F149"/>
  <c r="F134"/>
  <c r="D87" i="44"/>
  <c r="E486" i="23" s="1"/>
  <c r="C82" i="44"/>
  <c r="C87" s="1"/>
  <c r="D486" i="23" s="1"/>
  <c r="B82" i="44"/>
  <c r="B87" s="1"/>
  <c r="D42" i="21"/>
  <c r="C60"/>
  <c r="D60" s="1"/>
  <c r="C57"/>
  <c r="D57" s="1"/>
  <c r="D39"/>
  <c r="C49"/>
  <c r="D31"/>
  <c r="E65"/>
  <c r="C141" i="23"/>
  <c r="D141" s="1"/>
  <c r="E141" s="1"/>
  <c r="F141" s="1"/>
  <c r="G141" s="1"/>
  <c r="H141" s="1"/>
  <c r="I141" s="1"/>
  <c r="J141" s="1"/>
  <c r="K141" s="1"/>
  <c r="L141" s="1"/>
  <c r="M141" s="1"/>
  <c r="N141" s="1"/>
  <c r="D45"/>
  <c r="E45" s="1"/>
  <c r="F45" s="1"/>
  <c r="G45" s="1"/>
  <c r="H45" s="1"/>
  <c r="I45" s="1"/>
  <c r="J45" s="1"/>
  <c r="K45" s="1"/>
  <c r="L45" s="1"/>
  <c r="M45" s="1"/>
  <c r="N45" s="1"/>
  <c r="G4" i="26"/>
  <c r="F16"/>
  <c r="F258" i="43"/>
  <c r="F213"/>
  <c r="E263"/>
  <c r="E73" i="23"/>
  <c r="E74" s="1"/>
  <c r="E48"/>
  <c r="E49" s="1"/>
  <c r="E23"/>
  <c r="E24" s="1"/>
  <c r="E13"/>
  <c r="E14" s="1"/>
  <c r="D219"/>
  <c r="D264"/>
  <c r="D214"/>
  <c r="D28"/>
  <c r="D53"/>
  <c r="D33"/>
  <c r="D8"/>
  <c r="D144"/>
  <c r="D114"/>
  <c r="C73"/>
  <c r="C74" s="1"/>
  <c r="C38"/>
  <c r="C39" s="1"/>
  <c r="C8"/>
  <c r="C9" s="1"/>
  <c r="F36" i="21"/>
  <c r="C181" i="23" s="1"/>
  <c r="D181" s="1"/>
  <c r="E181" s="1"/>
  <c r="F181" s="1"/>
  <c r="G181" s="1"/>
  <c r="H181" s="1"/>
  <c r="I181" s="1"/>
  <c r="J181" s="1"/>
  <c r="K181" s="1"/>
  <c r="L181" s="1"/>
  <c r="M181" s="1"/>
  <c r="N181" s="1"/>
  <c r="C139"/>
  <c r="C134"/>
  <c r="D46" i="21"/>
  <c r="C64"/>
  <c r="D64" s="1"/>
  <c r="C63"/>
  <c r="D63" s="1"/>
  <c r="D45"/>
  <c r="C43"/>
  <c r="D25"/>
  <c r="D26"/>
  <c r="C44"/>
  <c r="D10" i="23"/>
  <c r="E10" s="1"/>
  <c r="F10" s="1"/>
  <c r="G10" s="1"/>
  <c r="H10" s="1"/>
  <c r="I10" s="1"/>
  <c r="J10" s="1"/>
  <c r="K10" s="1"/>
  <c r="L10" s="1"/>
  <c r="M10" s="1"/>
  <c r="N10" s="1"/>
  <c r="C106"/>
  <c r="D106" s="1"/>
  <c r="E106" s="1"/>
  <c r="F106" s="1"/>
  <c r="G106" s="1"/>
  <c r="H106" s="1"/>
  <c r="I106" s="1"/>
  <c r="J106" s="1"/>
  <c r="K106" s="1"/>
  <c r="L106" s="1"/>
  <c r="M106" s="1"/>
  <c r="N106" s="1"/>
  <c r="E258" i="43"/>
  <c r="E248"/>
  <c r="E169" i="23"/>
  <c r="E149"/>
  <c r="E129"/>
  <c r="D269"/>
  <c r="D274"/>
  <c r="D159"/>
  <c r="C43"/>
  <c r="C44" s="1"/>
  <c r="C13"/>
  <c r="C14" s="1"/>
  <c r="C144"/>
  <c r="G6" i="26"/>
  <c r="C166" i="23"/>
  <c r="D166" s="1"/>
  <c r="E166" s="1"/>
  <c r="F166" s="1"/>
  <c r="G166" s="1"/>
  <c r="H166" s="1"/>
  <c r="I166" s="1"/>
  <c r="J166" s="1"/>
  <c r="K166" s="1"/>
  <c r="L166" s="1"/>
  <c r="M166" s="1"/>
  <c r="N166" s="1"/>
  <c r="D70"/>
  <c r="E70" s="1"/>
  <c r="F70" s="1"/>
  <c r="G70" s="1"/>
  <c r="H70" s="1"/>
  <c r="I70" s="1"/>
  <c r="J70" s="1"/>
  <c r="K70" s="1"/>
  <c r="L70" s="1"/>
  <c r="M70" s="1"/>
  <c r="N70" s="1"/>
  <c r="C48" i="21"/>
  <c r="D30"/>
  <c r="C136" i="23"/>
  <c r="D136" s="1"/>
  <c r="E136" s="1"/>
  <c r="F136" s="1"/>
  <c r="G136" s="1"/>
  <c r="H136" s="1"/>
  <c r="I136" s="1"/>
  <c r="J136" s="1"/>
  <c r="K136" s="1"/>
  <c r="L136" s="1"/>
  <c r="M136" s="1"/>
  <c r="N136" s="1"/>
  <c r="D40"/>
  <c r="E40" s="1"/>
  <c r="F40" s="1"/>
  <c r="G40" s="1"/>
  <c r="H40" s="1"/>
  <c r="I40" s="1"/>
  <c r="J40" s="1"/>
  <c r="K40" s="1"/>
  <c r="L40" s="1"/>
  <c r="M40" s="1"/>
  <c r="N40" s="1"/>
  <c r="C116"/>
  <c r="D116" s="1"/>
  <c r="E116" s="1"/>
  <c r="F116" s="1"/>
  <c r="G116" s="1"/>
  <c r="H116" s="1"/>
  <c r="I116" s="1"/>
  <c r="J116" s="1"/>
  <c r="K116" s="1"/>
  <c r="L116" s="1"/>
  <c r="M116" s="1"/>
  <c r="N116" s="1"/>
  <c r="D20"/>
  <c r="E20" s="1"/>
  <c r="F20" s="1"/>
  <c r="G20" s="1"/>
  <c r="H20" s="1"/>
  <c r="I20" s="1"/>
  <c r="J20" s="1"/>
  <c r="K20" s="1"/>
  <c r="L20" s="1"/>
  <c r="M20" s="1"/>
  <c r="N20" s="1"/>
  <c r="F263" i="43"/>
  <c r="F228"/>
  <c r="F203"/>
  <c r="E238"/>
  <c r="E58" i="23"/>
  <c r="E59" s="1"/>
  <c r="E38"/>
  <c r="E39" s="1"/>
  <c r="D249"/>
  <c r="D224"/>
  <c r="D209"/>
  <c r="D63"/>
  <c r="D43"/>
  <c r="D18"/>
  <c r="D134"/>
  <c r="C28"/>
  <c r="C29" s="1"/>
  <c r="C48"/>
  <c r="C49" s="1"/>
  <c r="E213" i="43"/>
  <c r="E273"/>
  <c r="E203"/>
  <c r="E228"/>
  <c r="E268"/>
  <c r="D25" i="23"/>
  <c r="E25" s="1"/>
  <c r="F25" s="1"/>
  <c r="G25" s="1"/>
  <c r="H25" s="1"/>
  <c r="I25" s="1"/>
  <c r="J25" s="1"/>
  <c r="K25" s="1"/>
  <c r="L25" s="1"/>
  <c r="M25" s="1"/>
  <c r="N25" s="1"/>
  <c r="C121"/>
  <c r="D121" s="1"/>
  <c r="E121" s="1"/>
  <c r="F121" s="1"/>
  <c r="G121" s="1"/>
  <c r="H121" s="1"/>
  <c r="I121" s="1"/>
  <c r="J121" s="1"/>
  <c r="K121" s="1"/>
  <c r="L121" s="1"/>
  <c r="M121" s="1"/>
  <c r="N121" s="1"/>
  <c r="F238" i="43"/>
  <c r="E139" i="23"/>
  <c r="D259"/>
  <c r="D229"/>
  <c r="D204"/>
  <c r="D124"/>
  <c r="C58"/>
  <c r="C59" s="1"/>
  <c r="C159"/>
  <c r="C109"/>
  <c r="C104"/>
  <c r="F16" i="25"/>
  <c r="C238" i="43"/>
  <c r="C208"/>
  <c r="D238"/>
  <c r="C268"/>
  <c r="D54" i="21"/>
  <c r="C273" i="43"/>
  <c r="C34" i="21"/>
  <c r="C58"/>
  <c r="D58" s="1"/>
  <c r="C228" i="43"/>
  <c r="C213"/>
  <c r="D35" i="26" l="1"/>
  <c r="R19"/>
  <c r="Q13" i="47"/>
  <c r="P24"/>
  <c r="P35" s="1"/>
  <c r="I19" i="25"/>
  <c r="D26"/>
  <c r="F17" i="21"/>
  <c r="C80" i="23" s="1"/>
  <c r="D80" s="1"/>
  <c r="E80" s="1"/>
  <c r="F80" s="1"/>
  <c r="G80" s="1"/>
  <c r="H80" s="1"/>
  <c r="I80" s="1"/>
  <c r="J80" s="1"/>
  <c r="K80" s="1"/>
  <c r="L80" s="1"/>
  <c r="M80" s="1"/>
  <c r="N80" s="1"/>
  <c r="C80" i="22"/>
  <c r="D80" s="1"/>
  <c r="E80" s="1"/>
  <c r="F80" s="1"/>
  <c r="G80" s="1"/>
  <c r="H80" s="1"/>
  <c r="I80" s="1"/>
  <c r="J80" s="1"/>
  <c r="K80" s="1"/>
  <c r="L80" s="1"/>
  <c r="M80" s="1"/>
  <c r="N80" s="1"/>
  <c r="F35" i="21"/>
  <c r="C176" i="23" s="1"/>
  <c r="D176" s="1"/>
  <c r="E176" s="1"/>
  <c r="F176" s="1"/>
  <c r="G176" s="1"/>
  <c r="H176" s="1"/>
  <c r="I176" s="1"/>
  <c r="J176" s="1"/>
  <c r="K176" s="1"/>
  <c r="L176" s="1"/>
  <c r="M176" s="1"/>
  <c r="N176" s="1"/>
  <c r="C176" i="22"/>
  <c r="D176" s="1"/>
  <c r="E176" s="1"/>
  <c r="F176" s="1"/>
  <c r="G176" s="1"/>
  <c r="H176" s="1"/>
  <c r="I176" s="1"/>
  <c r="J176" s="1"/>
  <c r="K176" s="1"/>
  <c r="L176" s="1"/>
  <c r="M176" s="1"/>
  <c r="N176" s="1"/>
  <c r="F22" i="21"/>
  <c r="C111" i="23" s="1"/>
  <c r="D111" s="1"/>
  <c r="E111" s="1"/>
  <c r="F111" s="1"/>
  <c r="G111" s="1"/>
  <c r="H111" s="1"/>
  <c r="I111" s="1"/>
  <c r="J111" s="1"/>
  <c r="K111" s="1"/>
  <c r="L111" s="1"/>
  <c r="M111" s="1"/>
  <c r="N111" s="1"/>
  <c r="C111" i="22"/>
  <c r="D111" s="1"/>
  <c r="E111" s="1"/>
  <c r="F111" s="1"/>
  <c r="G111" s="1"/>
  <c r="H111" s="1"/>
  <c r="I111" s="1"/>
  <c r="J111" s="1"/>
  <c r="K111" s="1"/>
  <c r="L111" s="1"/>
  <c r="M111" s="1"/>
  <c r="N111" s="1"/>
  <c r="F29" i="21"/>
  <c r="C146" i="23" s="1"/>
  <c r="D146" s="1"/>
  <c r="E146" s="1"/>
  <c r="F146" s="1"/>
  <c r="G146" s="1"/>
  <c r="H146" s="1"/>
  <c r="I146" s="1"/>
  <c r="J146" s="1"/>
  <c r="K146" s="1"/>
  <c r="L146" s="1"/>
  <c r="M146" s="1"/>
  <c r="N146" s="1"/>
  <c r="C146" i="22"/>
  <c r="D146" s="1"/>
  <c r="E146" s="1"/>
  <c r="F146" s="1"/>
  <c r="G146" s="1"/>
  <c r="H146" s="1"/>
  <c r="I146" s="1"/>
  <c r="J146" s="1"/>
  <c r="K146" s="1"/>
  <c r="L146" s="1"/>
  <c r="M146" s="1"/>
  <c r="N146" s="1"/>
  <c r="Q37" i="47"/>
  <c r="N37" i="26"/>
  <c r="H87" i="44"/>
  <c r="I486" i="23" s="1"/>
  <c r="R37" i="25"/>
  <c r="D30" i="26"/>
  <c r="M19"/>
  <c r="P19" i="25"/>
  <c r="P39" s="1"/>
  <c r="D33"/>
  <c r="C51" i="21"/>
  <c r="D33"/>
  <c r="F33" s="1"/>
  <c r="D31" i="26"/>
  <c r="N19"/>
  <c r="D32" i="21"/>
  <c r="C50"/>
  <c r="D53"/>
  <c r="C71"/>
  <c r="D71" s="1"/>
  <c r="C106" i="22"/>
  <c r="D106" s="1"/>
  <c r="E106" s="1"/>
  <c r="F106" s="1"/>
  <c r="G106" s="1"/>
  <c r="H106" s="1"/>
  <c r="I106" s="1"/>
  <c r="J106" s="1"/>
  <c r="K106" s="1"/>
  <c r="L106" s="1"/>
  <c r="M106" s="1"/>
  <c r="N106" s="1"/>
  <c r="D10"/>
  <c r="E10" s="1"/>
  <c r="F10" s="1"/>
  <c r="G10" s="1"/>
  <c r="H10" s="1"/>
  <c r="I10" s="1"/>
  <c r="J10" s="1"/>
  <c r="K10" s="1"/>
  <c r="L10" s="1"/>
  <c r="M10" s="1"/>
  <c r="N10" s="1"/>
  <c r="F40" i="21"/>
  <c r="C205" i="23" s="1"/>
  <c r="D205" s="1"/>
  <c r="E205" s="1"/>
  <c r="F205" s="1"/>
  <c r="G205" s="1"/>
  <c r="H205" s="1"/>
  <c r="I205" s="1"/>
  <c r="J205" s="1"/>
  <c r="K205" s="1"/>
  <c r="L205" s="1"/>
  <c r="M205" s="1"/>
  <c r="C205" i="22"/>
  <c r="D205" s="1"/>
  <c r="E205" s="1"/>
  <c r="F205" s="1"/>
  <c r="G205" s="1"/>
  <c r="H205" s="1"/>
  <c r="I205" s="1"/>
  <c r="J205" s="1"/>
  <c r="K205" s="1"/>
  <c r="L205" s="1"/>
  <c r="M205" s="1"/>
  <c r="N205" s="1"/>
  <c r="C65" i="21"/>
  <c r="D65" s="1"/>
  <c r="D47"/>
  <c r="D206" i="22"/>
  <c r="D207" s="1"/>
  <c r="L206" i="23"/>
  <c r="L207" s="1"/>
  <c r="D27" i="26"/>
  <c r="J19"/>
  <c r="M19" i="25"/>
  <c r="D30"/>
  <c r="C50" i="22"/>
  <c r="D50" s="1"/>
  <c r="E50" s="1"/>
  <c r="F50" s="1"/>
  <c r="G50" s="1"/>
  <c r="H50" s="1"/>
  <c r="I50" s="1"/>
  <c r="J50" s="1"/>
  <c r="K50" s="1"/>
  <c r="L50" s="1"/>
  <c r="M50" s="1"/>
  <c r="N50" s="1"/>
  <c r="F11" i="21"/>
  <c r="C50" i="23" s="1"/>
  <c r="D50" s="1"/>
  <c r="E50" s="1"/>
  <c r="F50" s="1"/>
  <c r="G50" s="1"/>
  <c r="H50" s="1"/>
  <c r="I50" s="1"/>
  <c r="J50" s="1"/>
  <c r="K50" s="1"/>
  <c r="L50" s="1"/>
  <c r="M50" s="1"/>
  <c r="N50" s="1"/>
  <c r="D26" i="26"/>
  <c r="I19"/>
  <c r="Q19" i="25"/>
  <c r="D34"/>
  <c r="F72" i="21"/>
  <c r="C369" i="23" s="1"/>
  <c r="D369" s="1"/>
  <c r="E369" s="1"/>
  <c r="F369" s="1"/>
  <c r="G369" s="1"/>
  <c r="H369" s="1"/>
  <c r="I369" s="1"/>
  <c r="J369" s="1"/>
  <c r="K369" s="1"/>
  <c r="L369" s="1"/>
  <c r="M369" s="1"/>
  <c r="N369" s="1"/>
  <c r="N370" s="1"/>
  <c r="N371" s="1"/>
  <c r="C369" i="22"/>
  <c r="D369" s="1"/>
  <c r="E369" s="1"/>
  <c r="F369" s="1"/>
  <c r="G369" s="1"/>
  <c r="H369" s="1"/>
  <c r="I369" s="1"/>
  <c r="J369" s="1"/>
  <c r="K369" s="1"/>
  <c r="L369" s="1"/>
  <c r="M369" s="1"/>
  <c r="N369" s="1"/>
  <c r="K370" i="23"/>
  <c r="K371" s="1"/>
  <c r="I206" i="22"/>
  <c r="I207" s="1"/>
  <c r="M37" i="26"/>
  <c r="Q35" i="25"/>
  <c r="J206" i="23"/>
  <c r="J207" s="1"/>
  <c r="J37" i="26"/>
  <c r="L206" i="22"/>
  <c r="L207" s="1"/>
  <c r="L87" i="44"/>
  <c r="M486" i="23" s="1"/>
  <c r="N41" i="25"/>
  <c r="H19"/>
  <c r="D25"/>
  <c r="L19"/>
  <c r="D29"/>
  <c r="C41" i="21"/>
  <c r="D23"/>
  <c r="F23" s="1"/>
  <c r="M206" i="22"/>
  <c r="M207" s="1"/>
  <c r="N206"/>
  <c r="N207" s="1"/>
  <c r="N370"/>
  <c r="N371" s="1"/>
  <c r="H206" i="23"/>
  <c r="H207" s="1"/>
  <c r="E41"/>
  <c r="C16"/>
  <c r="C41"/>
  <c r="E16"/>
  <c r="C61"/>
  <c r="C31"/>
  <c r="C11"/>
  <c r="C90"/>
  <c r="E76"/>
  <c r="H280" i="43"/>
  <c r="E284" i="41"/>
  <c r="E282"/>
  <c r="E484"/>
  <c r="E287"/>
  <c r="O169" i="43"/>
  <c r="F93"/>
  <c r="F91"/>
  <c r="F481"/>
  <c r="C51" i="23"/>
  <c r="E51"/>
  <c r="E61"/>
  <c r="C46"/>
  <c r="C76"/>
  <c r="E26"/>
  <c r="E481" i="41"/>
  <c r="E490" s="1"/>
  <c r="E91"/>
  <c r="E93"/>
  <c r="N375" i="22"/>
  <c r="N374" s="1"/>
  <c r="O134" i="43"/>
  <c r="O159"/>
  <c r="M375" i="23"/>
  <c r="M374" s="1"/>
  <c r="E273"/>
  <c r="E274" s="1"/>
  <c r="E273" i="22"/>
  <c r="E274" s="1"/>
  <c r="F203" i="23"/>
  <c r="F204" s="1"/>
  <c r="F203" i="22"/>
  <c r="F204" s="1"/>
  <c r="F206" s="1"/>
  <c r="F207" s="1"/>
  <c r="F58" i="21"/>
  <c r="C299" i="23" s="1"/>
  <c r="D299" s="1"/>
  <c r="E299" s="1"/>
  <c r="F299" s="1"/>
  <c r="G299" s="1"/>
  <c r="H299" s="1"/>
  <c r="I299" s="1"/>
  <c r="J299" s="1"/>
  <c r="K299" s="1"/>
  <c r="L299" s="1"/>
  <c r="M299" s="1"/>
  <c r="N299" s="1"/>
  <c r="C299" i="22"/>
  <c r="D299" s="1"/>
  <c r="E299" s="1"/>
  <c r="F299" s="1"/>
  <c r="G299" s="1"/>
  <c r="H299" s="1"/>
  <c r="I299" s="1"/>
  <c r="J299" s="1"/>
  <c r="K299" s="1"/>
  <c r="L299" s="1"/>
  <c r="M299" s="1"/>
  <c r="N299" s="1"/>
  <c r="F54" i="21"/>
  <c r="C275" i="23" s="1"/>
  <c r="D275" s="1"/>
  <c r="E275" s="1"/>
  <c r="F275" s="1"/>
  <c r="G275" s="1"/>
  <c r="H275" s="1"/>
  <c r="I275" s="1"/>
  <c r="J275" s="1"/>
  <c r="K275" s="1"/>
  <c r="L275" s="1"/>
  <c r="C275" i="22"/>
  <c r="D275" s="1"/>
  <c r="E275" s="1"/>
  <c r="F275" s="1"/>
  <c r="G275" s="1"/>
  <c r="H275" s="1"/>
  <c r="I275" s="1"/>
  <c r="J275" s="1"/>
  <c r="K275" s="1"/>
  <c r="L275" s="1"/>
  <c r="M275" s="1"/>
  <c r="N275" s="1"/>
  <c r="N276" s="1"/>
  <c r="N277" s="1"/>
  <c r="C238" i="23"/>
  <c r="C238" i="22"/>
  <c r="E203" i="23"/>
  <c r="E204" s="1"/>
  <c r="E203" i="22"/>
  <c r="E204" s="1"/>
  <c r="E206" s="1"/>
  <c r="E207" s="1"/>
  <c r="E238" i="23"/>
  <c r="E239" s="1"/>
  <c r="E238" i="22"/>
  <c r="E239" s="1"/>
  <c r="F30" i="21"/>
  <c r="C151" i="23" s="1"/>
  <c r="D151" s="1"/>
  <c r="E151" s="1"/>
  <c r="F151" s="1"/>
  <c r="G151" s="1"/>
  <c r="H151" s="1"/>
  <c r="I151" s="1"/>
  <c r="J151" s="1"/>
  <c r="K151" s="1"/>
  <c r="L151" s="1"/>
  <c r="M151" s="1"/>
  <c r="N151" s="1"/>
  <c r="C151" i="22"/>
  <c r="D151" s="1"/>
  <c r="E151" s="1"/>
  <c r="F151" s="1"/>
  <c r="G151" s="1"/>
  <c r="H151" s="1"/>
  <c r="I151" s="1"/>
  <c r="J151" s="1"/>
  <c r="K151" s="1"/>
  <c r="L151" s="1"/>
  <c r="M151" s="1"/>
  <c r="N151" s="1"/>
  <c r="Q6" i="26"/>
  <c r="I24"/>
  <c r="I35" s="1"/>
  <c r="H6"/>
  <c r="E258" i="23"/>
  <c r="E259" s="1"/>
  <c r="E258" i="22"/>
  <c r="E259" s="1"/>
  <c r="F26" i="21"/>
  <c r="C131" i="23" s="1"/>
  <c r="D131" s="1"/>
  <c r="E131" s="1"/>
  <c r="F131" s="1"/>
  <c r="G131" s="1"/>
  <c r="H131" s="1"/>
  <c r="I131" s="1"/>
  <c r="J131" s="1"/>
  <c r="K131" s="1"/>
  <c r="L131" s="1"/>
  <c r="M131" s="1"/>
  <c r="N131" s="1"/>
  <c r="C131" i="22"/>
  <c r="D131" s="1"/>
  <c r="E131" s="1"/>
  <c r="F131" s="1"/>
  <c r="G131" s="1"/>
  <c r="H131" s="1"/>
  <c r="I131" s="1"/>
  <c r="J131" s="1"/>
  <c r="K131" s="1"/>
  <c r="L131" s="1"/>
  <c r="M131" s="1"/>
  <c r="N131" s="1"/>
  <c r="F63" i="21"/>
  <c r="C324" i="23" s="1"/>
  <c r="D324" s="1"/>
  <c r="E324" s="1"/>
  <c r="F324" s="1"/>
  <c r="G324" s="1"/>
  <c r="H324" s="1"/>
  <c r="I324" s="1"/>
  <c r="J324" s="1"/>
  <c r="K324" s="1"/>
  <c r="L324" s="1"/>
  <c r="M324" s="1"/>
  <c r="N324" s="1"/>
  <c r="C324" i="22"/>
  <c r="D324" s="1"/>
  <c r="E324" s="1"/>
  <c r="F324" s="1"/>
  <c r="G324" s="1"/>
  <c r="H324" s="1"/>
  <c r="I324" s="1"/>
  <c r="J324" s="1"/>
  <c r="K324" s="1"/>
  <c r="L324" s="1"/>
  <c r="M324" s="1"/>
  <c r="N324" s="1"/>
  <c r="N325" s="1"/>
  <c r="N326" s="1"/>
  <c r="F213" i="23"/>
  <c r="F214" s="1"/>
  <c r="F213" i="22"/>
  <c r="F214" s="1"/>
  <c r="F31" i="21"/>
  <c r="C156" i="23" s="1"/>
  <c r="D156" s="1"/>
  <c r="E156" s="1"/>
  <c r="F156" s="1"/>
  <c r="G156" s="1"/>
  <c r="H156" s="1"/>
  <c r="I156" s="1"/>
  <c r="J156" s="1"/>
  <c r="K156" s="1"/>
  <c r="L156" s="1"/>
  <c r="M156" s="1"/>
  <c r="N156" s="1"/>
  <c r="C156" i="22"/>
  <c r="D156" s="1"/>
  <c r="E156" s="1"/>
  <c r="F156" s="1"/>
  <c r="G156" s="1"/>
  <c r="H156" s="1"/>
  <c r="I156" s="1"/>
  <c r="J156" s="1"/>
  <c r="K156" s="1"/>
  <c r="L156" s="1"/>
  <c r="M156" s="1"/>
  <c r="N156" s="1"/>
  <c r="F60" i="21"/>
  <c r="C309" i="23" s="1"/>
  <c r="D309" s="1"/>
  <c r="E309" s="1"/>
  <c r="F309" s="1"/>
  <c r="G309" s="1"/>
  <c r="H309" s="1"/>
  <c r="I309" s="1"/>
  <c r="J309" s="1"/>
  <c r="K309" s="1"/>
  <c r="L309" s="1"/>
  <c r="M309" s="1"/>
  <c r="N309" s="1"/>
  <c r="C309" i="22"/>
  <c r="D309" s="1"/>
  <c r="E309" s="1"/>
  <c r="F309" s="1"/>
  <c r="G309" s="1"/>
  <c r="H309" s="1"/>
  <c r="I309" s="1"/>
  <c r="J309" s="1"/>
  <c r="K309" s="1"/>
  <c r="L309" s="1"/>
  <c r="M309" s="1"/>
  <c r="N309" s="1"/>
  <c r="Q5" i="26"/>
  <c r="H5"/>
  <c r="H24"/>
  <c r="H35" s="1"/>
  <c r="C86" i="23"/>
  <c r="C21"/>
  <c r="J375"/>
  <c r="J374" s="1"/>
  <c r="N375"/>
  <c r="N374" s="1"/>
  <c r="G47" i="25"/>
  <c r="R16"/>
  <c r="V4"/>
  <c r="H281" i="23"/>
  <c r="H280" s="1"/>
  <c r="J199" i="22"/>
  <c r="J214"/>
  <c r="J234"/>
  <c r="J244"/>
  <c r="J254"/>
  <c r="J219"/>
  <c r="E66" i="23"/>
  <c r="E36"/>
  <c r="C370"/>
  <c r="I47" i="25"/>
  <c r="V6"/>
  <c r="I67" s="1"/>
  <c r="C325" i="22"/>
  <c r="C300"/>
  <c r="M293"/>
  <c r="M298"/>
  <c r="M300" s="1"/>
  <c r="M301" s="1"/>
  <c r="M308"/>
  <c r="M310" s="1"/>
  <c r="M311" s="1"/>
  <c r="M303"/>
  <c r="M318"/>
  <c r="M323"/>
  <c r="M325" s="1"/>
  <c r="M326" s="1"/>
  <c r="M328"/>
  <c r="M333"/>
  <c r="M338"/>
  <c r="M343"/>
  <c r="M348"/>
  <c r="M358"/>
  <c r="M368"/>
  <c r="M370" s="1"/>
  <c r="M371" s="1"/>
  <c r="M353"/>
  <c r="M313"/>
  <c r="M363"/>
  <c r="P47" i="25"/>
  <c r="V13"/>
  <c r="P67" s="1"/>
  <c r="Q9"/>
  <c r="H9"/>
  <c r="L24"/>
  <c r="L35" s="1"/>
  <c r="Q7"/>
  <c r="J24"/>
  <c r="J35" s="1"/>
  <c r="H7"/>
  <c r="M47" i="26"/>
  <c r="V10"/>
  <c r="M67" s="1"/>
  <c r="Q8"/>
  <c r="H8"/>
  <c r="K24"/>
  <c r="K35" s="1"/>
  <c r="S30"/>
  <c r="G41"/>
  <c r="S30" i="25"/>
  <c r="G41"/>
  <c r="V11" i="47"/>
  <c r="N67" s="1"/>
  <c r="N47"/>
  <c r="N57" s="1"/>
  <c r="V6"/>
  <c r="I67" s="1"/>
  <c r="I47"/>
  <c r="U11"/>
  <c r="N45"/>
  <c r="N55" s="1"/>
  <c r="R24"/>
  <c r="R35" s="1"/>
  <c r="H15"/>
  <c r="Q15"/>
  <c r="E404" i="41"/>
  <c r="E123"/>
  <c r="H309"/>
  <c r="G310"/>
  <c r="Q10" i="25"/>
  <c r="M24"/>
  <c r="M35" s="1"/>
  <c r="H10"/>
  <c r="K47"/>
  <c r="V8"/>
  <c r="K67" s="1"/>
  <c r="I333" i="22"/>
  <c r="I343"/>
  <c r="I358"/>
  <c r="I353"/>
  <c r="I298"/>
  <c r="I300" s="1"/>
  <c r="I301" s="1"/>
  <c r="I328"/>
  <c r="I338"/>
  <c r="I363"/>
  <c r="I293"/>
  <c r="I308"/>
  <c r="I310" s="1"/>
  <c r="I311" s="1"/>
  <c r="I318"/>
  <c r="I348"/>
  <c r="I313"/>
  <c r="I368"/>
  <c r="I370" s="1"/>
  <c r="I371" s="1"/>
  <c r="I303"/>
  <c r="I323"/>
  <c r="I325" s="1"/>
  <c r="I326" s="1"/>
  <c r="H8" i="47"/>
  <c r="K24"/>
  <c r="K35" s="1"/>
  <c r="Q8"/>
  <c r="H12"/>
  <c r="O24"/>
  <c r="O35" s="1"/>
  <c r="Q12"/>
  <c r="G81" i="41"/>
  <c r="H80"/>
  <c r="R45" i="25"/>
  <c r="U15"/>
  <c r="D481" i="41"/>
  <c r="D490" s="1"/>
  <c r="D91"/>
  <c r="D93"/>
  <c r="N47" i="26"/>
  <c r="V11"/>
  <c r="N67" s="1"/>
  <c r="H49" i="25"/>
  <c r="T16"/>
  <c r="F464" i="41"/>
  <c r="F87"/>
  <c r="I296" i="43"/>
  <c r="L166" i="41"/>
  <c r="K167"/>
  <c r="K168" s="1"/>
  <c r="I121"/>
  <c r="H122"/>
  <c r="F413"/>
  <c r="F415"/>
  <c r="H235"/>
  <c r="G236"/>
  <c r="I455"/>
  <c r="I453"/>
  <c r="J455"/>
  <c r="J453"/>
  <c r="F122" i="43"/>
  <c r="F402"/>
  <c r="K91"/>
  <c r="K93"/>
  <c r="K481"/>
  <c r="J422"/>
  <c r="J442"/>
  <c r="H178"/>
  <c r="H212"/>
  <c r="H227"/>
  <c r="H277"/>
  <c r="M305"/>
  <c r="M306" s="1"/>
  <c r="M397"/>
  <c r="O328"/>
  <c r="G330"/>
  <c r="G422"/>
  <c r="G345"/>
  <c r="O343"/>
  <c r="G437"/>
  <c r="K457"/>
  <c r="F438" i="41"/>
  <c r="F440"/>
  <c r="C408"/>
  <c r="C410"/>
  <c r="D423"/>
  <c r="D425"/>
  <c r="K390"/>
  <c r="K388"/>
  <c r="N388"/>
  <c r="N390"/>
  <c r="C455"/>
  <c r="O454"/>
  <c r="M393"/>
  <c r="M395"/>
  <c r="D397" i="43"/>
  <c r="D117"/>
  <c r="D107"/>
  <c r="D187"/>
  <c r="D186" s="1"/>
  <c r="D387"/>
  <c r="N281" i="22"/>
  <c r="N280" s="1"/>
  <c r="J440" i="41"/>
  <c r="J438"/>
  <c r="N440"/>
  <c r="N438"/>
  <c r="N409"/>
  <c r="N222"/>
  <c r="F395"/>
  <c r="F393"/>
  <c r="I369"/>
  <c r="H370"/>
  <c r="H371" s="1"/>
  <c r="M455"/>
  <c r="M453"/>
  <c r="O180" i="43"/>
  <c r="F182"/>
  <c r="F183" s="1"/>
  <c r="H481"/>
  <c r="H91"/>
  <c r="H93"/>
  <c r="L397"/>
  <c r="L422"/>
  <c r="L442"/>
  <c r="N452"/>
  <c r="K392"/>
  <c r="K375"/>
  <c r="K374" s="1"/>
  <c r="I412"/>
  <c r="I330"/>
  <c r="I331" s="1"/>
  <c r="I422"/>
  <c r="I334"/>
  <c r="J334" s="1"/>
  <c r="H335"/>
  <c r="H336" s="1"/>
  <c r="M345"/>
  <c r="M346" s="1"/>
  <c r="M437"/>
  <c r="G441"/>
  <c r="G461"/>
  <c r="G451"/>
  <c r="G431"/>
  <c r="L391"/>
  <c r="I401"/>
  <c r="G438" i="41"/>
  <c r="G440"/>
  <c r="J415"/>
  <c r="J413"/>
  <c r="C443"/>
  <c r="C445"/>
  <c r="K408"/>
  <c r="K410"/>
  <c r="D485"/>
  <c r="D376"/>
  <c r="D378"/>
  <c r="D381"/>
  <c r="H126" i="43"/>
  <c r="G127"/>
  <c r="G133"/>
  <c r="G163"/>
  <c r="C435"/>
  <c r="C433"/>
  <c r="C173"/>
  <c r="C454"/>
  <c r="L386"/>
  <c r="I270"/>
  <c r="H271"/>
  <c r="H272" s="1"/>
  <c r="H351"/>
  <c r="D433"/>
  <c r="D435"/>
  <c r="D247"/>
  <c r="F309"/>
  <c r="E310"/>
  <c r="D366"/>
  <c r="D459"/>
  <c r="E133"/>
  <c r="K354"/>
  <c r="J355"/>
  <c r="J356" s="1"/>
  <c r="F113"/>
  <c r="I117"/>
  <c r="J116"/>
  <c r="C395"/>
  <c r="C393"/>
  <c r="L225"/>
  <c r="K226"/>
  <c r="K227" s="1"/>
  <c r="L260"/>
  <c r="K261"/>
  <c r="K262" s="1"/>
  <c r="D421"/>
  <c r="H147"/>
  <c r="I146"/>
  <c r="G173"/>
  <c r="D237"/>
  <c r="D321"/>
  <c r="E386"/>
  <c r="E470"/>
  <c r="E469" s="1"/>
  <c r="E475"/>
  <c r="E474" s="1"/>
  <c r="G153"/>
  <c r="F386"/>
  <c r="C158"/>
  <c r="C439"/>
  <c r="K294"/>
  <c r="J295"/>
  <c r="M324"/>
  <c r="N324" s="1"/>
  <c r="N325" s="1"/>
  <c r="N326" s="1"/>
  <c r="L325"/>
  <c r="L326" s="1"/>
  <c r="BO91" i="30"/>
  <c r="D471"/>
  <c r="BO92"/>
  <c r="D472"/>
  <c r="F513"/>
  <c r="E519"/>
  <c r="F519" s="1"/>
  <c r="E762"/>
  <c r="F756"/>
  <c r="E556"/>
  <c r="F556" s="1"/>
  <c r="F508" s="1"/>
  <c r="F553"/>
  <c r="E973"/>
  <c r="F969"/>
  <c r="F1198"/>
  <c r="F276" i="23"/>
  <c r="F277" s="1"/>
  <c r="F325"/>
  <c r="F326" s="1"/>
  <c r="E300"/>
  <c r="E301" s="1"/>
  <c r="G300"/>
  <c r="G301" s="1"/>
  <c r="K325"/>
  <c r="K326" s="1"/>
  <c r="K300"/>
  <c r="K301" s="1"/>
  <c r="I276" i="22"/>
  <c r="I277" s="1"/>
  <c r="J249"/>
  <c r="J229"/>
  <c r="J276" i="23"/>
  <c r="J277" s="1"/>
  <c r="K249"/>
  <c r="G239"/>
  <c r="G229"/>
  <c r="G224"/>
  <c r="M310"/>
  <c r="M311" s="1"/>
  <c r="K274"/>
  <c r="K276" s="1"/>
  <c r="K277" s="1"/>
  <c r="K269"/>
  <c r="K264"/>
  <c r="K259"/>
  <c r="K209"/>
  <c r="K204"/>
  <c r="K206" s="1"/>
  <c r="K207" s="1"/>
  <c r="S26" i="25"/>
  <c r="H59" i="47"/>
  <c r="F310" i="41"/>
  <c r="F167"/>
  <c r="F168" s="1"/>
  <c r="M87" i="44"/>
  <c r="N486" i="23" s="1"/>
  <c r="E87" i="44"/>
  <c r="F486" i="23" s="1"/>
  <c r="C42" i="45"/>
  <c r="D487" i="23" s="1"/>
  <c r="K42" i="45"/>
  <c r="L487" i="23" s="1"/>
  <c r="F42" i="45"/>
  <c r="G487" i="23" s="1"/>
  <c r="B42" i="45"/>
  <c r="G256" i="41"/>
  <c r="E365"/>
  <c r="O131"/>
  <c r="O273" i="43"/>
  <c r="I42" i="45"/>
  <c r="J487" i="23" s="1"/>
  <c r="E246" i="43"/>
  <c r="E247" s="1"/>
  <c r="C107"/>
  <c r="C137"/>
  <c r="O318"/>
  <c r="K406"/>
  <c r="K182"/>
  <c r="G386"/>
  <c r="D328" i="30"/>
  <c r="D1057"/>
  <c r="D1094" s="1"/>
  <c r="BJ369"/>
  <c r="F442"/>
  <c r="F394" s="1"/>
  <c r="D666"/>
  <c r="F1062"/>
  <c r="D638"/>
  <c r="C5" i="34"/>
  <c r="C6" s="1"/>
  <c r="D36" i="25"/>
  <c r="C228" i="23"/>
  <c r="C228" i="22"/>
  <c r="C208" i="23"/>
  <c r="C208" i="22"/>
  <c r="E248" i="23"/>
  <c r="E249" s="1"/>
  <c r="E248" i="22"/>
  <c r="E249" s="1"/>
  <c r="D44" i="21"/>
  <c r="C62"/>
  <c r="D62" s="1"/>
  <c r="F45"/>
  <c r="C230" i="23" s="1"/>
  <c r="D230" s="1"/>
  <c r="E230" s="1"/>
  <c r="F230" s="1"/>
  <c r="G230" s="1"/>
  <c r="H230" s="1"/>
  <c r="I230" s="1"/>
  <c r="J230" s="1"/>
  <c r="K230" s="1"/>
  <c r="L230" s="1"/>
  <c r="C230" i="22"/>
  <c r="D230" s="1"/>
  <c r="E230" s="1"/>
  <c r="F230" s="1"/>
  <c r="G230" s="1"/>
  <c r="H230" s="1"/>
  <c r="I230" s="1"/>
  <c r="J230" s="1"/>
  <c r="K230" s="1"/>
  <c r="L230" s="1"/>
  <c r="M230" s="1"/>
  <c r="N230" s="1"/>
  <c r="E263" i="23"/>
  <c r="E264" s="1"/>
  <c r="E263" i="22"/>
  <c r="E264" s="1"/>
  <c r="Q4" i="26"/>
  <c r="H4"/>
  <c r="G24"/>
  <c r="G16"/>
  <c r="F57" i="21"/>
  <c r="C294" i="23" s="1"/>
  <c r="D294" s="1"/>
  <c r="E294" s="1"/>
  <c r="F294" s="1"/>
  <c r="G294" s="1"/>
  <c r="H294" s="1"/>
  <c r="I294" s="1"/>
  <c r="J294" s="1"/>
  <c r="K294" s="1"/>
  <c r="L294" s="1"/>
  <c r="M294" s="1"/>
  <c r="N294" s="1"/>
  <c r="N295" s="1"/>
  <c r="C294" i="22"/>
  <c r="D294" s="1"/>
  <c r="E294" s="1"/>
  <c r="F294" s="1"/>
  <c r="G294" s="1"/>
  <c r="H294" s="1"/>
  <c r="I294" s="1"/>
  <c r="J294" s="1"/>
  <c r="K294" s="1"/>
  <c r="L294" s="1"/>
  <c r="M294" s="1"/>
  <c r="N294" s="1"/>
  <c r="N295" s="1"/>
  <c r="H47" i="26"/>
  <c r="R16"/>
  <c r="V5"/>
  <c r="C56" i="23"/>
  <c r="C26"/>
  <c r="Q5" i="25"/>
  <c r="H5"/>
  <c r="H24"/>
  <c r="H35" s="1"/>
  <c r="Q14" i="26"/>
  <c r="Q24"/>
  <c r="Q35" s="1"/>
  <c r="H14"/>
  <c r="E375" i="23"/>
  <c r="E374" s="1"/>
  <c r="I375"/>
  <c r="I374" s="1"/>
  <c r="L281"/>
  <c r="L280" s="1"/>
  <c r="E81"/>
  <c r="E86"/>
  <c r="E56"/>
  <c r="J281"/>
  <c r="J280" s="1"/>
  <c r="N281"/>
  <c r="N280" s="1"/>
  <c r="C310" i="22"/>
  <c r="Q45" i="25"/>
  <c r="U14"/>
  <c r="K395" i="41"/>
  <c r="K393"/>
  <c r="Q13" i="25"/>
  <c r="H13"/>
  <c r="P24"/>
  <c r="P35" s="1"/>
  <c r="N47"/>
  <c r="V11"/>
  <c r="N67" s="1"/>
  <c r="G333" i="22"/>
  <c r="G343"/>
  <c r="G358"/>
  <c r="G353"/>
  <c r="G298"/>
  <c r="G300" s="1"/>
  <c r="G301" s="1"/>
  <c r="G328"/>
  <c r="G338"/>
  <c r="G363"/>
  <c r="G293"/>
  <c r="G308"/>
  <c r="G310" s="1"/>
  <c r="G311" s="1"/>
  <c r="G318"/>
  <c r="G348"/>
  <c r="G313"/>
  <c r="G368"/>
  <c r="G370" s="1"/>
  <c r="G371" s="1"/>
  <c r="G303"/>
  <c r="G323"/>
  <c r="G325" s="1"/>
  <c r="G326" s="1"/>
  <c r="N7"/>
  <c r="R57" i="25"/>
  <c r="K47" i="26"/>
  <c r="V8"/>
  <c r="K67" s="1"/>
  <c r="H49"/>
  <c r="T16"/>
  <c r="L291" i="23"/>
  <c r="P59" i="26"/>
  <c r="G199" i="23"/>
  <c r="G234"/>
  <c r="G244"/>
  <c r="G254"/>
  <c r="J293" i="22"/>
  <c r="J308"/>
  <c r="J310" s="1"/>
  <c r="J311" s="1"/>
  <c r="J318"/>
  <c r="J348"/>
  <c r="J313"/>
  <c r="J333"/>
  <c r="J343"/>
  <c r="J358"/>
  <c r="J353"/>
  <c r="J303"/>
  <c r="J323"/>
  <c r="J325" s="1"/>
  <c r="J326" s="1"/>
  <c r="J368"/>
  <c r="J370" s="1"/>
  <c r="J371" s="1"/>
  <c r="J338"/>
  <c r="J363"/>
  <c r="J298"/>
  <c r="J300" s="1"/>
  <c r="J301" s="1"/>
  <c r="J328"/>
  <c r="G199"/>
  <c r="G234"/>
  <c r="G244"/>
  <c r="G254"/>
  <c r="G6" i="47"/>
  <c r="I19"/>
  <c r="P47"/>
  <c r="P57" s="1"/>
  <c r="V13"/>
  <c r="P67" s="1"/>
  <c r="V4"/>
  <c r="R16"/>
  <c r="G47"/>
  <c r="V15"/>
  <c r="R67" s="1"/>
  <c r="R47"/>
  <c r="R57" s="1"/>
  <c r="G364" i="41"/>
  <c r="F365"/>
  <c r="F366" s="1"/>
  <c r="M7" i="22"/>
  <c r="Q57" i="25"/>
  <c r="Q8"/>
  <c r="H8"/>
  <c r="K24"/>
  <c r="K35" s="1"/>
  <c r="O37" i="47"/>
  <c r="O57"/>
  <c r="F82" i="41"/>
  <c r="F459"/>
  <c r="Q9" i="26"/>
  <c r="H9"/>
  <c r="L24"/>
  <c r="L35" s="1"/>
  <c r="J47"/>
  <c r="V7"/>
  <c r="J67" s="1"/>
  <c r="S28" i="25"/>
  <c r="H39"/>
  <c r="L281" i="22"/>
  <c r="L280" s="1"/>
  <c r="D449" i="41"/>
  <c r="D168"/>
  <c r="G123"/>
  <c r="G404"/>
  <c r="G405" s="1"/>
  <c r="L438"/>
  <c r="L440"/>
  <c r="E237"/>
  <c r="E424"/>
  <c r="G453"/>
  <c r="G455"/>
  <c r="F404"/>
  <c r="F123"/>
  <c r="H136" i="43"/>
  <c r="G137"/>
  <c r="I91"/>
  <c r="I93"/>
  <c r="I481"/>
  <c r="L412"/>
  <c r="L475" s="1"/>
  <c r="L474" s="1"/>
  <c r="L432"/>
  <c r="L452"/>
  <c r="I305"/>
  <c r="I306" s="1"/>
  <c r="I397"/>
  <c r="K325"/>
  <c r="K326" s="1"/>
  <c r="K417"/>
  <c r="K427"/>
  <c r="O363"/>
  <c r="G457"/>
  <c r="I433"/>
  <c r="I431"/>
  <c r="C448" i="41"/>
  <c r="C450"/>
  <c r="H393"/>
  <c r="H395"/>
  <c r="J395"/>
  <c r="J393"/>
  <c r="L413"/>
  <c r="L415"/>
  <c r="G390"/>
  <c r="G388"/>
  <c r="K443"/>
  <c r="K445"/>
  <c r="F453"/>
  <c r="F455"/>
  <c r="O130" i="43"/>
  <c r="D132"/>
  <c r="D412"/>
  <c r="D112"/>
  <c r="O110"/>
  <c r="D392"/>
  <c r="E393" i="41"/>
  <c r="E395"/>
  <c r="L409"/>
  <c r="L222"/>
  <c r="N424"/>
  <c r="N237"/>
  <c r="E251" i="43"/>
  <c r="F250"/>
  <c r="N93"/>
  <c r="N91"/>
  <c r="N481"/>
  <c r="H117"/>
  <c r="H397"/>
  <c r="H142"/>
  <c r="H422"/>
  <c r="H162"/>
  <c r="H442"/>
  <c r="J452"/>
  <c r="O203"/>
  <c r="O238"/>
  <c r="O268"/>
  <c r="O228"/>
  <c r="O263"/>
  <c r="G392"/>
  <c r="G375"/>
  <c r="O298"/>
  <c r="M325"/>
  <c r="M326" s="1"/>
  <c r="M417"/>
  <c r="M427"/>
  <c r="I345"/>
  <c r="I346" s="1"/>
  <c r="I437"/>
  <c r="J391"/>
  <c r="G401"/>
  <c r="N415" i="41"/>
  <c r="N413"/>
  <c r="C284"/>
  <c r="C282"/>
  <c r="C287"/>
  <c r="C484"/>
  <c r="D388"/>
  <c r="D390"/>
  <c r="E388"/>
  <c r="E390"/>
  <c r="D393"/>
  <c r="D395"/>
  <c r="E128" i="43"/>
  <c r="J131"/>
  <c r="K131" s="1"/>
  <c r="I132"/>
  <c r="E431"/>
  <c r="K369"/>
  <c r="J370"/>
  <c r="J371" s="1"/>
  <c r="C465"/>
  <c r="C463"/>
  <c r="I121"/>
  <c r="H122"/>
  <c r="O200"/>
  <c r="O198"/>
  <c r="I216"/>
  <c r="I217" s="1"/>
  <c r="J215"/>
  <c r="G272"/>
  <c r="M391"/>
  <c r="M329"/>
  <c r="N329" s="1"/>
  <c r="N330" s="1"/>
  <c r="N331" s="1"/>
  <c r="L330"/>
  <c r="L331" s="1"/>
  <c r="I156"/>
  <c r="H157"/>
  <c r="D217"/>
  <c r="D222"/>
  <c r="D409"/>
  <c r="G339"/>
  <c r="F340"/>
  <c r="E113"/>
  <c r="E394"/>
  <c r="E395" s="1"/>
  <c r="E444"/>
  <c r="E445" s="1"/>
  <c r="E163"/>
  <c r="H111"/>
  <c r="G112"/>
  <c r="G118"/>
  <c r="O85"/>
  <c r="O83"/>
  <c r="C415"/>
  <c r="C413"/>
  <c r="C148"/>
  <c r="C429"/>
  <c r="N202"/>
  <c r="J240"/>
  <c r="I241"/>
  <c r="G411"/>
  <c r="G148"/>
  <c r="J171"/>
  <c r="K171" s="1"/>
  <c r="I172"/>
  <c r="D91"/>
  <c r="D481"/>
  <c r="D93"/>
  <c r="D377"/>
  <c r="D301"/>
  <c r="D361"/>
  <c r="J151"/>
  <c r="K151" s="1"/>
  <c r="I152"/>
  <c r="O154"/>
  <c r="H296"/>
  <c r="BO87" i="30"/>
  <c r="D467"/>
  <c r="E1075"/>
  <c r="F1075" s="1"/>
  <c r="F1069"/>
  <c r="BL319"/>
  <c r="BK325"/>
  <c r="BL325" s="1"/>
  <c r="E630"/>
  <c r="F624"/>
  <c r="F1023"/>
  <c r="I1023"/>
  <c r="D752"/>
  <c r="F748"/>
  <c r="J325" i="23"/>
  <c r="J326" s="1"/>
  <c r="J300"/>
  <c r="J301" s="1"/>
  <c r="N325"/>
  <c r="N326" s="1"/>
  <c r="N300"/>
  <c r="N301" s="1"/>
  <c r="E310"/>
  <c r="E311" s="1"/>
  <c r="F276" i="22"/>
  <c r="F277" s="1"/>
  <c r="G310" i="23"/>
  <c r="G311" s="1"/>
  <c r="K310"/>
  <c r="K311" s="1"/>
  <c r="J274" i="22"/>
  <c r="J276" s="1"/>
  <c r="J277" s="1"/>
  <c r="J264"/>
  <c r="K249"/>
  <c r="G239"/>
  <c r="G229"/>
  <c r="G231" s="1"/>
  <c r="G232" s="1"/>
  <c r="G224"/>
  <c r="J204"/>
  <c r="J206" s="1"/>
  <c r="J207" s="1"/>
  <c r="K274"/>
  <c r="K276" s="1"/>
  <c r="K277" s="1"/>
  <c r="K269"/>
  <c r="K264"/>
  <c r="K259"/>
  <c r="K209"/>
  <c r="K204"/>
  <c r="K206" s="1"/>
  <c r="K207" s="1"/>
  <c r="N300"/>
  <c r="N301" s="1"/>
  <c r="S26" i="26"/>
  <c r="H276" i="23"/>
  <c r="H277" s="1"/>
  <c r="I231"/>
  <c r="I232" s="1"/>
  <c r="F236" i="41"/>
  <c r="M78" i="44"/>
  <c r="N486" i="22" s="1"/>
  <c r="C37" i="45"/>
  <c r="D487" i="22" s="1"/>
  <c r="K37" i="45"/>
  <c r="L487" i="22" s="1"/>
  <c r="E167" i="41"/>
  <c r="E168" s="1"/>
  <c r="D470"/>
  <c r="D469" s="1"/>
  <c r="B78" i="44"/>
  <c r="F37" i="45"/>
  <c r="G487" i="22" s="1"/>
  <c r="B37" i="45"/>
  <c r="O339" i="41"/>
  <c r="I37" i="45"/>
  <c r="J487" i="22" s="1"/>
  <c r="M386" i="43"/>
  <c r="O115"/>
  <c r="K446"/>
  <c r="E91"/>
  <c r="O105"/>
  <c r="G464"/>
  <c r="O223"/>
  <c r="F137"/>
  <c r="O213"/>
  <c r="O218"/>
  <c r="E137"/>
  <c r="O248"/>
  <c r="F107"/>
  <c r="O243"/>
  <c r="F328" i="30"/>
  <c r="F281" s="1"/>
  <c r="BL343"/>
  <c r="F638"/>
  <c r="D890"/>
  <c r="F1057"/>
  <c r="C268" i="23"/>
  <c r="C268" i="22"/>
  <c r="C273" i="23"/>
  <c r="C273" i="22"/>
  <c r="F238" i="23"/>
  <c r="F239" s="1"/>
  <c r="F238" i="22"/>
  <c r="F239" s="1"/>
  <c r="E228" i="23"/>
  <c r="E229" s="1"/>
  <c r="E231" s="1"/>
  <c r="E232" s="1"/>
  <c r="E228" i="22"/>
  <c r="E229" s="1"/>
  <c r="E231" s="1"/>
  <c r="E232" s="1"/>
  <c r="F263" i="23"/>
  <c r="F264" s="1"/>
  <c r="F263" i="22"/>
  <c r="F264" s="1"/>
  <c r="C213" i="23"/>
  <c r="C213" i="22"/>
  <c r="C52" i="21"/>
  <c r="D34"/>
  <c r="D238" i="23"/>
  <c r="D239" s="1"/>
  <c r="D238" i="22"/>
  <c r="D239" s="1"/>
  <c r="E268" i="23"/>
  <c r="E269" s="1"/>
  <c r="E268" i="22"/>
  <c r="E269" s="1"/>
  <c r="E213" i="23"/>
  <c r="E214" s="1"/>
  <c r="E213" i="22"/>
  <c r="E214" s="1"/>
  <c r="F228" i="23"/>
  <c r="F229" s="1"/>
  <c r="F231" s="1"/>
  <c r="F232" s="1"/>
  <c r="F228" i="22"/>
  <c r="F229" s="1"/>
  <c r="F231" s="1"/>
  <c r="F232" s="1"/>
  <c r="C61" i="21"/>
  <c r="D61" s="1"/>
  <c r="D43"/>
  <c r="F46"/>
  <c r="C235" i="23" s="1"/>
  <c r="D235" s="1"/>
  <c r="E235" s="1"/>
  <c r="F235" s="1"/>
  <c r="G235" s="1"/>
  <c r="H235" s="1"/>
  <c r="I235" s="1"/>
  <c r="J235" s="1"/>
  <c r="K235" s="1"/>
  <c r="L235" s="1"/>
  <c r="M235" s="1"/>
  <c r="N235" s="1"/>
  <c r="C235" i="22"/>
  <c r="D235" s="1"/>
  <c r="E235" s="1"/>
  <c r="F235" s="1"/>
  <c r="G235" s="1"/>
  <c r="H235" s="1"/>
  <c r="I235" s="1"/>
  <c r="J235" s="1"/>
  <c r="K235" s="1"/>
  <c r="L235" s="1"/>
  <c r="M235" s="1"/>
  <c r="N235" s="1"/>
  <c r="N236" s="1"/>
  <c r="N237" s="1"/>
  <c r="D5" i="34"/>
  <c r="D6" s="1"/>
  <c r="D36" i="26"/>
  <c r="F39" i="21"/>
  <c r="C200" i="23" s="1"/>
  <c r="D200" s="1"/>
  <c r="E200" s="1"/>
  <c r="F200" s="1"/>
  <c r="G200" s="1"/>
  <c r="H200" s="1"/>
  <c r="I200" s="1"/>
  <c r="J200" s="1"/>
  <c r="K200" s="1"/>
  <c r="L200" s="1"/>
  <c r="M200" s="1"/>
  <c r="N200" s="1"/>
  <c r="N201" s="1"/>
  <c r="C200" i="22"/>
  <c r="D200" s="1"/>
  <c r="E200" s="1"/>
  <c r="F200" s="1"/>
  <c r="G200" s="1"/>
  <c r="H200" s="1"/>
  <c r="I200" s="1"/>
  <c r="J200" s="1"/>
  <c r="K200" s="1"/>
  <c r="L200" s="1"/>
  <c r="M200" s="1"/>
  <c r="N200" s="1"/>
  <c r="N201" s="1"/>
  <c r="C486" i="23"/>
  <c r="R24" i="26"/>
  <c r="R35" s="1"/>
  <c r="Q15"/>
  <c r="H15"/>
  <c r="C71" i="23"/>
  <c r="C81"/>
  <c r="C36"/>
  <c r="H47" i="25"/>
  <c r="V5"/>
  <c r="H67" s="1"/>
  <c r="Q47" i="26"/>
  <c r="V14"/>
  <c r="Q67" s="1"/>
  <c r="E71" i="23"/>
  <c r="E31"/>
  <c r="E21"/>
  <c r="C300"/>
  <c r="H291" i="22"/>
  <c r="L59" i="25"/>
  <c r="Q7" i="47"/>
  <c r="J24"/>
  <c r="J35" s="1"/>
  <c r="H7"/>
  <c r="Q11" i="25"/>
  <c r="N24"/>
  <c r="N35" s="1"/>
  <c r="H11"/>
  <c r="O47" i="26"/>
  <c r="V12"/>
  <c r="O67" s="1"/>
  <c r="S28"/>
  <c r="H39"/>
  <c r="F16" i="47"/>
  <c r="D36" s="1"/>
  <c r="G19"/>
  <c r="G4"/>
  <c r="V7"/>
  <c r="J67" s="1"/>
  <c r="J47"/>
  <c r="J57" s="1"/>
  <c r="F71" i="41"/>
  <c r="G70"/>
  <c r="L444"/>
  <c r="L257"/>
  <c r="F201" i="22"/>
  <c r="O47" i="25"/>
  <c r="V12"/>
  <c r="O67" s="1"/>
  <c r="E293" i="22"/>
  <c r="E308"/>
  <c r="E310" s="1"/>
  <c r="E311" s="1"/>
  <c r="E318"/>
  <c r="E343"/>
  <c r="E363"/>
  <c r="E333"/>
  <c r="E368"/>
  <c r="E370" s="1"/>
  <c r="E371" s="1"/>
  <c r="E303"/>
  <c r="E323"/>
  <c r="E325" s="1"/>
  <c r="E326" s="1"/>
  <c r="E358"/>
  <c r="E353"/>
  <c r="E298"/>
  <c r="E300" s="1"/>
  <c r="E301" s="1"/>
  <c r="E328"/>
  <c r="E338"/>
  <c r="E313"/>
  <c r="E348"/>
  <c r="T16" i="47"/>
  <c r="G49"/>
  <c r="H10"/>
  <c r="M24"/>
  <c r="M35" s="1"/>
  <c r="Q10"/>
  <c r="H14"/>
  <c r="Q24"/>
  <c r="Q35" s="1"/>
  <c r="Q14"/>
  <c r="Q13" i="26"/>
  <c r="H13"/>
  <c r="P24"/>
  <c r="P35" s="1"/>
  <c r="L47"/>
  <c r="V9"/>
  <c r="L67" s="1"/>
  <c r="Q7"/>
  <c r="J24"/>
  <c r="J35" s="1"/>
  <c r="H7"/>
  <c r="L291" i="22"/>
  <c r="P59" i="25"/>
  <c r="E281" i="22"/>
  <c r="E280" s="1"/>
  <c r="I281"/>
  <c r="I280" s="1"/>
  <c r="E409" i="41"/>
  <c r="E222"/>
  <c r="K438"/>
  <c r="K440"/>
  <c r="G220"/>
  <c r="F221"/>
  <c r="N445"/>
  <c r="N443"/>
  <c r="C395"/>
  <c r="O394"/>
  <c r="C393"/>
  <c r="M435"/>
  <c r="M433"/>
  <c r="E444"/>
  <c r="E257"/>
  <c r="G91" i="43"/>
  <c r="G93"/>
  <c r="G481"/>
  <c r="H132"/>
  <c r="H412"/>
  <c r="H152"/>
  <c r="H432"/>
  <c r="H172"/>
  <c r="H452"/>
  <c r="N462"/>
  <c r="N182"/>
  <c r="O234"/>
  <c r="H262"/>
  <c r="I392"/>
  <c r="I375"/>
  <c r="I374" s="1"/>
  <c r="O323"/>
  <c r="G325"/>
  <c r="G417"/>
  <c r="O333"/>
  <c r="G335"/>
  <c r="G427"/>
  <c r="M431"/>
  <c r="M461"/>
  <c r="M451"/>
  <c r="M441"/>
  <c r="C438" i="41"/>
  <c r="C440"/>
  <c r="O439"/>
  <c r="D413"/>
  <c r="D415"/>
  <c r="D465"/>
  <c r="D463"/>
  <c r="N395"/>
  <c r="N393"/>
  <c r="K284"/>
  <c r="K282"/>
  <c r="K484"/>
  <c r="M287"/>
  <c r="M284"/>
  <c r="M282"/>
  <c r="M484"/>
  <c r="D122" i="43"/>
  <c r="D402"/>
  <c r="O120"/>
  <c r="M440" i="41"/>
  <c r="M438"/>
  <c r="I255"/>
  <c r="I256" s="1"/>
  <c r="H256"/>
  <c r="M257"/>
  <c r="M444"/>
  <c r="E178" i="43"/>
  <c r="C89"/>
  <c r="O90"/>
  <c r="L481"/>
  <c r="L91"/>
  <c r="L93"/>
  <c r="N187"/>
  <c r="N186" s="1"/>
  <c r="N387"/>
  <c r="N412"/>
  <c r="N432"/>
  <c r="L182"/>
  <c r="L462"/>
  <c r="K305"/>
  <c r="K306" s="1"/>
  <c r="K397"/>
  <c r="I325"/>
  <c r="I326" s="1"/>
  <c r="I417"/>
  <c r="I335"/>
  <c r="I336" s="1"/>
  <c r="I427"/>
  <c r="M457"/>
  <c r="H391"/>
  <c r="M401"/>
  <c r="M281" i="22"/>
  <c r="M280" s="1"/>
  <c r="D460" i="41"/>
  <c r="D458"/>
  <c r="G395"/>
  <c r="G393"/>
  <c r="C477"/>
  <c r="C390"/>
  <c r="C472"/>
  <c r="O389"/>
  <c r="C388"/>
  <c r="D173" i="43"/>
  <c r="D454"/>
  <c r="D455" s="1"/>
  <c r="F443"/>
  <c r="F445"/>
  <c r="C118"/>
  <c r="C399"/>
  <c r="C91"/>
  <c r="O92"/>
  <c r="O93" s="1"/>
  <c r="C93"/>
  <c r="C481"/>
  <c r="G123"/>
  <c r="H202"/>
  <c r="H231"/>
  <c r="H232" s="1"/>
  <c r="I230"/>
  <c r="G158"/>
  <c r="F220"/>
  <c r="E221"/>
  <c r="E222" s="1"/>
  <c r="D341"/>
  <c r="E391"/>
  <c r="E393"/>
  <c r="E441"/>
  <c r="E443"/>
  <c r="J176"/>
  <c r="I177"/>
  <c r="C186"/>
  <c r="C445"/>
  <c r="C443"/>
  <c r="I205"/>
  <c r="H206"/>
  <c r="H207" s="1"/>
  <c r="J265"/>
  <c r="I266"/>
  <c r="I267" s="1"/>
  <c r="I142"/>
  <c r="J141"/>
  <c r="K141" s="1"/>
  <c r="E143"/>
  <c r="O144"/>
  <c r="K411"/>
  <c r="G299"/>
  <c r="H299" s="1"/>
  <c r="F300"/>
  <c r="F394" s="1"/>
  <c r="E360"/>
  <c r="E361" s="1"/>
  <c r="F359"/>
  <c r="E451"/>
  <c r="J314"/>
  <c r="I315"/>
  <c r="BO86" i="30"/>
  <c r="D466"/>
  <c r="E918"/>
  <c r="G931" s="1"/>
  <c r="F214"/>
  <c r="E217"/>
  <c r="F217" s="1"/>
  <c r="F168" s="1"/>
  <c r="BN268"/>
  <c r="BL299"/>
  <c r="BL289"/>
  <c r="BM304" s="1"/>
  <c r="E1182"/>
  <c r="F1182" s="1"/>
  <c r="F1176"/>
  <c r="E752"/>
  <c r="F752" s="1"/>
  <c r="F749"/>
  <c r="D276" i="23"/>
  <c r="D277" s="1"/>
  <c r="D231" i="22"/>
  <c r="D232" s="1"/>
  <c r="J310" i="23"/>
  <c r="J311" s="1"/>
  <c r="N310"/>
  <c r="N311" s="1"/>
  <c r="E325"/>
  <c r="E326" s="1"/>
  <c r="I325"/>
  <c r="I326" s="1"/>
  <c r="I300"/>
  <c r="I301" s="1"/>
  <c r="D236"/>
  <c r="D237" s="1"/>
  <c r="F236"/>
  <c r="F237" s="1"/>
  <c r="N236"/>
  <c r="N237" s="1"/>
  <c r="J239" i="22"/>
  <c r="J224"/>
  <c r="L231"/>
  <c r="L232" s="1"/>
  <c r="M276"/>
  <c r="M277" s="1"/>
  <c r="D26" i="47"/>
  <c r="K239" i="23"/>
  <c r="K229"/>
  <c r="K231" s="1"/>
  <c r="K232" s="1"/>
  <c r="K224"/>
  <c r="L276" i="22"/>
  <c r="L277" s="1"/>
  <c r="G274" i="23"/>
  <c r="G276" s="1"/>
  <c r="G277" s="1"/>
  <c r="G269"/>
  <c r="G264"/>
  <c r="G259"/>
  <c r="H231"/>
  <c r="H232" s="1"/>
  <c r="G209"/>
  <c r="G204"/>
  <c r="G206" s="1"/>
  <c r="G207" s="1"/>
  <c r="N231" i="22"/>
  <c r="N232" s="1"/>
  <c r="N310"/>
  <c r="N311" s="1"/>
  <c r="S64" i="47"/>
  <c r="H276" i="22"/>
  <c r="H277" s="1"/>
  <c r="I231"/>
  <c r="I232" s="1"/>
  <c r="H216"/>
  <c r="H217" s="1"/>
  <c r="D189" i="41"/>
  <c r="L216" i="22"/>
  <c r="L217" s="1"/>
  <c r="O281" i="41"/>
  <c r="L283"/>
  <c r="G42" i="45"/>
  <c r="H487" i="23" s="1"/>
  <c r="J167" i="41"/>
  <c r="J168" s="1"/>
  <c r="F87" i="44"/>
  <c r="G486" i="23" s="1"/>
  <c r="J42" i="45"/>
  <c r="K487" i="23" s="1"/>
  <c r="G167" i="41"/>
  <c r="G168" s="1"/>
  <c r="E42" i="45"/>
  <c r="F487" i="23" s="1"/>
  <c r="M42" i="45"/>
  <c r="N487" i="23" s="1"/>
  <c r="O150" i="43"/>
  <c r="H187"/>
  <c r="H186" s="1"/>
  <c r="L281"/>
  <c r="L280" s="1"/>
  <c r="G446"/>
  <c r="E340"/>
  <c r="E341" s="1"/>
  <c r="M182"/>
  <c r="J330"/>
  <c r="J331" s="1"/>
  <c r="F462"/>
  <c r="O164"/>
  <c r="N281"/>
  <c r="N280" s="1"/>
  <c r="G406"/>
  <c r="L305"/>
  <c r="L306" s="1"/>
  <c r="M446"/>
  <c r="O140"/>
  <c r="E107"/>
  <c r="I464"/>
  <c r="G720" i="30"/>
  <c r="G602"/>
  <c r="F666"/>
  <c r="G829"/>
  <c r="F847"/>
  <c r="D744"/>
  <c r="F744" s="1"/>
  <c r="F887"/>
  <c r="F890" s="1"/>
  <c r="F842" s="1"/>
  <c r="F918"/>
  <c r="G381"/>
  <c r="H381" s="1"/>
  <c r="F1065"/>
  <c r="C66" i="21"/>
  <c r="D66" s="1"/>
  <c r="D48"/>
  <c r="F25"/>
  <c r="C126" i="23" s="1"/>
  <c r="D126" s="1"/>
  <c r="E126" s="1"/>
  <c r="F126" s="1"/>
  <c r="G126" s="1"/>
  <c r="H126" s="1"/>
  <c r="I126" s="1"/>
  <c r="J126" s="1"/>
  <c r="K126" s="1"/>
  <c r="L126" s="1"/>
  <c r="M126" s="1"/>
  <c r="N126" s="1"/>
  <c r="C126" i="22"/>
  <c r="D126" s="1"/>
  <c r="E126" s="1"/>
  <c r="F126" s="1"/>
  <c r="G126" s="1"/>
  <c r="H126" s="1"/>
  <c r="I126" s="1"/>
  <c r="J126" s="1"/>
  <c r="K126" s="1"/>
  <c r="L126" s="1"/>
  <c r="M126" s="1"/>
  <c r="N126" s="1"/>
  <c r="F64" i="21"/>
  <c r="C329" i="23" s="1"/>
  <c r="D329" s="1"/>
  <c r="E329" s="1"/>
  <c r="F329" s="1"/>
  <c r="G329" s="1"/>
  <c r="H329" s="1"/>
  <c r="I329" s="1"/>
  <c r="J329" s="1"/>
  <c r="K329" s="1"/>
  <c r="L329" s="1"/>
  <c r="M329" s="1"/>
  <c r="N329" s="1"/>
  <c r="N330" s="1"/>
  <c r="N331" s="1"/>
  <c r="C329" i="22"/>
  <c r="D329" s="1"/>
  <c r="E329" s="1"/>
  <c r="F329" s="1"/>
  <c r="G329" s="1"/>
  <c r="H329" s="1"/>
  <c r="I329" s="1"/>
  <c r="J329" s="1"/>
  <c r="K329" s="1"/>
  <c r="L329" s="1"/>
  <c r="M329" s="1"/>
  <c r="N329" s="1"/>
  <c r="N330" s="1"/>
  <c r="N331" s="1"/>
  <c r="F258" i="23"/>
  <c r="F259" s="1"/>
  <c r="F258" i="22"/>
  <c r="F259" s="1"/>
  <c r="D49" i="21"/>
  <c r="C67"/>
  <c r="D67" s="1"/>
  <c r="F42"/>
  <c r="C215" i="23" s="1"/>
  <c r="D215" s="1"/>
  <c r="E215" s="1"/>
  <c r="F215" s="1"/>
  <c r="G215" s="1"/>
  <c r="H215" s="1"/>
  <c r="I215" s="1"/>
  <c r="J215" s="1"/>
  <c r="K215" s="1"/>
  <c r="L215" s="1"/>
  <c r="M215" s="1"/>
  <c r="N215" s="1"/>
  <c r="N216" s="1"/>
  <c r="N217" s="1"/>
  <c r="C215" i="22"/>
  <c r="D215" s="1"/>
  <c r="E215" s="1"/>
  <c r="F215" s="1"/>
  <c r="G215" s="1"/>
  <c r="H215" s="1"/>
  <c r="I215" s="1"/>
  <c r="J215" s="1"/>
  <c r="K215" s="1"/>
  <c r="L215" s="1"/>
  <c r="M215" s="1"/>
  <c r="N215" s="1"/>
  <c r="N216" s="1"/>
  <c r="N217" s="1"/>
  <c r="R47" i="26"/>
  <c r="V15"/>
  <c r="R67" s="1"/>
  <c r="C66" i="23"/>
  <c r="F295"/>
  <c r="F375"/>
  <c r="F374" s="1"/>
  <c r="I201"/>
  <c r="I281"/>
  <c r="I280" s="1"/>
  <c r="M201"/>
  <c r="M281"/>
  <c r="M280" s="1"/>
  <c r="Q4" i="25"/>
  <c r="H4"/>
  <c r="G24"/>
  <c r="G16"/>
  <c r="E46" i="23"/>
  <c r="E11"/>
  <c r="E90"/>
  <c r="E89" s="1"/>
  <c r="C295"/>
  <c r="C375"/>
  <c r="C310"/>
  <c r="G295"/>
  <c r="G375"/>
  <c r="G374" s="1"/>
  <c r="K295"/>
  <c r="K375"/>
  <c r="K374" s="1"/>
  <c r="Q6" i="25"/>
  <c r="I24"/>
  <c r="I35" s="1"/>
  <c r="H6"/>
  <c r="C370" i="22"/>
  <c r="C295"/>
  <c r="C375"/>
  <c r="V5" i="47"/>
  <c r="H67" s="1"/>
  <c r="H47"/>
  <c r="H57" s="1"/>
  <c r="L47" i="25"/>
  <c r="V9"/>
  <c r="L67" s="1"/>
  <c r="J47"/>
  <c r="V7"/>
  <c r="J67" s="1"/>
  <c r="K298" i="22"/>
  <c r="K300" s="1"/>
  <c r="K301" s="1"/>
  <c r="K328"/>
  <c r="K330" s="1"/>
  <c r="K331" s="1"/>
  <c r="K338"/>
  <c r="K363"/>
  <c r="K303"/>
  <c r="K323"/>
  <c r="K325" s="1"/>
  <c r="K326" s="1"/>
  <c r="K368"/>
  <c r="K370" s="1"/>
  <c r="K371" s="1"/>
  <c r="K333"/>
  <c r="K343"/>
  <c r="K358"/>
  <c r="K353"/>
  <c r="K293"/>
  <c r="K308"/>
  <c r="K310" s="1"/>
  <c r="K311" s="1"/>
  <c r="K318"/>
  <c r="K313"/>
  <c r="K348"/>
  <c r="D201"/>
  <c r="D281"/>
  <c r="D280" s="1"/>
  <c r="H201"/>
  <c r="H281"/>
  <c r="H280" s="1"/>
  <c r="Q12" i="26"/>
  <c r="H12"/>
  <c r="O24"/>
  <c r="O35" s="1"/>
  <c r="Q10"/>
  <c r="M24"/>
  <c r="M35" s="1"/>
  <c r="H10"/>
  <c r="H291" i="23"/>
  <c r="L59" i="26"/>
  <c r="G51"/>
  <c r="S16"/>
  <c r="K199" i="23"/>
  <c r="K234"/>
  <c r="K236" s="1"/>
  <c r="K237" s="1"/>
  <c r="K244"/>
  <c r="K254"/>
  <c r="K219"/>
  <c r="F323" i="22"/>
  <c r="F325" s="1"/>
  <c r="F326" s="1"/>
  <c r="F333"/>
  <c r="F368"/>
  <c r="F370" s="1"/>
  <c r="F371" s="1"/>
  <c r="F298"/>
  <c r="F300" s="1"/>
  <c r="F301" s="1"/>
  <c r="F303"/>
  <c r="F338"/>
  <c r="F348"/>
  <c r="F353"/>
  <c r="F363"/>
  <c r="F293"/>
  <c r="F308"/>
  <c r="F310" s="1"/>
  <c r="F311" s="1"/>
  <c r="F343"/>
  <c r="F313"/>
  <c r="F318"/>
  <c r="F328"/>
  <c r="F330" s="1"/>
  <c r="F331" s="1"/>
  <c r="F358"/>
  <c r="G51" i="25"/>
  <c r="S16"/>
  <c r="K199" i="22"/>
  <c r="K234"/>
  <c r="K236" s="1"/>
  <c r="K237" s="1"/>
  <c r="K244"/>
  <c r="K254"/>
  <c r="K219"/>
  <c r="L47" i="47"/>
  <c r="L57" s="1"/>
  <c r="V9"/>
  <c r="L67" s="1"/>
  <c r="H5"/>
  <c r="H24"/>
  <c r="H35" s="1"/>
  <c r="Q5"/>
  <c r="E449" i="41"/>
  <c r="E72"/>
  <c r="C481"/>
  <c r="C93"/>
  <c r="C91"/>
  <c r="D444"/>
  <c r="D257"/>
  <c r="C403"/>
  <c r="O402"/>
  <c r="C475"/>
  <c r="C470"/>
  <c r="C401"/>
  <c r="Q12" i="25"/>
  <c r="H12"/>
  <c r="O24"/>
  <c r="O35" s="1"/>
  <c r="M47"/>
  <c r="V10"/>
  <c r="M67" s="1"/>
  <c r="P47" i="26"/>
  <c r="V13"/>
  <c r="P67" s="1"/>
  <c r="Q11"/>
  <c r="N24"/>
  <c r="N35" s="1"/>
  <c r="H11"/>
  <c r="H39" i="47"/>
  <c r="S28"/>
  <c r="G86" i="41"/>
  <c r="H85"/>
  <c r="C413"/>
  <c r="C415"/>
  <c r="O414"/>
  <c r="D438"/>
  <c r="D440"/>
  <c r="E463"/>
  <c r="E465"/>
  <c r="D409"/>
  <c r="D222"/>
  <c r="C485"/>
  <c r="C378"/>
  <c r="C376"/>
  <c r="O433"/>
  <c r="O431"/>
  <c r="F127" i="43"/>
  <c r="O125"/>
  <c r="F407"/>
  <c r="M91"/>
  <c r="M93"/>
  <c r="M481"/>
  <c r="N422"/>
  <c r="N442"/>
  <c r="J462"/>
  <c r="J182"/>
  <c r="K330"/>
  <c r="K331" s="1"/>
  <c r="K422"/>
  <c r="K345"/>
  <c r="K346" s="1"/>
  <c r="K437"/>
  <c r="I441"/>
  <c r="I461"/>
  <c r="I451"/>
  <c r="G413" i="41"/>
  <c r="G415"/>
  <c r="K413"/>
  <c r="K415"/>
  <c r="H390"/>
  <c r="L390"/>
  <c r="L388"/>
  <c r="M388"/>
  <c r="M390"/>
  <c r="N484"/>
  <c r="N287"/>
  <c r="N284"/>
  <c r="N282"/>
  <c r="E435"/>
  <c r="E433"/>
  <c r="D137" i="43"/>
  <c r="D417"/>
  <c r="M222" i="41"/>
  <c r="M409"/>
  <c r="I393"/>
  <c r="I395"/>
  <c r="F257"/>
  <c r="F444"/>
  <c r="M237"/>
  <c r="M424"/>
  <c r="E415"/>
  <c r="E413"/>
  <c r="C190"/>
  <c r="C483"/>
  <c r="C188"/>
  <c r="C482"/>
  <c r="C193"/>
  <c r="G107" i="43"/>
  <c r="H106"/>
  <c r="J93"/>
  <c r="J91"/>
  <c r="J481"/>
  <c r="J187"/>
  <c r="J186" s="1"/>
  <c r="J387"/>
  <c r="J132"/>
  <c r="J412"/>
  <c r="J152"/>
  <c r="J432"/>
  <c r="E167"/>
  <c r="F166"/>
  <c r="H182"/>
  <c r="H462"/>
  <c r="G305"/>
  <c r="O303"/>
  <c r="G397"/>
  <c r="M412"/>
  <c r="M475" s="1"/>
  <c r="M474" s="1"/>
  <c r="M330"/>
  <c r="M331" s="1"/>
  <c r="M422"/>
  <c r="I457"/>
  <c r="K451"/>
  <c r="K431"/>
  <c r="K441"/>
  <c r="K461"/>
  <c r="N391"/>
  <c r="K401"/>
  <c r="C458" i="41"/>
  <c r="C460"/>
  <c r="L393"/>
  <c r="L395"/>
  <c r="M415"/>
  <c r="M413"/>
  <c r="F388"/>
  <c r="F390"/>
  <c r="I388"/>
  <c r="I390"/>
  <c r="L423"/>
  <c r="L425"/>
  <c r="C465"/>
  <c r="C463"/>
  <c r="D453" i="43"/>
  <c r="D451"/>
  <c r="D284"/>
  <c r="D484"/>
  <c r="D282"/>
  <c r="E153"/>
  <c r="E434"/>
  <c r="E435" s="1"/>
  <c r="I162"/>
  <c r="J161"/>
  <c r="K161" s="1"/>
  <c r="O452"/>
  <c r="C451"/>
  <c r="C453"/>
  <c r="H386"/>
  <c r="H470"/>
  <c r="H469" s="1"/>
  <c r="L202"/>
  <c r="L210"/>
  <c r="K211"/>
  <c r="K212" s="1"/>
  <c r="G232"/>
  <c r="K349"/>
  <c r="J350"/>
  <c r="J351" s="1"/>
  <c r="E301"/>
  <c r="O182"/>
  <c r="O183" s="1"/>
  <c r="D183"/>
  <c r="G245"/>
  <c r="F246"/>
  <c r="F247" s="1"/>
  <c r="D311"/>
  <c r="E365"/>
  <c r="E366" s="1"/>
  <c r="F364"/>
  <c r="E411"/>
  <c r="G178"/>
  <c r="C386"/>
  <c r="C470"/>
  <c r="O387"/>
  <c r="C475"/>
  <c r="C282"/>
  <c r="C484"/>
  <c r="C284"/>
  <c r="G207"/>
  <c r="E464"/>
  <c r="E183"/>
  <c r="G143"/>
  <c r="E421"/>
  <c r="F87"/>
  <c r="F464"/>
  <c r="F465" s="1"/>
  <c r="J202"/>
  <c r="D143"/>
  <c r="D424"/>
  <c r="D425" s="1"/>
  <c r="D443"/>
  <c r="D445"/>
  <c r="E236"/>
  <c r="E237" s="1"/>
  <c r="F235"/>
  <c r="D267"/>
  <c r="F319"/>
  <c r="E320"/>
  <c r="E321" s="1"/>
  <c r="E173"/>
  <c r="E454"/>
  <c r="E455" s="1"/>
  <c r="H255"/>
  <c r="G256"/>
  <c r="C425"/>
  <c r="C423"/>
  <c r="L275"/>
  <c r="K276"/>
  <c r="K277" s="1"/>
  <c r="G603" i="30"/>
  <c r="I588"/>
  <c r="F588"/>
  <c r="G604" s="1"/>
  <c r="I706"/>
  <c r="F706"/>
  <c r="G722" s="1"/>
  <c r="G721"/>
  <c r="G830"/>
  <c r="I816"/>
  <c r="F816"/>
  <c r="G831" s="1"/>
  <c r="BO93"/>
  <c r="D473"/>
  <c r="BL329"/>
  <c r="BK339"/>
  <c r="BS96"/>
  <c r="BL101"/>
  <c r="D487" s="1"/>
  <c r="D648"/>
  <c r="F648" s="1"/>
  <c r="F642"/>
  <c r="E1091"/>
  <c r="F1087"/>
  <c r="G153"/>
  <c r="H153" s="1"/>
  <c r="H150"/>
  <c r="K476"/>
  <c r="G492"/>
  <c r="G493" s="1"/>
  <c r="D216" i="22"/>
  <c r="D217" s="1"/>
  <c r="D276"/>
  <c r="D277" s="1"/>
  <c r="F300" i="23"/>
  <c r="F301" s="1"/>
  <c r="F310"/>
  <c r="F311" s="1"/>
  <c r="E236"/>
  <c r="E237" s="1"/>
  <c r="E330"/>
  <c r="E331" s="1"/>
  <c r="I330"/>
  <c r="I331" s="1"/>
  <c r="I310"/>
  <c r="I311" s="1"/>
  <c r="L236"/>
  <c r="L237" s="1"/>
  <c r="J236"/>
  <c r="J237" s="1"/>
  <c r="M231" i="22"/>
  <c r="M232" s="1"/>
  <c r="I276" i="23"/>
  <c r="I277" s="1"/>
  <c r="J231"/>
  <c r="J232" s="1"/>
  <c r="J269" i="22"/>
  <c r="J259"/>
  <c r="K239"/>
  <c r="K229"/>
  <c r="K231" s="1"/>
  <c r="K232" s="1"/>
  <c r="K224"/>
  <c r="J209"/>
  <c r="M325" i="23"/>
  <c r="M326" s="1"/>
  <c r="M300"/>
  <c r="M301" s="1"/>
  <c r="F236" i="22"/>
  <c r="F237" s="1"/>
  <c r="G274"/>
  <c r="G276" s="1"/>
  <c r="G277" s="1"/>
  <c r="G269"/>
  <c r="G264"/>
  <c r="G259"/>
  <c r="H231"/>
  <c r="H232" s="1"/>
  <c r="G209"/>
  <c r="G204"/>
  <c r="G206" s="1"/>
  <c r="G207" s="1"/>
  <c r="S26" i="47"/>
  <c r="E236" i="22"/>
  <c r="E237" s="1"/>
  <c r="I236"/>
  <c r="I237" s="1"/>
  <c r="L470" i="41"/>
  <c r="L469" s="1"/>
  <c r="L236" i="22"/>
  <c r="L237" s="1"/>
  <c r="G37" i="45"/>
  <c r="H487" i="22" s="1"/>
  <c r="K57" i="47"/>
  <c r="H167" i="41"/>
  <c r="H168" s="1"/>
  <c r="E189"/>
  <c r="J37" i="45"/>
  <c r="K487" i="22" s="1"/>
  <c r="M236"/>
  <c r="M237" s="1"/>
  <c r="D283" i="41"/>
  <c r="K78" i="44"/>
  <c r="L486" i="22" s="1"/>
  <c r="E37" i="45"/>
  <c r="F487" i="22" s="1"/>
  <c r="M37" i="45"/>
  <c r="N487" i="22" s="1"/>
  <c r="L187" i="43"/>
  <c r="L186" s="1"/>
  <c r="O258"/>
  <c r="M375"/>
  <c r="M374" s="1"/>
  <c r="I406"/>
  <c r="O385"/>
  <c r="O446" s="1"/>
  <c r="I446"/>
  <c r="D464"/>
  <c r="F187"/>
  <c r="F186" s="1"/>
  <c r="O208"/>
  <c r="D762" i="30"/>
  <c r="D781" s="1"/>
  <c r="F778"/>
  <c r="E890"/>
  <c r="G932"/>
  <c r="E781"/>
  <c r="L41" i="25" l="1"/>
  <c r="L37"/>
  <c r="L39"/>
  <c r="J59" i="26"/>
  <c r="J41"/>
  <c r="J39"/>
  <c r="F71" i="21"/>
  <c r="C364" i="23" s="1"/>
  <c r="C364" i="22"/>
  <c r="N59" i="26"/>
  <c r="N41"/>
  <c r="N39"/>
  <c r="I37" i="25"/>
  <c r="I41"/>
  <c r="I39"/>
  <c r="I59"/>
  <c r="E201" i="22"/>
  <c r="G325" i="23"/>
  <c r="G326" s="1"/>
  <c r="E276"/>
  <c r="E277" s="1"/>
  <c r="E370"/>
  <c r="E371" s="1"/>
  <c r="G370"/>
  <c r="G371" s="1"/>
  <c r="I206"/>
  <c r="I207" s="1"/>
  <c r="H206" i="22"/>
  <c r="H207" s="1"/>
  <c r="M41" i="25"/>
  <c r="M39"/>
  <c r="M59"/>
  <c r="C334" i="22"/>
  <c r="F65" i="21"/>
  <c r="C334" i="23" s="1"/>
  <c r="F32" i="21"/>
  <c r="C161" i="23" s="1"/>
  <c r="D161" s="1"/>
  <c r="E161" s="1"/>
  <c r="F161" s="1"/>
  <c r="G161" s="1"/>
  <c r="H161" s="1"/>
  <c r="I161" s="1"/>
  <c r="J161" s="1"/>
  <c r="K161" s="1"/>
  <c r="L161" s="1"/>
  <c r="M161" s="1"/>
  <c r="N161" s="1"/>
  <c r="C161" i="22"/>
  <c r="D161" s="1"/>
  <c r="E161" s="1"/>
  <c r="F161" s="1"/>
  <c r="G161" s="1"/>
  <c r="H161" s="1"/>
  <c r="I161" s="1"/>
  <c r="J161" s="1"/>
  <c r="K161" s="1"/>
  <c r="L161" s="1"/>
  <c r="M161" s="1"/>
  <c r="N161" s="1"/>
  <c r="D51" i="21"/>
  <c r="C69"/>
  <c r="D69" s="1"/>
  <c r="R59" i="26"/>
  <c r="R39"/>
  <c r="R37"/>
  <c r="R41"/>
  <c r="S37" i="25"/>
  <c r="S41"/>
  <c r="D41" i="21"/>
  <c r="C59"/>
  <c r="D59" s="1"/>
  <c r="S19" i="25"/>
  <c r="H41"/>
  <c r="H37"/>
  <c r="I59" i="26"/>
  <c r="S19"/>
  <c r="S39" s="1"/>
  <c r="I41"/>
  <c r="I39"/>
  <c r="I57"/>
  <c r="I37"/>
  <c r="C240" i="22"/>
  <c r="D240" s="1"/>
  <c r="E240" s="1"/>
  <c r="F240" s="1"/>
  <c r="G240" s="1"/>
  <c r="H240" s="1"/>
  <c r="F47" i="21"/>
  <c r="C240" i="23" s="1"/>
  <c r="D240" s="1"/>
  <c r="E240" s="1"/>
  <c r="F240" s="1"/>
  <c r="G240" s="1"/>
  <c r="H240" s="1"/>
  <c r="D50" i="21"/>
  <c r="C68"/>
  <c r="D68" s="1"/>
  <c r="M41" i="26"/>
  <c r="M59"/>
  <c r="M39"/>
  <c r="U13" i="47"/>
  <c r="P45"/>
  <c r="P55" s="1"/>
  <c r="K216" i="23"/>
  <c r="K217" s="1"/>
  <c r="M201" i="22"/>
  <c r="I201"/>
  <c r="D241" i="23"/>
  <c r="D242" s="1"/>
  <c r="S37" i="26"/>
  <c r="G241" i="23"/>
  <c r="G242" s="1"/>
  <c r="C325"/>
  <c r="E206"/>
  <c r="E207" s="1"/>
  <c r="F206"/>
  <c r="F207" s="1"/>
  <c r="F370"/>
  <c r="F371" s="1"/>
  <c r="M37" i="25"/>
  <c r="J370" i="23"/>
  <c r="J371" s="1"/>
  <c r="D206"/>
  <c r="D207" s="1"/>
  <c r="Q37" i="25"/>
  <c r="Q41"/>
  <c r="Q39"/>
  <c r="Q59"/>
  <c r="N205" i="23"/>
  <c r="N206" s="1"/>
  <c r="N207" s="1"/>
  <c r="M206"/>
  <c r="M207" s="1"/>
  <c r="F53" i="21"/>
  <c r="C270" i="23" s="1"/>
  <c r="D270" s="1"/>
  <c r="C270" i="22"/>
  <c r="D270" s="1"/>
  <c r="P41" i="25"/>
  <c r="P37"/>
  <c r="D241" i="22"/>
  <c r="D242" s="1"/>
  <c r="S39" i="25"/>
  <c r="J231" i="22"/>
  <c r="J232" s="1"/>
  <c r="S41" i="26"/>
  <c r="I370" i="23"/>
  <c r="I371" s="1"/>
  <c r="M370"/>
  <c r="M371" s="1"/>
  <c r="F393" i="43"/>
  <c r="F395"/>
  <c r="N202" i="23"/>
  <c r="N296"/>
  <c r="N202" i="22"/>
  <c r="N296"/>
  <c r="I473" i="30"/>
  <c r="F473"/>
  <c r="M275" i="43"/>
  <c r="L276"/>
  <c r="L277" s="1"/>
  <c r="G257"/>
  <c r="G235"/>
  <c r="F236"/>
  <c r="I106"/>
  <c r="H107"/>
  <c r="F443" i="41"/>
  <c r="F445"/>
  <c r="D463" i="43"/>
  <c r="D465"/>
  <c r="D484" i="41"/>
  <c r="D282"/>
  <c r="D287"/>
  <c r="D284"/>
  <c r="E188"/>
  <c r="E482"/>
  <c r="E193"/>
  <c r="E190"/>
  <c r="E483"/>
  <c r="E465" i="43"/>
  <c r="E463"/>
  <c r="F365"/>
  <c r="G364"/>
  <c r="O451"/>
  <c r="M421"/>
  <c r="G396"/>
  <c r="H183"/>
  <c r="H464"/>
  <c r="H465" s="1"/>
  <c r="J153"/>
  <c r="J386"/>
  <c r="J470"/>
  <c r="J469" s="1"/>
  <c r="J475"/>
  <c r="J474" s="1"/>
  <c r="D138"/>
  <c r="D419"/>
  <c r="D420" s="1"/>
  <c r="N441"/>
  <c r="F128"/>
  <c r="D408" i="41"/>
  <c r="D410"/>
  <c r="H86"/>
  <c r="I85"/>
  <c r="L7" i="23"/>
  <c r="P57" i="26"/>
  <c r="O475" i="41"/>
  <c r="C474"/>
  <c r="D443"/>
  <c r="D445"/>
  <c r="C490"/>
  <c r="U5" i="47"/>
  <c r="H45"/>
  <c r="H55" s="1"/>
  <c r="K201" i="23"/>
  <c r="K281"/>
  <c r="K280" s="1"/>
  <c r="H293"/>
  <c r="H298"/>
  <c r="H300" s="1"/>
  <c r="H301" s="1"/>
  <c r="H308"/>
  <c r="H310" s="1"/>
  <c r="H311" s="1"/>
  <c r="H303"/>
  <c r="H318"/>
  <c r="H323"/>
  <c r="H325" s="1"/>
  <c r="H326" s="1"/>
  <c r="H328"/>
  <c r="H330" s="1"/>
  <c r="H331" s="1"/>
  <c r="H333"/>
  <c r="H338"/>
  <c r="H343"/>
  <c r="H348"/>
  <c r="H358"/>
  <c r="H368"/>
  <c r="H370" s="1"/>
  <c r="H371" s="1"/>
  <c r="H353"/>
  <c r="H313"/>
  <c r="H363"/>
  <c r="H202" i="22"/>
  <c r="F7"/>
  <c r="J57" i="25"/>
  <c r="I45"/>
  <c r="U6"/>
  <c r="G296" i="23"/>
  <c r="E92"/>
  <c r="E12"/>
  <c r="S24" i="25"/>
  <c r="S35" s="1"/>
  <c r="G35"/>
  <c r="M202" i="23"/>
  <c r="F296"/>
  <c r="F67" i="21"/>
  <c r="C344" i="23" s="1"/>
  <c r="C344" i="22"/>
  <c r="F48" i="21"/>
  <c r="C245" i="23" s="1"/>
  <c r="D245" s="1"/>
  <c r="C245" i="22"/>
  <c r="D245" s="1"/>
  <c r="O462" i="43"/>
  <c r="F463"/>
  <c r="F461"/>
  <c r="O280" i="41"/>
  <c r="K314" i="43"/>
  <c r="J315"/>
  <c r="J316" s="1"/>
  <c r="K265"/>
  <c r="J266"/>
  <c r="I178"/>
  <c r="C471" i="41"/>
  <c r="C473"/>
  <c r="M202" i="22"/>
  <c r="N386" i="43"/>
  <c r="N470"/>
  <c r="N469" s="1"/>
  <c r="N475"/>
  <c r="N474" s="1"/>
  <c r="I444" i="41"/>
  <c r="I257"/>
  <c r="O402" i="43"/>
  <c r="D401"/>
  <c r="O332"/>
  <c r="N461"/>
  <c r="H153"/>
  <c r="H220" i="41"/>
  <c r="G221"/>
  <c r="E410"/>
  <c r="E408"/>
  <c r="E202" i="22"/>
  <c r="O57" i="25"/>
  <c r="K7" i="22"/>
  <c r="L443" i="41"/>
  <c r="L445"/>
  <c r="C37" i="23"/>
  <c r="R45" i="26"/>
  <c r="U15"/>
  <c r="F34" i="21"/>
  <c r="C171" i="23" s="1"/>
  <c r="D171" s="1"/>
  <c r="E171" s="1"/>
  <c r="F171" s="1"/>
  <c r="G171" s="1"/>
  <c r="H171" s="1"/>
  <c r="I171" s="1"/>
  <c r="J171" s="1"/>
  <c r="K171" s="1"/>
  <c r="L171" s="1"/>
  <c r="M171" s="1"/>
  <c r="N171" s="1"/>
  <c r="C171" i="22"/>
  <c r="D171" s="1"/>
  <c r="E171" s="1"/>
  <c r="F171" s="1"/>
  <c r="G171" s="1"/>
  <c r="H171" s="1"/>
  <c r="I171" s="1"/>
  <c r="J171" s="1"/>
  <c r="K171" s="1"/>
  <c r="L171" s="1"/>
  <c r="M171" s="1"/>
  <c r="N171" s="1"/>
  <c r="F138" i="43"/>
  <c r="F419"/>
  <c r="C487" i="22"/>
  <c r="N37" i="45"/>
  <c r="K172" i="43"/>
  <c r="L171"/>
  <c r="I111"/>
  <c r="H112"/>
  <c r="H158"/>
  <c r="K132"/>
  <c r="L131"/>
  <c r="I436"/>
  <c r="M416"/>
  <c r="G391"/>
  <c r="G475"/>
  <c r="G474" s="1"/>
  <c r="G470"/>
  <c r="G469" s="1"/>
  <c r="H143"/>
  <c r="D113"/>
  <c r="D394"/>
  <c r="G456"/>
  <c r="O457"/>
  <c r="E425" i="41"/>
  <c r="E423"/>
  <c r="L45" i="26"/>
  <c r="U9"/>
  <c r="K45" i="25"/>
  <c r="U8"/>
  <c r="H364" i="41"/>
  <c r="G365"/>
  <c r="G366" s="1"/>
  <c r="I39" i="47"/>
  <c r="I41"/>
  <c r="I59"/>
  <c r="I37"/>
  <c r="C311" i="22"/>
  <c r="E57" i="23"/>
  <c r="E82"/>
  <c r="H45" i="25"/>
  <c r="U5"/>
  <c r="F62" i="21"/>
  <c r="C319" i="23" s="1"/>
  <c r="C319" i="22"/>
  <c r="C189" i="43"/>
  <c r="C389"/>
  <c r="C108"/>
  <c r="C487" i="23"/>
  <c r="O487" s="1"/>
  <c r="N42" i="45"/>
  <c r="F311" i="41"/>
  <c r="F377"/>
  <c r="I472" i="30"/>
  <c r="F472"/>
  <c r="C440" i="43"/>
  <c r="C438"/>
  <c r="H148"/>
  <c r="H429"/>
  <c r="I118"/>
  <c r="I399"/>
  <c r="I400" s="1"/>
  <c r="L354"/>
  <c r="K355"/>
  <c r="C455"/>
  <c r="K334"/>
  <c r="J335"/>
  <c r="J336" s="1"/>
  <c r="N451"/>
  <c r="N453"/>
  <c r="L421"/>
  <c r="O181"/>
  <c r="O179"/>
  <c r="J369" i="41"/>
  <c r="I370"/>
  <c r="N410"/>
  <c r="N408"/>
  <c r="K456" i="43"/>
  <c r="G346"/>
  <c r="O345"/>
  <c r="O346" s="1"/>
  <c r="M396"/>
  <c r="M470"/>
  <c r="M469" s="1"/>
  <c r="I235" i="41"/>
  <c r="I236" s="1"/>
  <c r="H236"/>
  <c r="I122"/>
  <c r="J121"/>
  <c r="N103" i="22"/>
  <c r="R55" i="25"/>
  <c r="I295" i="22"/>
  <c r="I375"/>
  <c r="I374" s="1"/>
  <c r="C7"/>
  <c r="S47" i="25"/>
  <c r="S57" s="1"/>
  <c r="G57"/>
  <c r="C87" i="23"/>
  <c r="M275"/>
  <c r="L276"/>
  <c r="L277" s="1"/>
  <c r="C52"/>
  <c r="E77"/>
  <c r="C92"/>
  <c r="C12"/>
  <c r="E17"/>
  <c r="E42"/>
  <c r="F781" i="30"/>
  <c r="F733" s="1"/>
  <c r="E377" i="43"/>
  <c r="G933" i="30"/>
  <c r="G934" s="1"/>
  <c r="I216" i="22"/>
  <c r="I217" s="1"/>
  <c r="E424" i="43"/>
  <c r="O442"/>
  <c r="H216" i="23"/>
  <c r="H217" s="1"/>
  <c r="G330"/>
  <c r="G331" s="1"/>
  <c r="G216"/>
  <c r="G217" s="1"/>
  <c r="E433" i="43"/>
  <c r="D472" i="41"/>
  <c r="J172" i="43"/>
  <c r="G236" i="22"/>
  <c r="G237" s="1"/>
  <c r="G236" i="23"/>
  <c r="G237" s="1"/>
  <c r="G330" i="22"/>
  <c r="G331" s="1"/>
  <c r="I295" i="23"/>
  <c r="C209" i="22"/>
  <c r="K216"/>
  <c r="K217" s="1"/>
  <c r="G216"/>
  <c r="G217" s="1"/>
  <c r="I216" i="23"/>
  <c r="I217" s="1"/>
  <c r="D231"/>
  <c r="D232" s="1"/>
  <c r="F470" i="43"/>
  <c r="F469" s="1"/>
  <c r="J142"/>
  <c r="J216" i="22"/>
  <c r="J217" s="1"/>
  <c r="D281" i="23"/>
  <c r="D280" s="1"/>
  <c r="F216" i="22"/>
  <c r="F217" s="1"/>
  <c r="L349" i="43"/>
  <c r="K350"/>
  <c r="K351" s="1"/>
  <c r="M210"/>
  <c r="L211"/>
  <c r="L212" s="1"/>
  <c r="H461"/>
  <c r="H463"/>
  <c r="C488" i="41"/>
  <c r="C489"/>
  <c r="D416" i="43"/>
  <c r="D418"/>
  <c r="O417"/>
  <c r="K421"/>
  <c r="O124"/>
  <c r="O470" i="41"/>
  <c r="C469"/>
  <c r="C197" i="22"/>
  <c r="C269" s="1"/>
  <c r="S51" i="25"/>
  <c r="M45" i="26"/>
  <c r="U10"/>
  <c r="K295" i="22"/>
  <c r="K375"/>
  <c r="K374" s="1"/>
  <c r="C296"/>
  <c r="C296" i="23"/>
  <c r="C67"/>
  <c r="I465" i="43"/>
  <c r="I463"/>
  <c r="O149"/>
  <c r="L484" i="41"/>
  <c r="L282"/>
  <c r="L287"/>
  <c r="L284"/>
  <c r="I316" i="43"/>
  <c r="G359"/>
  <c r="F360"/>
  <c r="C400"/>
  <c r="C398"/>
  <c r="O390" i="41"/>
  <c r="O388"/>
  <c r="I426" i="43"/>
  <c r="K396"/>
  <c r="N433"/>
  <c r="N431"/>
  <c r="H444" i="41"/>
  <c r="H445" s="1"/>
  <c r="H257"/>
  <c r="O119" i="43"/>
  <c r="O121"/>
  <c r="O440" i="41"/>
  <c r="O438"/>
  <c r="G336" i="43"/>
  <c r="O322"/>
  <c r="N183"/>
  <c r="H431"/>
  <c r="E445" i="41"/>
  <c r="E443"/>
  <c r="O395"/>
  <c r="O393"/>
  <c r="F409"/>
  <c r="F222"/>
  <c r="H7" i="23"/>
  <c r="L57" i="26"/>
  <c r="Q45" i="47"/>
  <c r="Q55" s="1"/>
  <c r="U14"/>
  <c r="K7" i="23"/>
  <c r="O57" i="26"/>
  <c r="H298" i="22"/>
  <c r="H300" s="1"/>
  <c r="H301" s="1"/>
  <c r="H328"/>
  <c r="H330" s="1"/>
  <c r="H331" s="1"/>
  <c r="H343"/>
  <c r="H358"/>
  <c r="H353"/>
  <c r="H293"/>
  <c r="H303"/>
  <c r="H323"/>
  <c r="H325" s="1"/>
  <c r="H326" s="1"/>
  <c r="H338"/>
  <c r="H363"/>
  <c r="H333"/>
  <c r="H348"/>
  <c r="H313"/>
  <c r="H308"/>
  <c r="H310" s="1"/>
  <c r="H311" s="1"/>
  <c r="H368"/>
  <c r="H370" s="1"/>
  <c r="H371" s="1"/>
  <c r="H318"/>
  <c r="E32" i="23"/>
  <c r="M7"/>
  <c r="Q57" i="26"/>
  <c r="C82" i="23"/>
  <c r="F61" i="21"/>
  <c r="C314" i="23" s="1"/>
  <c r="C314" i="22"/>
  <c r="O104" i="43"/>
  <c r="O114"/>
  <c r="I173"/>
  <c r="G113"/>
  <c r="D410"/>
  <c r="D408"/>
  <c r="L369"/>
  <c r="K370"/>
  <c r="I133"/>
  <c r="G374"/>
  <c r="O375"/>
  <c r="J451"/>
  <c r="H421"/>
  <c r="E252"/>
  <c r="E439"/>
  <c r="L408" i="41"/>
  <c r="L410"/>
  <c r="O109" i="43"/>
  <c r="O129"/>
  <c r="K426"/>
  <c r="I398"/>
  <c r="I396"/>
  <c r="L431"/>
  <c r="L433"/>
  <c r="I136"/>
  <c r="H137"/>
  <c r="D448" i="41"/>
  <c r="D450"/>
  <c r="S47" i="47"/>
  <c r="G57"/>
  <c r="L293" i="23"/>
  <c r="L298"/>
  <c r="L300" s="1"/>
  <c r="L301" s="1"/>
  <c r="L308"/>
  <c r="L310" s="1"/>
  <c r="L311" s="1"/>
  <c r="L303"/>
  <c r="L318"/>
  <c r="L323"/>
  <c r="L325" s="1"/>
  <c r="L326" s="1"/>
  <c r="L328"/>
  <c r="L330" s="1"/>
  <c r="L331" s="1"/>
  <c r="L333"/>
  <c r="L338"/>
  <c r="L343"/>
  <c r="L348"/>
  <c r="L358"/>
  <c r="L368"/>
  <c r="L370" s="1"/>
  <c r="L371" s="1"/>
  <c r="L353"/>
  <c r="L313"/>
  <c r="L363"/>
  <c r="G7"/>
  <c r="K57" i="26"/>
  <c r="J7" i="22"/>
  <c r="N57" i="25"/>
  <c r="C27" i="23"/>
  <c r="H67" i="26"/>
  <c r="V16"/>
  <c r="G45"/>
  <c r="U4"/>
  <c r="Q16"/>
  <c r="M230" i="23"/>
  <c r="L231"/>
  <c r="L232" s="1"/>
  <c r="K183" i="43"/>
  <c r="K464"/>
  <c r="C138"/>
  <c r="C419"/>
  <c r="G257" i="41"/>
  <c r="G444"/>
  <c r="L294" i="43"/>
  <c r="K295"/>
  <c r="J146"/>
  <c r="I147"/>
  <c r="M225"/>
  <c r="L226"/>
  <c r="L227" s="1"/>
  <c r="K116"/>
  <c r="J117"/>
  <c r="D460"/>
  <c r="D458"/>
  <c r="G309"/>
  <c r="F310"/>
  <c r="J270"/>
  <c r="I271"/>
  <c r="H127"/>
  <c r="I126"/>
  <c r="I411"/>
  <c r="D386"/>
  <c r="D470"/>
  <c r="D469" s="1"/>
  <c r="D475"/>
  <c r="D474" s="1"/>
  <c r="D396"/>
  <c r="O397"/>
  <c r="O342"/>
  <c r="O344"/>
  <c r="O327"/>
  <c r="J441"/>
  <c r="G237" i="41"/>
  <c r="G424"/>
  <c r="G283"/>
  <c r="H123"/>
  <c r="H189"/>
  <c r="J7" i="23"/>
  <c r="N57" i="26"/>
  <c r="O45" i="47"/>
  <c r="O55" s="1"/>
  <c r="U12"/>
  <c r="I309" i="41"/>
  <c r="H310"/>
  <c r="I7" i="23"/>
  <c r="M57" i="26"/>
  <c r="P57" i="25"/>
  <c r="L7" i="22"/>
  <c r="M295"/>
  <c r="M375"/>
  <c r="M374" s="1"/>
  <c r="C326"/>
  <c r="C371" i="23"/>
  <c r="C326"/>
  <c r="E67"/>
  <c r="H45" i="26"/>
  <c r="U5"/>
  <c r="E27" i="23"/>
  <c r="E62"/>
  <c r="C32"/>
  <c r="C42"/>
  <c r="G832" i="30"/>
  <c r="J330" i="23"/>
  <c r="J331" s="1"/>
  <c r="O481" i="43"/>
  <c r="E459"/>
  <c r="O486" i="23"/>
  <c r="E216"/>
  <c r="E217" s="1"/>
  <c r="F330"/>
  <c r="F331" s="1"/>
  <c r="F1201" i="30"/>
  <c r="F1153" s="1"/>
  <c r="F475" i="43"/>
  <c r="F474" s="1"/>
  <c r="O422"/>
  <c r="I330" i="22"/>
  <c r="I331" s="1"/>
  <c r="I57" i="47"/>
  <c r="F201" i="23"/>
  <c r="J236" i="22"/>
  <c r="J237" s="1"/>
  <c r="H201" i="23"/>
  <c r="M295"/>
  <c r="M330"/>
  <c r="M331" s="1"/>
  <c r="BL339" i="30"/>
  <c r="BL369" s="1"/>
  <c r="BL315" s="1"/>
  <c r="BK369"/>
  <c r="C474" i="43"/>
  <c r="J431"/>
  <c r="J433"/>
  <c r="M425" i="41"/>
  <c r="M423"/>
  <c r="F1091" i="30"/>
  <c r="F1094" s="1"/>
  <c r="F1046" s="1"/>
  <c r="E1094"/>
  <c r="I255" i="43"/>
  <c r="H256"/>
  <c r="H257" s="1"/>
  <c r="G319"/>
  <c r="F320"/>
  <c r="C469"/>
  <c r="I163"/>
  <c r="I456"/>
  <c r="M411"/>
  <c r="O305"/>
  <c r="O306" s="1"/>
  <c r="G306"/>
  <c r="E168"/>
  <c r="E449"/>
  <c r="J133"/>
  <c r="G389"/>
  <c r="G108"/>
  <c r="J461"/>
  <c r="N421"/>
  <c r="F406"/>
  <c r="O407"/>
  <c r="N45" i="26"/>
  <c r="U11"/>
  <c r="M57" i="25"/>
  <c r="I7" i="22"/>
  <c r="E450" i="41"/>
  <c r="E448"/>
  <c r="F295" i="22"/>
  <c r="F375"/>
  <c r="F374" s="1"/>
  <c r="C197" i="23"/>
  <c r="C214" s="1"/>
  <c r="S51" i="26"/>
  <c r="O45"/>
  <c r="U12"/>
  <c r="D202" i="22"/>
  <c r="L57" i="25"/>
  <c r="H7" i="22"/>
  <c r="C374"/>
  <c r="K296" i="23"/>
  <c r="C311"/>
  <c r="C374"/>
  <c r="E47"/>
  <c r="G45" i="25"/>
  <c r="U4"/>
  <c r="Q16"/>
  <c r="I202" i="23"/>
  <c r="O139" i="43"/>
  <c r="M183"/>
  <c r="D483" i="41"/>
  <c r="D193"/>
  <c r="D190"/>
  <c r="D482"/>
  <c r="D188"/>
  <c r="I299" i="43"/>
  <c r="H300"/>
  <c r="I143"/>
  <c r="J205"/>
  <c r="I206"/>
  <c r="F221"/>
  <c r="F222" s="1"/>
  <c r="G220"/>
  <c r="C478" i="41"/>
  <c r="C476"/>
  <c r="L183" i="43"/>
  <c r="G426"/>
  <c r="O427"/>
  <c r="G326"/>
  <c r="O325"/>
  <c r="O326" s="1"/>
  <c r="I391"/>
  <c r="I475"/>
  <c r="I474" s="1"/>
  <c r="I470"/>
  <c r="I469" s="1"/>
  <c r="O235"/>
  <c r="O233"/>
  <c r="H173"/>
  <c r="H133"/>
  <c r="I202" i="22"/>
  <c r="L293"/>
  <c r="L298"/>
  <c r="L300" s="1"/>
  <c r="L301" s="1"/>
  <c r="L308"/>
  <c r="L310" s="1"/>
  <c r="L311" s="1"/>
  <c r="L303"/>
  <c r="L318"/>
  <c r="L323"/>
  <c r="L325" s="1"/>
  <c r="L326" s="1"/>
  <c r="L328"/>
  <c r="L330" s="1"/>
  <c r="L331" s="1"/>
  <c r="L333"/>
  <c r="L338"/>
  <c r="L343"/>
  <c r="L348"/>
  <c r="L358"/>
  <c r="L368"/>
  <c r="L370" s="1"/>
  <c r="L371" s="1"/>
  <c r="L353"/>
  <c r="L313"/>
  <c r="L363"/>
  <c r="P45" i="26"/>
  <c r="U13"/>
  <c r="M45" i="47"/>
  <c r="M55" s="1"/>
  <c r="U10"/>
  <c r="E295" i="22"/>
  <c r="E375"/>
  <c r="E374" s="1"/>
  <c r="F202"/>
  <c r="F72" i="41"/>
  <c r="F449"/>
  <c r="F92"/>
  <c r="S19" i="47"/>
  <c r="S41" s="1"/>
  <c r="G39"/>
  <c r="G37"/>
  <c r="G41"/>
  <c r="N45" i="25"/>
  <c r="U11"/>
  <c r="C72" i="23"/>
  <c r="F43" i="21"/>
  <c r="C220" i="23" s="1"/>
  <c r="D220" s="1"/>
  <c r="C220" i="22"/>
  <c r="D220" s="1"/>
  <c r="G465" i="43"/>
  <c r="G463"/>
  <c r="C486" i="22"/>
  <c r="O486" s="1"/>
  <c r="N78" i="44"/>
  <c r="F424" i="41"/>
  <c r="F237"/>
  <c r="F283"/>
  <c r="I467" i="30"/>
  <c r="F467"/>
  <c r="K152" i="43"/>
  <c r="L151"/>
  <c r="D485"/>
  <c r="D378"/>
  <c r="D376"/>
  <c r="K240"/>
  <c r="J241"/>
  <c r="J242" s="1"/>
  <c r="H339"/>
  <c r="G340"/>
  <c r="J121"/>
  <c r="I122"/>
  <c r="M426"/>
  <c r="O299"/>
  <c r="O297"/>
  <c r="H163"/>
  <c r="H444"/>
  <c r="H445" s="1"/>
  <c r="H118"/>
  <c r="H399"/>
  <c r="H400" s="1"/>
  <c r="G250"/>
  <c r="F251"/>
  <c r="D393"/>
  <c r="O392"/>
  <c r="D391"/>
  <c r="D133"/>
  <c r="D414"/>
  <c r="O362"/>
  <c r="O364"/>
  <c r="G138"/>
  <c r="G419"/>
  <c r="G420" s="1"/>
  <c r="M69" i="22"/>
  <c r="M29"/>
  <c r="M79"/>
  <c r="M84"/>
  <c r="M49"/>
  <c r="M59"/>
  <c r="M74"/>
  <c r="M9"/>
  <c r="M19"/>
  <c r="M34"/>
  <c r="M44"/>
  <c r="M54"/>
  <c r="M64"/>
  <c r="M14"/>
  <c r="M24"/>
  <c r="M39"/>
  <c r="P45" i="25"/>
  <c r="U13"/>
  <c r="M103" i="22"/>
  <c r="M385" s="1"/>
  <c r="Q55" i="25"/>
  <c r="E87" i="23"/>
  <c r="C57"/>
  <c r="E459" i="41"/>
  <c r="E366"/>
  <c r="E377"/>
  <c r="I471" i="30"/>
  <c r="F471"/>
  <c r="J296" i="43"/>
  <c r="E311"/>
  <c r="E404"/>
  <c r="G128"/>
  <c r="K391"/>
  <c r="K475"/>
  <c r="K474" s="1"/>
  <c r="K470"/>
  <c r="K469" s="1"/>
  <c r="L441"/>
  <c r="L396"/>
  <c r="D118"/>
  <c r="D399"/>
  <c r="D400" s="1"/>
  <c r="O455" i="41"/>
  <c r="O453"/>
  <c r="G436" i="43"/>
  <c r="O437"/>
  <c r="G331"/>
  <c r="O330"/>
  <c r="O331" s="1"/>
  <c r="F123"/>
  <c r="F404"/>
  <c r="F405" s="1"/>
  <c r="M166" i="41"/>
  <c r="L167"/>
  <c r="L168" s="1"/>
  <c r="F463"/>
  <c r="F465"/>
  <c r="G459"/>
  <c r="G82"/>
  <c r="K45" i="47"/>
  <c r="K55" s="1"/>
  <c r="U8"/>
  <c r="G7" i="22"/>
  <c r="K57" i="25"/>
  <c r="G311" i="41"/>
  <c r="G377"/>
  <c r="R45" i="47"/>
  <c r="R55" s="1"/>
  <c r="U15"/>
  <c r="J45" i="25"/>
  <c r="U7"/>
  <c r="G67"/>
  <c r="V16"/>
  <c r="I45" i="26"/>
  <c r="U6"/>
  <c r="C77" i="23"/>
  <c r="C89"/>
  <c r="C62"/>
  <c r="C17"/>
  <c r="S37" i="47"/>
  <c r="H475" i="43"/>
  <c r="H474" s="1"/>
  <c r="S39" i="47"/>
  <c r="G723" i="30"/>
  <c r="E453" i="43"/>
  <c r="O187"/>
  <c r="E330" i="22"/>
  <c r="E331" s="1"/>
  <c r="N87" i="44"/>
  <c r="E216" i="22"/>
  <c r="E217" s="1"/>
  <c r="C214"/>
  <c r="C274"/>
  <c r="E283" i="43"/>
  <c r="M216" i="22"/>
  <c r="M217" s="1"/>
  <c r="O432" i="43"/>
  <c r="J330" i="22"/>
  <c r="J331" s="1"/>
  <c r="C330"/>
  <c r="J201" i="23"/>
  <c r="C330"/>
  <c r="L201"/>
  <c r="E295"/>
  <c r="C229" i="22"/>
  <c r="D236"/>
  <c r="D237" s="1"/>
  <c r="I236" i="23"/>
  <c r="I237" s="1"/>
  <c r="D216"/>
  <c r="D217" s="1"/>
  <c r="E1201" i="30"/>
  <c r="G444" i="43"/>
  <c r="O444" i="41"/>
  <c r="J162" i="43"/>
  <c r="F281" i="23"/>
  <c r="F280" s="1"/>
  <c r="E201"/>
  <c r="J295"/>
  <c r="C239"/>
  <c r="G189" i="41"/>
  <c r="O281" i="43"/>
  <c r="O386"/>
  <c r="H245"/>
  <c r="G246"/>
  <c r="G247" s="1"/>
  <c r="L161"/>
  <c r="K162"/>
  <c r="O304"/>
  <c r="O302"/>
  <c r="G166"/>
  <c r="F167"/>
  <c r="J411"/>
  <c r="M410" i="41"/>
  <c r="M408"/>
  <c r="K436" i="43"/>
  <c r="J183"/>
  <c r="J464"/>
  <c r="J465" s="1"/>
  <c r="O415" i="41"/>
  <c r="O413"/>
  <c r="G87"/>
  <c r="G464"/>
  <c r="O45" i="25"/>
  <c r="U12"/>
  <c r="O401" i="41"/>
  <c r="K201" i="22"/>
  <c r="K281"/>
  <c r="K280" s="1"/>
  <c r="C371"/>
  <c r="N7" i="23"/>
  <c r="R57" i="26"/>
  <c r="F49" i="21"/>
  <c r="C250" i="23" s="1"/>
  <c r="D250" s="1"/>
  <c r="C250" i="22"/>
  <c r="D250" s="1"/>
  <c r="F66" i="21"/>
  <c r="C339" i="23" s="1"/>
  <c r="C339" i="22"/>
  <c r="E108" i="43"/>
  <c r="E389"/>
  <c r="E189"/>
  <c r="F466" i="30"/>
  <c r="I466"/>
  <c r="F301" i="43"/>
  <c r="F377"/>
  <c r="L141"/>
  <c r="K142"/>
  <c r="K176"/>
  <c r="J177"/>
  <c r="J230"/>
  <c r="I231"/>
  <c r="M456"/>
  <c r="I416"/>
  <c r="L461"/>
  <c r="N411"/>
  <c r="O91"/>
  <c r="O89"/>
  <c r="M445" i="41"/>
  <c r="M443"/>
  <c r="D123" i="43"/>
  <c r="D404"/>
  <c r="G418"/>
  <c r="G416"/>
  <c r="H451"/>
  <c r="H411"/>
  <c r="J45" i="26"/>
  <c r="U7"/>
  <c r="S49" i="47"/>
  <c r="S59" s="1"/>
  <c r="G59"/>
  <c r="H70" i="41"/>
  <c r="G71"/>
  <c r="G16" i="47"/>
  <c r="Q4"/>
  <c r="G24"/>
  <c r="H4"/>
  <c r="U7"/>
  <c r="J45"/>
  <c r="J55" s="1"/>
  <c r="C301" i="23"/>
  <c r="E22"/>
  <c r="E72"/>
  <c r="D7" i="22"/>
  <c r="H57" i="25"/>
  <c r="C70" i="21"/>
  <c r="D70" s="1"/>
  <c r="D52"/>
  <c r="F389" i="43"/>
  <c r="F108"/>
  <c r="E138"/>
  <c r="E419"/>
  <c r="F630" i="30"/>
  <c r="E669"/>
  <c r="I153" i="43"/>
  <c r="I242"/>
  <c r="C430"/>
  <c r="C428"/>
  <c r="F341"/>
  <c r="F434"/>
  <c r="J156"/>
  <c r="I157"/>
  <c r="K215"/>
  <c r="J216"/>
  <c r="H123"/>
  <c r="H441"/>
  <c r="H443"/>
  <c r="H396"/>
  <c r="H398"/>
  <c r="N425" i="41"/>
  <c r="N423"/>
  <c r="O412" i="43"/>
  <c r="D413"/>
  <c r="D411"/>
  <c r="K416"/>
  <c r="L451"/>
  <c r="L411"/>
  <c r="F405" i="41"/>
  <c r="F403"/>
  <c r="F7" i="23"/>
  <c r="J57" i="26"/>
  <c r="F458" i="41"/>
  <c r="F460"/>
  <c r="G67" i="47"/>
  <c r="V16"/>
  <c r="Q6"/>
  <c r="I24"/>
  <c r="I35" s="1"/>
  <c r="H6"/>
  <c r="G201" i="22"/>
  <c r="G281"/>
  <c r="G280" s="1"/>
  <c r="J295"/>
  <c r="J375"/>
  <c r="J374" s="1"/>
  <c r="G201" i="23"/>
  <c r="G281"/>
  <c r="G280" s="1"/>
  <c r="D291"/>
  <c r="S49" i="26"/>
  <c r="S59" s="1"/>
  <c r="H59"/>
  <c r="N69" i="22"/>
  <c r="N29"/>
  <c r="N79"/>
  <c r="N84"/>
  <c r="N9"/>
  <c r="N19"/>
  <c r="N34"/>
  <c r="N44"/>
  <c r="N54"/>
  <c r="N64"/>
  <c r="N14"/>
  <c r="N24"/>
  <c r="N39"/>
  <c r="N49"/>
  <c r="N59"/>
  <c r="N74"/>
  <c r="N385"/>
  <c r="G295"/>
  <c r="G375"/>
  <c r="G374" s="1"/>
  <c r="Q45" i="26"/>
  <c r="U14"/>
  <c r="D7" i="23"/>
  <c r="S47" i="26"/>
  <c r="S57" s="1"/>
  <c r="H57"/>
  <c r="S24"/>
  <c r="S35" s="1"/>
  <c r="G35"/>
  <c r="F44" i="21"/>
  <c r="C225" i="23" s="1"/>
  <c r="D225" s="1"/>
  <c r="C225" i="22"/>
  <c r="D225" s="1"/>
  <c r="O317" i="43"/>
  <c r="O319"/>
  <c r="F973" i="30"/>
  <c r="F992" s="1"/>
  <c r="F944" s="1"/>
  <c r="E992"/>
  <c r="M260" i="43"/>
  <c r="L261"/>
  <c r="M436"/>
  <c r="I421"/>
  <c r="D189"/>
  <c r="D108"/>
  <c r="D389"/>
  <c r="D388" s="1"/>
  <c r="G421"/>
  <c r="J421"/>
  <c r="F403"/>
  <c r="F401"/>
  <c r="D291" i="22"/>
  <c r="S49" i="25"/>
  <c r="S59" s="1"/>
  <c r="H59"/>
  <c r="H81" i="41"/>
  <c r="I80"/>
  <c r="M45" i="25"/>
  <c r="U10"/>
  <c r="E405" i="41"/>
  <c r="K45" i="26"/>
  <c r="U8"/>
  <c r="L45" i="25"/>
  <c r="U9"/>
  <c r="C301" i="22"/>
  <c r="I57" i="25"/>
  <c r="E7" i="22"/>
  <c r="E37" i="23"/>
  <c r="J201" i="22"/>
  <c r="J281"/>
  <c r="J280" s="1"/>
  <c r="C22" i="23"/>
  <c r="C47"/>
  <c r="E52"/>
  <c r="G605" i="30"/>
  <c r="J216" i="23"/>
  <c r="J217" s="1"/>
  <c r="L216"/>
  <c r="L217" s="1"/>
  <c r="F281" i="22"/>
  <c r="F280" s="1"/>
  <c r="C269" i="23"/>
  <c r="K330"/>
  <c r="K331" s="1"/>
  <c r="H236"/>
  <c r="H237" s="1"/>
  <c r="G429" i="43"/>
  <c r="G430" s="1"/>
  <c r="G399"/>
  <c r="G400" s="1"/>
  <c r="E409"/>
  <c r="E472" i="41"/>
  <c r="D477"/>
  <c r="G300" i="43"/>
  <c r="L201" i="22"/>
  <c r="C209" i="23"/>
  <c r="D669" i="30"/>
  <c r="G231" i="23"/>
  <c r="G232" s="1"/>
  <c r="H236" i="22"/>
  <c r="H237" s="1"/>
  <c r="M216" i="23"/>
  <c r="M217" s="1"/>
  <c r="M236"/>
  <c r="M237" s="1"/>
  <c r="F762" i="30"/>
  <c r="D423" i="43"/>
  <c r="E414"/>
  <c r="L470"/>
  <c r="L469" s="1"/>
  <c r="M330" i="22"/>
  <c r="M331" s="1"/>
  <c r="D201" i="23"/>
  <c r="E281"/>
  <c r="E280" s="1"/>
  <c r="F216"/>
  <c r="F217" s="1"/>
  <c r="C239" i="22"/>
  <c r="E276"/>
  <c r="E277" s="1"/>
  <c r="O256" i="41"/>
  <c r="O257" s="1"/>
  <c r="F189"/>
  <c r="E270" i="23" l="1"/>
  <c r="D271"/>
  <c r="D272" s="1"/>
  <c r="F68" i="21"/>
  <c r="C349" i="23" s="1"/>
  <c r="C349" i="22"/>
  <c r="C274" i="23"/>
  <c r="E270" i="22"/>
  <c r="D271"/>
  <c r="D272" s="1"/>
  <c r="I240"/>
  <c r="H241"/>
  <c r="H242" s="1"/>
  <c r="C229" i="23"/>
  <c r="E241" i="22"/>
  <c r="E242" s="1"/>
  <c r="E241" i="23"/>
  <c r="E242" s="1"/>
  <c r="F241"/>
  <c r="F242" s="1"/>
  <c r="I240"/>
  <c r="H241"/>
  <c r="H242" s="1"/>
  <c r="C210" i="22"/>
  <c r="D210" s="1"/>
  <c r="F41" i="21"/>
  <c r="C210" i="23" s="1"/>
  <c r="D210" s="1"/>
  <c r="C260" i="22"/>
  <c r="D260" s="1"/>
  <c r="F51" i="21"/>
  <c r="C260" i="23" s="1"/>
  <c r="D260" s="1"/>
  <c r="D334" i="22"/>
  <c r="E334" s="1"/>
  <c r="C335"/>
  <c r="C336" s="1"/>
  <c r="D364" i="23"/>
  <c r="E364" s="1"/>
  <c r="C365"/>
  <c r="C366" s="1"/>
  <c r="G241" i="22"/>
  <c r="G242" s="1"/>
  <c r="F241"/>
  <c r="F242" s="1"/>
  <c r="F50" i="21"/>
  <c r="C255" i="23" s="1"/>
  <c r="D255" s="1"/>
  <c r="C255" i="22"/>
  <c r="D255" s="1"/>
  <c r="F59" i="21"/>
  <c r="C304" i="23" s="1"/>
  <c r="C304" i="22"/>
  <c r="C354"/>
  <c r="F69" i="21"/>
  <c r="C354" i="23" s="1"/>
  <c r="D334"/>
  <c r="E334" s="1"/>
  <c r="C335"/>
  <c r="C336" s="1"/>
  <c r="D364" i="22"/>
  <c r="E364" s="1"/>
  <c r="C365"/>
  <c r="C366" s="1"/>
  <c r="C216" i="23"/>
  <c r="O214"/>
  <c r="C241" i="22"/>
  <c r="O239"/>
  <c r="G301" i="43"/>
  <c r="E473" i="41"/>
  <c r="E471"/>
  <c r="L262" i="43"/>
  <c r="D14" i="23"/>
  <c r="D39"/>
  <c r="D59"/>
  <c r="D69"/>
  <c r="D79"/>
  <c r="D9"/>
  <c r="D34"/>
  <c r="D54"/>
  <c r="D24"/>
  <c r="D49"/>
  <c r="D74"/>
  <c r="D19"/>
  <c r="D44"/>
  <c r="D64"/>
  <c r="D84"/>
  <c r="D29"/>
  <c r="O7"/>
  <c r="G296" i="22"/>
  <c r="N51"/>
  <c r="N66"/>
  <c r="N21"/>
  <c r="N31"/>
  <c r="D293" i="23"/>
  <c r="D338"/>
  <c r="D343"/>
  <c r="D348"/>
  <c r="D318"/>
  <c r="D323"/>
  <c r="D328"/>
  <c r="D333"/>
  <c r="D363"/>
  <c r="D308"/>
  <c r="D303"/>
  <c r="D353"/>
  <c r="D313"/>
  <c r="D298"/>
  <c r="D358"/>
  <c r="D368"/>
  <c r="O291"/>
  <c r="J296" i="22"/>
  <c r="K216" i="43"/>
  <c r="K217" s="1"/>
  <c r="L215"/>
  <c r="F70" i="21"/>
  <c r="C359" i="23" s="1"/>
  <c r="C359" i="22"/>
  <c r="G35" i="47"/>
  <c r="S24"/>
  <c r="S35" s="1"/>
  <c r="I70" i="41"/>
  <c r="H71"/>
  <c r="F103" i="23"/>
  <c r="F385" s="1"/>
  <c r="J55" i="26"/>
  <c r="D405" i="43"/>
  <c r="J178"/>
  <c r="F485"/>
  <c r="F376"/>
  <c r="F378"/>
  <c r="E190"/>
  <c r="E188"/>
  <c r="E483"/>
  <c r="E482"/>
  <c r="D339" i="23"/>
  <c r="E339" s="1"/>
  <c r="C340"/>
  <c r="N19"/>
  <c r="N44"/>
  <c r="N64"/>
  <c r="N84"/>
  <c r="N29"/>
  <c r="N9"/>
  <c r="N34"/>
  <c r="N54"/>
  <c r="N24"/>
  <c r="N49"/>
  <c r="N74"/>
  <c r="N59"/>
  <c r="N39"/>
  <c r="N69"/>
  <c r="N79"/>
  <c r="N14"/>
  <c r="K202" i="22"/>
  <c r="O55" i="25"/>
  <c r="K103" i="22"/>
  <c r="O280" i="43"/>
  <c r="J296" i="23"/>
  <c r="J163" i="43"/>
  <c r="L202" i="23"/>
  <c r="C216" i="22"/>
  <c r="O214"/>
  <c r="O186" i="43"/>
  <c r="E460" i="41"/>
  <c r="E458"/>
  <c r="M66" i="22"/>
  <c r="M21"/>
  <c r="M51"/>
  <c r="M71"/>
  <c r="G251" i="43"/>
  <c r="H250"/>
  <c r="I339"/>
  <c r="H340"/>
  <c r="K153"/>
  <c r="N55" i="25"/>
  <c r="J103" i="22"/>
  <c r="I207" i="43"/>
  <c r="H301"/>
  <c r="H319"/>
  <c r="G320"/>
  <c r="O421"/>
  <c r="H193" i="41"/>
  <c r="H482"/>
  <c r="H190"/>
  <c r="H188"/>
  <c r="G423"/>
  <c r="G425"/>
  <c r="O396" i="43"/>
  <c r="J271"/>
  <c r="J272" s="1"/>
  <c r="K270"/>
  <c r="K296"/>
  <c r="C420"/>
  <c r="C418"/>
  <c r="J9" i="22"/>
  <c r="J14"/>
  <c r="J19"/>
  <c r="J24"/>
  <c r="J34"/>
  <c r="J39"/>
  <c r="J44"/>
  <c r="J49"/>
  <c r="J54"/>
  <c r="J59"/>
  <c r="J64"/>
  <c r="J74"/>
  <c r="J84"/>
  <c r="J79"/>
  <c r="J69"/>
  <c r="J29"/>
  <c r="J385"/>
  <c r="J136" i="43"/>
  <c r="I137"/>
  <c r="O374"/>
  <c r="K371"/>
  <c r="I296" i="23"/>
  <c r="E425" i="43"/>
  <c r="E423"/>
  <c r="N275" i="23"/>
  <c r="N276" s="1"/>
  <c r="N277" s="1"/>
  <c r="M276"/>
  <c r="M277" s="1"/>
  <c r="I296" i="22"/>
  <c r="I123" i="41"/>
  <c r="I189"/>
  <c r="I371"/>
  <c r="K356" i="43"/>
  <c r="H430"/>
  <c r="H428"/>
  <c r="F485" i="41"/>
  <c r="F378"/>
  <c r="F381"/>
  <c r="F376"/>
  <c r="D319" i="22"/>
  <c r="E319" s="1"/>
  <c r="C320"/>
  <c r="M171" i="43"/>
  <c r="L172"/>
  <c r="F420"/>
  <c r="F418"/>
  <c r="L314"/>
  <c r="K315"/>
  <c r="D344" i="22"/>
  <c r="E344" s="1"/>
  <c r="C345"/>
  <c r="F9"/>
  <c r="F14"/>
  <c r="F19"/>
  <c r="F24"/>
  <c r="F34"/>
  <c r="F39"/>
  <c r="F44"/>
  <c r="F49"/>
  <c r="F54"/>
  <c r="F59"/>
  <c r="F64"/>
  <c r="F74"/>
  <c r="F84"/>
  <c r="F79"/>
  <c r="F29"/>
  <c r="F69"/>
  <c r="K202" i="23"/>
  <c r="O474" i="41"/>
  <c r="H87"/>
  <c r="H464"/>
  <c r="H92"/>
  <c r="H483" s="1"/>
  <c r="F366" i="43"/>
  <c r="F459"/>
  <c r="H108"/>
  <c r="H389"/>
  <c r="F669" i="30"/>
  <c r="F619" s="1"/>
  <c r="O329" i="43"/>
  <c r="U16" i="26"/>
  <c r="S57" i="47"/>
  <c r="O324" i="43"/>
  <c r="I81" i="41"/>
  <c r="J80"/>
  <c r="D202" i="23"/>
  <c r="E415" i="43"/>
  <c r="E413"/>
  <c r="L202" i="22"/>
  <c r="D478" i="41"/>
  <c r="D476"/>
  <c r="C271" i="23"/>
  <c r="O269"/>
  <c r="H103" i="22"/>
  <c r="L55" i="25"/>
  <c r="H82" i="41"/>
  <c r="D483" i="43"/>
  <c r="D190"/>
  <c r="D188"/>
  <c r="D482"/>
  <c r="E225" i="23"/>
  <c r="D226"/>
  <c r="D227" s="1"/>
  <c r="N61" i="22"/>
  <c r="N16"/>
  <c r="N36"/>
  <c r="N81"/>
  <c r="F24" i="23"/>
  <c r="F49"/>
  <c r="F74"/>
  <c r="F19"/>
  <c r="F44"/>
  <c r="F64"/>
  <c r="F84"/>
  <c r="F29"/>
  <c r="F14"/>
  <c r="F39"/>
  <c r="F59"/>
  <c r="F69"/>
  <c r="F79"/>
  <c r="F9"/>
  <c r="F34"/>
  <c r="F54"/>
  <c r="J217" i="43"/>
  <c r="F433"/>
  <c r="F435"/>
  <c r="F52" i="21"/>
  <c r="C265" i="23" s="1"/>
  <c r="D265" s="1"/>
  <c r="C265" i="22"/>
  <c r="D265" s="1"/>
  <c r="G72" i="41"/>
  <c r="G449"/>
  <c r="G477" s="1"/>
  <c r="K230" i="43"/>
  <c r="J231"/>
  <c r="J232" s="1"/>
  <c r="M141"/>
  <c r="L142"/>
  <c r="D339" i="22"/>
  <c r="E339" s="1"/>
  <c r="C340"/>
  <c r="H166" i="43"/>
  <c r="G167"/>
  <c r="M161"/>
  <c r="L162"/>
  <c r="C241" i="23"/>
  <c r="O239"/>
  <c r="E296"/>
  <c r="C331" i="22"/>
  <c r="O431" i="43"/>
  <c r="C276" i="22"/>
  <c r="O274"/>
  <c r="E103" i="23"/>
  <c r="I55" i="26"/>
  <c r="J55" i="25"/>
  <c r="F103" i="22"/>
  <c r="E403" i="43"/>
  <c r="E405"/>
  <c r="L103" i="22"/>
  <c r="P55" i="25"/>
  <c r="M16" i="22"/>
  <c r="M36"/>
  <c r="M61"/>
  <c r="M31"/>
  <c r="F252" i="43"/>
  <c r="F439"/>
  <c r="G341"/>
  <c r="G434"/>
  <c r="M151"/>
  <c r="L152"/>
  <c r="F287" i="41"/>
  <c r="F484"/>
  <c r="F284"/>
  <c r="F282"/>
  <c r="E220" i="23"/>
  <c r="D221"/>
  <c r="D222" s="1"/>
  <c r="E296" i="22"/>
  <c r="L103" i="23"/>
  <c r="P55" i="26"/>
  <c r="L295" i="22"/>
  <c r="L375"/>
  <c r="L374" s="1"/>
  <c r="C103"/>
  <c r="G55" i="25"/>
  <c r="S45"/>
  <c r="S55" s="1"/>
  <c r="K103" i="23"/>
  <c r="O55" i="26"/>
  <c r="F296" i="22"/>
  <c r="E450" i="43"/>
  <c r="E448"/>
  <c r="F321"/>
  <c r="F414"/>
  <c r="M296" i="23"/>
  <c r="F202"/>
  <c r="E460" i="43"/>
  <c r="E458"/>
  <c r="J309" i="41"/>
  <c r="I310"/>
  <c r="I404" s="1"/>
  <c r="J19" i="23"/>
  <c r="J44"/>
  <c r="J64"/>
  <c r="J84"/>
  <c r="J29"/>
  <c r="J14"/>
  <c r="J39"/>
  <c r="J59"/>
  <c r="J69"/>
  <c r="J79"/>
  <c r="J9"/>
  <c r="J34"/>
  <c r="J54"/>
  <c r="J24"/>
  <c r="J49"/>
  <c r="J74"/>
  <c r="G284" i="41"/>
  <c r="G282"/>
  <c r="G287"/>
  <c r="G484"/>
  <c r="I272" i="43"/>
  <c r="L116"/>
  <c r="K117"/>
  <c r="K146"/>
  <c r="J147"/>
  <c r="K465"/>
  <c r="K463"/>
  <c r="H138"/>
  <c r="H419"/>
  <c r="M19" i="23"/>
  <c r="M44"/>
  <c r="M64"/>
  <c r="M84"/>
  <c r="M29"/>
  <c r="M9"/>
  <c r="M34"/>
  <c r="M54"/>
  <c r="M24"/>
  <c r="M49"/>
  <c r="M74"/>
  <c r="M14"/>
  <c r="M69"/>
  <c r="M79"/>
  <c r="M39"/>
  <c r="M59"/>
  <c r="F408" i="41"/>
  <c r="F410"/>
  <c r="K296" i="22"/>
  <c r="C199"/>
  <c r="C204"/>
  <c r="C224"/>
  <c r="C234"/>
  <c r="C244"/>
  <c r="C249"/>
  <c r="C254"/>
  <c r="C264"/>
  <c r="C259"/>
  <c r="C219"/>
  <c r="O197"/>
  <c r="M211" i="43"/>
  <c r="N210"/>
  <c r="N211" s="1"/>
  <c r="N212" s="1"/>
  <c r="O441"/>
  <c r="K121" i="41"/>
  <c r="J122"/>
  <c r="C188" i="43"/>
  <c r="C483"/>
  <c r="C482"/>
  <c r="C190"/>
  <c r="D103" i="22"/>
  <c r="D385" s="1"/>
  <c r="H55" i="25"/>
  <c r="I364" i="41"/>
  <c r="H365"/>
  <c r="H103" i="23"/>
  <c r="L55" i="26"/>
  <c r="K133" i="43"/>
  <c r="J111"/>
  <c r="I112"/>
  <c r="C491" i="22"/>
  <c r="O487"/>
  <c r="K9"/>
  <c r="K14"/>
  <c r="K19"/>
  <c r="K24"/>
  <c r="K34"/>
  <c r="K39"/>
  <c r="K44"/>
  <c r="K49"/>
  <c r="K54"/>
  <c r="K59"/>
  <c r="K64"/>
  <c r="K74"/>
  <c r="K84"/>
  <c r="K79"/>
  <c r="K69"/>
  <c r="K29"/>
  <c r="K385"/>
  <c r="O401" i="43"/>
  <c r="E245" i="23"/>
  <c r="D246"/>
  <c r="D247" s="1"/>
  <c r="J85" i="41"/>
  <c r="I86"/>
  <c r="H364" i="43"/>
  <c r="G365"/>
  <c r="H235"/>
  <c r="G236"/>
  <c r="M276"/>
  <c r="N275"/>
  <c r="N276" s="1"/>
  <c r="N277" s="1"/>
  <c r="G428"/>
  <c r="J463"/>
  <c r="F409"/>
  <c r="E477" i="41"/>
  <c r="E9" i="22"/>
  <c r="E14"/>
  <c r="E19"/>
  <c r="E24"/>
  <c r="E34"/>
  <c r="E39"/>
  <c r="E44"/>
  <c r="E49"/>
  <c r="E54"/>
  <c r="E59"/>
  <c r="E64"/>
  <c r="E74"/>
  <c r="E84"/>
  <c r="E79"/>
  <c r="E69"/>
  <c r="E29"/>
  <c r="D298"/>
  <c r="D328"/>
  <c r="D338"/>
  <c r="D303"/>
  <c r="D323"/>
  <c r="D368"/>
  <c r="D313"/>
  <c r="D333"/>
  <c r="D343"/>
  <c r="D358"/>
  <c r="D363"/>
  <c r="D318"/>
  <c r="D348"/>
  <c r="D308"/>
  <c r="D353"/>
  <c r="D293"/>
  <c r="O291"/>
  <c r="E225"/>
  <c r="D226"/>
  <c r="M103" i="23"/>
  <c r="Q55" i="26"/>
  <c r="N76" i="22"/>
  <c r="N26"/>
  <c r="N86"/>
  <c r="G202" i="23"/>
  <c r="G202" i="22"/>
  <c r="O411" i="43"/>
  <c r="J157"/>
  <c r="K156"/>
  <c r="E420"/>
  <c r="E418"/>
  <c r="F390"/>
  <c r="F388"/>
  <c r="D84" i="22"/>
  <c r="D79"/>
  <c r="D9"/>
  <c r="D14"/>
  <c r="D19"/>
  <c r="D24"/>
  <c r="D34"/>
  <c r="D39"/>
  <c r="D44"/>
  <c r="D49"/>
  <c r="D54"/>
  <c r="D59"/>
  <c r="D64"/>
  <c r="D74"/>
  <c r="D29"/>
  <c r="D69"/>
  <c r="I232" i="43"/>
  <c r="K143"/>
  <c r="E250" i="23"/>
  <c r="D251"/>
  <c r="D252" s="1"/>
  <c r="G465" i="41"/>
  <c r="G463"/>
  <c r="F168" i="43"/>
  <c r="F449"/>
  <c r="K163"/>
  <c r="G445"/>
  <c r="G443"/>
  <c r="J202" i="23"/>
  <c r="E484" i="43"/>
  <c r="E284"/>
  <c r="E282"/>
  <c r="G378" i="41"/>
  <c r="G485"/>
  <c r="G381"/>
  <c r="G376"/>
  <c r="O436" i="43"/>
  <c r="M26" i="22"/>
  <c r="M46"/>
  <c r="M76"/>
  <c r="M81"/>
  <c r="D415" i="43"/>
  <c r="K121"/>
  <c r="J122"/>
  <c r="K241"/>
  <c r="L240"/>
  <c r="E220" i="22"/>
  <c r="D221"/>
  <c r="D222" s="1"/>
  <c r="F448" i="41"/>
  <c r="F450"/>
  <c r="O426" i="43"/>
  <c r="H220"/>
  <c r="G221"/>
  <c r="D489" i="41"/>
  <c r="D488"/>
  <c r="H9" i="22"/>
  <c r="H14"/>
  <c r="H19"/>
  <c r="H24"/>
  <c r="H34"/>
  <c r="H39"/>
  <c r="H44"/>
  <c r="H49"/>
  <c r="H54"/>
  <c r="H59"/>
  <c r="H64"/>
  <c r="H74"/>
  <c r="H84"/>
  <c r="H79"/>
  <c r="H69"/>
  <c r="H29"/>
  <c r="H385"/>
  <c r="I9"/>
  <c r="I14"/>
  <c r="I19"/>
  <c r="I24"/>
  <c r="I34"/>
  <c r="I39"/>
  <c r="I44"/>
  <c r="I49"/>
  <c r="I54"/>
  <c r="I59"/>
  <c r="I64"/>
  <c r="I74"/>
  <c r="I84"/>
  <c r="I79"/>
  <c r="I69"/>
  <c r="I29"/>
  <c r="O406" i="43"/>
  <c r="G390"/>
  <c r="G388"/>
  <c r="J255"/>
  <c r="I256"/>
  <c r="C231" i="23"/>
  <c r="O229"/>
  <c r="C276"/>
  <c r="O274"/>
  <c r="L9" i="22"/>
  <c r="L14"/>
  <c r="L19"/>
  <c r="L24"/>
  <c r="L34"/>
  <c r="L39"/>
  <c r="L44"/>
  <c r="L49"/>
  <c r="L54"/>
  <c r="L59"/>
  <c r="L64"/>
  <c r="L74"/>
  <c r="L79"/>
  <c r="L69"/>
  <c r="L84"/>
  <c r="L29"/>
  <c r="L385"/>
  <c r="H311" i="41"/>
  <c r="H377"/>
  <c r="H128" i="43"/>
  <c r="H309"/>
  <c r="G310"/>
  <c r="G377" s="1"/>
  <c r="J118"/>
  <c r="J399"/>
  <c r="I148"/>
  <c r="I429"/>
  <c r="G443" i="41"/>
  <c r="G445"/>
  <c r="N230" i="23"/>
  <c r="N231" s="1"/>
  <c r="N232" s="1"/>
  <c r="M231"/>
  <c r="M232" s="1"/>
  <c r="G14"/>
  <c r="G39"/>
  <c r="G59"/>
  <c r="G69"/>
  <c r="G79"/>
  <c r="G9"/>
  <c r="G34"/>
  <c r="G54"/>
  <c r="G24"/>
  <c r="G49"/>
  <c r="G74"/>
  <c r="G19"/>
  <c r="G44"/>
  <c r="G64"/>
  <c r="G84"/>
  <c r="G29"/>
  <c r="L295"/>
  <c r="L375"/>
  <c r="L374" s="1"/>
  <c r="E440" i="43"/>
  <c r="E438"/>
  <c r="D314" i="23"/>
  <c r="E314" s="1"/>
  <c r="C315"/>
  <c r="H295" i="22"/>
  <c r="H375"/>
  <c r="H374" s="1"/>
  <c r="H359" i="43"/>
  <c r="G360"/>
  <c r="O416"/>
  <c r="C211" i="22"/>
  <c r="O209"/>
  <c r="D471" i="41"/>
  <c r="D473"/>
  <c r="C271" i="22"/>
  <c r="O269"/>
  <c r="E378" i="43"/>
  <c r="E485"/>
  <c r="E376"/>
  <c r="C24" i="22"/>
  <c r="C84"/>
  <c r="C9"/>
  <c r="C44"/>
  <c r="C29"/>
  <c r="C14"/>
  <c r="C19"/>
  <c r="C49"/>
  <c r="C54"/>
  <c r="C59"/>
  <c r="C64"/>
  <c r="C74"/>
  <c r="C79"/>
  <c r="C34"/>
  <c r="C69"/>
  <c r="C39"/>
  <c r="C385"/>
  <c r="O7"/>
  <c r="N180"/>
  <c r="N182" s="1"/>
  <c r="N183" s="1"/>
  <c r="N165"/>
  <c r="N167" s="1"/>
  <c r="N168" s="1"/>
  <c r="N125"/>
  <c r="N127" s="1"/>
  <c r="N128" s="1"/>
  <c r="N120"/>
  <c r="N122" s="1"/>
  <c r="N123" s="1"/>
  <c r="N115"/>
  <c r="N117" s="1"/>
  <c r="N118" s="1"/>
  <c r="N130"/>
  <c r="N132" s="1"/>
  <c r="N133" s="1"/>
  <c r="N135"/>
  <c r="N137" s="1"/>
  <c r="N138" s="1"/>
  <c r="N140"/>
  <c r="N142" s="1"/>
  <c r="N143" s="1"/>
  <c r="N145"/>
  <c r="N147" s="1"/>
  <c r="N148" s="1"/>
  <c r="N150"/>
  <c r="N152" s="1"/>
  <c r="N153" s="1"/>
  <c r="N155"/>
  <c r="N157" s="1"/>
  <c r="N158" s="1"/>
  <c r="N160"/>
  <c r="N162" s="1"/>
  <c r="N163" s="1"/>
  <c r="N170"/>
  <c r="N172" s="1"/>
  <c r="N173" s="1"/>
  <c r="N105"/>
  <c r="N387" s="1"/>
  <c r="N110"/>
  <c r="N112" s="1"/>
  <c r="N113" s="1"/>
  <c r="N175"/>
  <c r="N177" s="1"/>
  <c r="N178" s="1"/>
  <c r="I237" i="41"/>
  <c r="I424"/>
  <c r="O456" i="43"/>
  <c r="D395"/>
  <c r="M131"/>
  <c r="L132"/>
  <c r="H113"/>
  <c r="H394"/>
  <c r="I220" i="41"/>
  <c r="I221" s="1"/>
  <c r="I283" s="1"/>
  <c r="H221"/>
  <c r="K266" i="43"/>
  <c r="K267" s="1"/>
  <c r="L265"/>
  <c r="E245" i="22"/>
  <c r="D246"/>
  <c r="D247" s="1"/>
  <c r="E481" i="23"/>
  <c r="E93"/>
  <c r="E91"/>
  <c r="E103" i="22"/>
  <c r="I55" i="25"/>
  <c r="H295" i="23"/>
  <c r="H375"/>
  <c r="H374" s="1"/>
  <c r="L19"/>
  <c r="L44"/>
  <c r="L64"/>
  <c r="L84"/>
  <c r="L29"/>
  <c r="L14"/>
  <c r="L39"/>
  <c r="L59"/>
  <c r="L69"/>
  <c r="L79"/>
  <c r="L9"/>
  <c r="L34"/>
  <c r="L54"/>
  <c r="L24"/>
  <c r="L49"/>
  <c r="L74"/>
  <c r="L385"/>
  <c r="F237" i="43"/>
  <c r="F424"/>
  <c r="F283"/>
  <c r="U16" i="25"/>
  <c r="O470" i="43"/>
  <c r="H404" i="41"/>
  <c r="D403" i="43"/>
  <c r="G398"/>
  <c r="C211" i="23"/>
  <c r="O209"/>
  <c r="N46" i="22"/>
  <c r="F482" i="41"/>
  <c r="F188"/>
  <c r="F483"/>
  <c r="F193"/>
  <c r="F190"/>
  <c r="E410" i="43"/>
  <c r="E408"/>
  <c r="J202" i="22"/>
  <c r="G103" i="23"/>
  <c r="G385" s="1"/>
  <c r="K55" i="26"/>
  <c r="M55" i="25"/>
  <c r="I103" i="22"/>
  <c r="D390" i="43"/>
  <c r="D472"/>
  <c r="D477"/>
  <c r="M261"/>
  <c r="M262" s="1"/>
  <c r="N260"/>
  <c r="N261" s="1"/>
  <c r="N262" s="1"/>
  <c r="N41" i="22"/>
  <c r="N417"/>
  <c r="N56"/>
  <c r="N11"/>
  <c r="N90"/>
  <c r="N89" s="1"/>
  <c r="N71"/>
  <c r="U6" i="47"/>
  <c r="I45"/>
  <c r="I55" s="1"/>
  <c r="I158" i="43"/>
  <c r="U4" i="47"/>
  <c r="Q16"/>
  <c r="G45"/>
  <c r="L176" i="43"/>
  <c r="K177"/>
  <c r="E390"/>
  <c r="E472"/>
  <c r="E477"/>
  <c r="E388"/>
  <c r="E250" i="22"/>
  <c r="D251"/>
  <c r="D252" s="1"/>
  <c r="I245" i="43"/>
  <c r="H246"/>
  <c r="G482" i="41"/>
  <c r="G190"/>
  <c r="G188"/>
  <c r="G193"/>
  <c r="E202" i="23"/>
  <c r="O445" i="41"/>
  <c r="O443"/>
  <c r="C231" i="22"/>
  <c r="O229"/>
  <c r="C331" i="23"/>
  <c r="G9" i="22"/>
  <c r="G14"/>
  <c r="G19"/>
  <c r="G24"/>
  <c r="G34"/>
  <c r="G39"/>
  <c r="G44"/>
  <c r="G49"/>
  <c r="G54"/>
  <c r="G59"/>
  <c r="G64"/>
  <c r="G74"/>
  <c r="G84"/>
  <c r="G79"/>
  <c r="G69"/>
  <c r="G29"/>
  <c r="G458" i="41"/>
  <c r="G460"/>
  <c r="N166"/>
  <c r="N167" s="1"/>
  <c r="N168" s="1"/>
  <c r="M167"/>
  <c r="M168" s="1"/>
  <c r="E381"/>
  <c r="E376"/>
  <c r="E485"/>
  <c r="E378"/>
  <c r="M180" i="22"/>
  <c r="M182" s="1"/>
  <c r="M183" s="1"/>
  <c r="M165"/>
  <c r="M167" s="1"/>
  <c r="M168" s="1"/>
  <c r="M125"/>
  <c r="M127" s="1"/>
  <c r="M128" s="1"/>
  <c r="M120"/>
  <c r="M122" s="1"/>
  <c r="M123" s="1"/>
  <c r="M115"/>
  <c r="M117" s="1"/>
  <c r="M118" s="1"/>
  <c r="M130"/>
  <c r="M132" s="1"/>
  <c r="M133" s="1"/>
  <c r="M135"/>
  <c r="M137" s="1"/>
  <c r="M138" s="1"/>
  <c r="M140"/>
  <c r="M142" s="1"/>
  <c r="M143" s="1"/>
  <c r="M145"/>
  <c r="M147" s="1"/>
  <c r="M148" s="1"/>
  <c r="M150"/>
  <c r="M152" s="1"/>
  <c r="M153" s="1"/>
  <c r="M155"/>
  <c r="M157" s="1"/>
  <c r="M158" s="1"/>
  <c r="M160"/>
  <c r="M162" s="1"/>
  <c r="M163" s="1"/>
  <c r="M170"/>
  <c r="M172" s="1"/>
  <c r="M173" s="1"/>
  <c r="M110"/>
  <c r="M112" s="1"/>
  <c r="M113" s="1"/>
  <c r="M175"/>
  <c r="M177" s="1"/>
  <c r="M178" s="1"/>
  <c r="M105"/>
  <c r="M41"/>
  <c r="M56"/>
  <c r="M432"/>
  <c r="M11"/>
  <c r="M387"/>
  <c r="M90"/>
  <c r="M89" s="1"/>
  <c r="M86"/>
  <c r="M462"/>
  <c r="O391" i="43"/>
  <c r="I123"/>
  <c r="F423" i="41"/>
  <c r="F425"/>
  <c r="F477"/>
  <c r="F472"/>
  <c r="F481"/>
  <c r="F93"/>
  <c r="F91"/>
  <c r="J206" i="43"/>
  <c r="K205"/>
  <c r="J299"/>
  <c r="I300"/>
  <c r="C234" i="23"/>
  <c r="C244"/>
  <c r="C219"/>
  <c r="C199"/>
  <c r="C254"/>
  <c r="O197"/>
  <c r="C259"/>
  <c r="C204"/>
  <c r="C224"/>
  <c r="C249"/>
  <c r="C264"/>
  <c r="J103"/>
  <c r="N55" i="26"/>
  <c r="H202" i="23"/>
  <c r="D103"/>
  <c r="H55" i="26"/>
  <c r="M296" i="22"/>
  <c r="I14" i="23"/>
  <c r="I24"/>
  <c r="I39"/>
  <c r="I74"/>
  <c r="I79"/>
  <c r="I19"/>
  <c r="I44"/>
  <c r="I54"/>
  <c r="I84"/>
  <c r="I49"/>
  <c r="I59"/>
  <c r="I69"/>
  <c r="I9"/>
  <c r="I34"/>
  <c r="I64"/>
  <c r="I29"/>
  <c r="J126" i="43"/>
  <c r="I127"/>
  <c r="F311"/>
  <c r="M226"/>
  <c r="N225"/>
  <c r="N226" s="1"/>
  <c r="N227" s="1"/>
  <c r="M294"/>
  <c r="L295"/>
  <c r="C103" i="23"/>
  <c r="G55" i="26"/>
  <c r="S45"/>
  <c r="S55" s="1"/>
  <c r="M369" i="43"/>
  <c r="L370"/>
  <c r="D314" i="22"/>
  <c r="E314" s="1"/>
  <c r="C315"/>
  <c r="K9" i="23"/>
  <c r="K34"/>
  <c r="K54"/>
  <c r="K24"/>
  <c r="K49"/>
  <c r="K74"/>
  <c r="K19"/>
  <c r="K44"/>
  <c r="K64"/>
  <c r="K84"/>
  <c r="K29"/>
  <c r="K14"/>
  <c r="K39"/>
  <c r="K59"/>
  <c r="K69"/>
  <c r="K79"/>
  <c r="K385"/>
  <c r="H19"/>
  <c r="H44"/>
  <c r="H64"/>
  <c r="H84"/>
  <c r="H29"/>
  <c r="H14"/>
  <c r="H39"/>
  <c r="H59"/>
  <c r="H69"/>
  <c r="H79"/>
  <c r="H9"/>
  <c r="H34"/>
  <c r="H54"/>
  <c r="H24"/>
  <c r="H49"/>
  <c r="H74"/>
  <c r="H385"/>
  <c r="F361" i="43"/>
  <c r="F454"/>
  <c r="I103" i="23"/>
  <c r="M55" i="26"/>
  <c r="O469" i="41"/>
  <c r="M349" i="43"/>
  <c r="L350"/>
  <c r="J143"/>
  <c r="J173"/>
  <c r="C481" i="23"/>
  <c r="C91"/>
  <c r="C93"/>
  <c r="H424" i="41"/>
  <c r="H237"/>
  <c r="H283"/>
  <c r="O236"/>
  <c r="O237" s="1"/>
  <c r="K369"/>
  <c r="J370"/>
  <c r="J371" s="1"/>
  <c r="L334" i="43"/>
  <c r="K335"/>
  <c r="M354"/>
  <c r="L355"/>
  <c r="L356" s="1"/>
  <c r="C390"/>
  <c r="C472"/>
  <c r="C477"/>
  <c r="C388"/>
  <c r="D319" i="23"/>
  <c r="E319" s="1"/>
  <c r="C320"/>
  <c r="K55" i="25"/>
  <c r="G103" i="22"/>
  <c r="K173" i="43"/>
  <c r="N103" i="23"/>
  <c r="N385" s="1"/>
  <c r="R55" i="26"/>
  <c r="G222" i="41"/>
  <c r="G409"/>
  <c r="I445"/>
  <c r="I443"/>
  <c r="J267" i="43"/>
  <c r="O461"/>
  <c r="D344" i="23"/>
  <c r="E344" s="1"/>
  <c r="C345"/>
  <c r="J106" i="43"/>
  <c r="I107"/>
  <c r="F189"/>
  <c r="G92" i="41"/>
  <c r="O475" i="43"/>
  <c r="O167" i="41"/>
  <c r="O168" s="1"/>
  <c r="D398" i="43"/>
  <c r="G394"/>
  <c r="D354" i="23" l="1"/>
  <c r="E354" s="1"/>
  <c r="C355"/>
  <c r="C356" s="1"/>
  <c r="E255" i="22"/>
  <c r="D256"/>
  <c r="D257" s="1"/>
  <c r="E210" i="23"/>
  <c r="D211"/>
  <c r="D212" s="1"/>
  <c r="F270" i="22"/>
  <c r="E271"/>
  <c r="E272" s="1"/>
  <c r="F270" i="23"/>
  <c r="E271"/>
  <c r="E272" s="1"/>
  <c r="F334"/>
  <c r="E335"/>
  <c r="E336" s="1"/>
  <c r="D304"/>
  <c r="E304" s="1"/>
  <c r="C305"/>
  <c r="C306" s="1"/>
  <c r="F364"/>
  <c r="E365"/>
  <c r="E366" s="1"/>
  <c r="E260" i="22"/>
  <c r="D261"/>
  <c r="D262" s="1"/>
  <c r="J240" i="23"/>
  <c r="I241"/>
  <c r="I242" s="1"/>
  <c r="D304" i="22"/>
  <c r="E304" s="1"/>
  <c r="C305"/>
  <c r="C306" s="1"/>
  <c r="E260" i="23"/>
  <c r="D261"/>
  <c r="D262" s="1"/>
  <c r="J240" i="22"/>
  <c r="I241"/>
  <c r="I242" s="1"/>
  <c r="D349" i="23"/>
  <c r="E349" s="1"/>
  <c r="C350"/>
  <c r="C351" s="1"/>
  <c r="M417" i="22"/>
  <c r="U16" i="47"/>
  <c r="N447" i="22"/>
  <c r="F364"/>
  <c r="E365"/>
  <c r="E366" s="1"/>
  <c r="D354"/>
  <c r="E354" s="1"/>
  <c r="C355"/>
  <c r="C356" s="1"/>
  <c r="E255" i="23"/>
  <c r="D256"/>
  <c r="D257" s="1"/>
  <c r="F334" i="22"/>
  <c r="E335"/>
  <c r="E336" s="1"/>
  <c r="E210"/>
  <c r="D211"/>
  <c r="D212" s="1"/>
  <c r="D349"/>
  <c r="E349" s="1"/>
  <c r="C350"/>
  <c r="C351" s="1"/>
  <c r="I284" i="41"/>
  <c r="I282"/>
  <c r="I484"/>
  <c r="N386" i="22"/>
  <c r="G378" i="43"/>
  <c r="G376"/>
  <c r="G485"/>
  <c r="G478" i="41"/>
  <c r="G476"/>
  <c r="I405"/>
  <c r="K106" i="43"/>
  <c r="J107"/>
  <c r="C476"/>
  <c r="C478"/>
  <c r="H51" i="23"/>
  <c r="H11"/>
  <c r="H90"/>
  <c r="H89" s="1"/>
  <c r="H66"/>
  <c r="K81"/>
  <c r="K46"/>
  <c r="K26"/>
  <c r="C316" i="22"/>
  <c r="N294" i="43"/>
  <c r="N295" s="1"/>
  <c r="M295"/>
  <c r="I56" i="23"/>
  <c r="I108" i="43"/>
  <c r="I389"/>
  <c r="G105" i="22"/>
  <c r="G110"/>
  <c r="G112" s="1"/>
  <c r="G113" s="1"/>
  <c r="G175"/>
  <c r="G177" s="1"/>
  <c r="G178" s="1"/>
  <c r="G120"/>
  <c r="G122" s="1"/>
  <c r="G123" s="1"/>
  <c r="G115"/>
  <c r="G117" s="1"/>
  <c r="G118" s="1"/>
  <c r="G130"/>
  <c r="G132" s="1"/>
  <c r="G133" s="1"/>
  <c r="G135"/>
  <c r="G137" s="1"/>
  <c r="G138" s="1"/>
  <c r="G140"/>
  <c r="G142" s="1"/>
  <c r="G143" s="1"/>
  <c r="G145"/>
  <c r="G147" s="1"/>
  <c r="G148" s="1"/>
  <c r="G150"/>
  <c r="G152" s="1"/>
  <c r="G153" s="1"/>
  <c r="G155"/>
  <c r="G157" s="1"/>
  <c r="G158" s="1"/>
  <c r="G160"/>
  <c r="G162" s="1"/>
  <c r="G163" s="1"/>
  <c r="G170"/>
  <c r="G172" s="1"/>
  <c r="G173" s="1"/>
  <c r="G165"/>
  <c r="G167" s="1"/>
  <c r="G168" s="1"/>
  <c r="G125"/>
  <c r="G127" s="1"/>
  <c r="G128" s="1"/>
  <c r="G180"/>
  <c r="G182" s="1"/>
  <c r="G183" s="1"/>
  <c r="M334" i="43"/>
  <c r="L335"/>
  <c r="L336" s="1"/>
  <c r="H484" i="41"/>
  <c r="H488" s="1"/>
  <c r="H282"/>
  <c r="H287"/>
  <c r="H284"/>
  <c r="O283"/>
  <c r="N349" i="43"/>
  <c r="N350" s="1"/>
  <c r="N351" s="1"/>
  <c r="M350"/>
  <c r="M351" s="1"/>
  <c r="I110" i="23"/>
  <c r="I112" s="1"/>
  <c r="I113" s="1"/>
  <c r="I120"/>
  <c r="I122" s="1"/>
  <c r="I123" s="1"/>
  <c r="I130"/>
  <c r="I132" s="1"/>
  <c r="I133" s="1"/>
  <c r="I150"/>
  <c r="I152" s="1"/>
  <c r="I153" s="1"/>
  <c r="I170"/>
  <c r="I172" s="1"/>
  <c r="I173" s="1"/>
  <c r="I105"/>
  <c r="I115"/>
  <c r="I117" s="1"/>
  <c r="I118" s="1"/>
  <c r="I140"/>
  <c r="I142" s="1"/>
  <c r="I143" s="1"/>
  <c r="I155"/>
  <c r="I157" s="1"/>
  <c r="I158" s="1"/>
  <c r="I165"/>
  <c r="I167" s="1"/>
  <c r="I168" s="1"/>
  <c r="I145"/>
  <c r="I147" s="1"/>
  <c r="I148" s="1"/>
  <c r="I125"/>
  <c r="I127" s="1"/>
  <c r="I128" s="1"/>
  <c r="I160"/>
  <c r="I162" s="1"/>
  <c r="I163" s="1"/>
  <c r="I175"/>
  <c r="I177" s="1"/>
  <c r="I178" s="1"/>
  <c r="I135"/>
  <c r="I137" s="1"/>
  <c r="I138" s="1"/>
  <c r="I180"/>
  <c r="I182" s="1"/>
  <c r="I183" s="1"/>
  <c r="H76"/>
  <c r="H36"/>
  <c r="H61"/>
  <c r="H86"/>
  <c r="K41"/>
  <c r="K66"/>
  <c r="K51"/>
  <c r="K11"/>
  <c r="K90"/>
  <c r="K89" s="1"/>
  <c r="N369" i="43"/>
  <c r="N370" s="1"/>
  <c r="M370"/>
  <c r="L296"/>
  <c r="I11" i="23"/>
  <c r="I387"/>
  <c r="I90"/>
  <c r="I89" s="1"/>
  <c r="I86"/>
  <c r="I462"/>
  <c r="I81"/>
  <c r="I457"/>
  <c r="I16"/>
  <c r="I392"/>
  <c r="D130"/>
  <c r="D132" s="1"/>
  <c r="D133" s="1"/>
  <c r="D150"/>
  <c r="D152" s="1"/>
  <c r="D153" s="1"/>
  <c r="D170"/>
  <c r="D172" s="1"/>
  <c r="D173" s="1"/>
  <c r="D110"/>
  <c r="D112" s="1"/>
  <c r="D113" s="1"/>
  <c r="D115"/>
  <c r="D117" s="1"/>
  <c r="D118" s="1"/>
  <c r="D145"/>
  <c r="D147" s="1"/>
  <c r="D148" s="1"/>
  <c r="D160"/>
  <c r="D162" s="1"/>
  <c r="D163" s="1"/>
  <c r="D180"/>
  <c r="D182" s="1"/>
  <c r="D183" s="1"/>
  <c r="D125"/>
  <c r="D127" s="1"/>
  <c r="D128" s="1"/>
  <c r="D105"/>
  <c r="D120"/>
  <c r="D122" s="1"/>
  <c r="D123" s="1"/>
  <c r="D140"/>
  <c r="D142" s="1"/>
  <c r="D143" s="1"/>
  <c r="D155"/>
  <c r="D157" s="1"/>
  <c r="D158" s="1"/>
  <c r="D165"/>
  <c r="D167" s="1"/>
  <c r="D168" s="1"/>
  <c r="D175"/>
  <c r="D177" s="1"/>
  <c r="D178" s="1"/>
  <c r="D135"/>
  <c r="D137" s="1"/>
  <c r="D138" s="1"/>
  <c r="J130"/>
  <c r="J132" s="1"/>
  <c r="J133" s="1"/>
  <c r="J150"/>
  <c r="J152" s="1"/>
  <c r="J153" s="1"/>
  <c r="J110"/>
  <c r="J112" s="1"/>
  <c r="J113" s="1"/>
  <c r="J115"/>
  <c r="J117" s="1"/>
  <c r="J118" s="1"/>
  <c r="J145"/>
  <c r="J147" s="1"/>
  <c r="J148" s="1"/>
  <c r="J170"/>
  <c r="J172" s="1"/>
  <c r="J173" s="1"/>
  <c r="J120"/>
  <c r="J122" s="1"/>
  <c r="J123" s="1"/>
  <c r="J140"/>
  <c r="J142" s="1"/>
  <c r="J143" s="1"/>
  <c r="J160"/>
  <c r="J162" s="1"/>
  <c r="J163" s="1"/>
  <c r="J180"/>
  <c r="J182" s="1"/>
  <c r="J183" s="1"/>
  <c r="J125"/>
  <c r="J127" s="1"/>
  <c r="J128" s="1"/>
  <c r="J105"/>
  <c r="J135"/>
  <c r="J137" s="1"/>
  <c r="J138" s="1"/>
  <c r="J155"/>
  <c r="J157" s="1"/>
  <c r="J158" s="1"/>
  <c r="J165"/>
  <c r="J167" s="1"/>
  <c r="J168" s="1"/>
  <c r="J175"/>
  <c r="J177" s="1"/>
  <c r="J178" s="1"/>
  <c r="C206"/>
  <c r="O204"/>
  <c r="C201"/>
  <c r="C281"/>
  <c r="O199"/>
  <c r="I301" i="43"/>
  <c r="F473" i="41"/>
  <c r="F471"/>
  <c r="M461" i="22"/>
  <c r="M463"/>
  <c r="M92"/>
  <c r="M12"/>
  <c r="M42"/>
  <c r="M419"/>
  <c r="M420" s="1"/>
  <c r="G71"/>
  <c r="G447"/>
  <c r="G66"/>
  <c r="G442"/>
  <c r="G46"/>
  <c r="G422"/>
  <c r="G21"/>
  <c r="G397"/>
  <c r="H247" i="43"/>
  <c r="K178"/>
  <c r="N416" i="22"/>
  <c r="D476" i="43"/>
  <c r="D478"/>
  <c r="O469"/>
  <c r="L56" i="23"/>
  <c r="L71"/>
  <c r="L31"/>
  <c r="L21"/>
  <c r="E105" i="22"/>
  <c r="E110"/>
  <c r="E112" s="1"/>
  <c r="E113" s="1"/>
  <c r="E175"/>
  <c r="E177" s="1"/>
  <c r="E178" s="1"/>
  <c r="E115"/>
  <c r="E117" s="1"/>
  <c r="E118" s="1"/>
  <c r="E130"/>
  <c r="E132" s="1"/>
  <c r="E133" s="1"/>
  <c r="E135"/>
  <c r="E137" s="1"/>
  <c r="E138" s="1"/>
  <c r="E140"/>
  <c r="E142" s="1"/>
  <c r="E143" s="1"/>
  <c r="E145"/>
  <c r="E147" s="1"/>
  <c r="E148" s="1"/>
  <c r="E150"/>
  <c r="E152" s="1"/>
  <c r="E153" s="1"/>
  <c r="E155"/>
  <c r="E157" s="1"/>
  <c r="E158" s="1"/>
  <c r="E160"/>
  <c r="E162" s="1"/>
  <c r="E163" s="1"/>
  <c r="E170"/>
  <c r="E172" s="1"/>
  <c r="E173" s="1"/>
  <c r="E120"/>
  <c r="E122" s="1"/>
  <c r="E123" s="1"/>
  <c r="E165"/>
  <c r="E167" s="1"/>
  <c r="E168" s="1"/>
  <c r="E125"/>
  <c r="E127" s="1"/>
  <c r="E128" s="1"/>
  <c r="E180"/>
  <c r="E182" s="1"/>
  <c r="E183" s="1"/>
  <c r="H409" i="41"/>
  <c r="H410" s="1"/>
  <c r="H222"/>
  <c r="L133" i="43"/>
  <c r="C71" i="22"/>
  <c r="O69"/>
  <c r="C66"/>
  <c r="O64"/>
  <c r="C21"/>
  <c r="O19"/>
  <c r="C11"/>
  <c r="C90"/>
  <c r="O9"/>
  <c r="G46" i="23"/>
  <c r="G26"/>
  <c r="G81"/>
  <c r="G16"/>
  <c r="I309" i="43"/>
  <c r="H310"/>
  <c r="L71" i="22"/>
  <c r="L61"/>
  <c r="L41"/>
  <c r="L16"/>
  <c r="O230" i="23"/>
  <c r="O228"/>
  <c r="I71" i="22"/>
  <c r="I66"/>
  <c r="I46"/>
  <c r="I21"/>
  <c r="H31"/>
  <c r="H76"/>
  <c r="H51"/>
  <c r="H26"/>
  <c r="J123" i="43"/>
  <c r="D66" i="22"/>
  <c r="D46"/>
  <c r="D21"/>
  <c r="D86"/>
  <c r="J158" i="43"/>
  <c r="N464" i="22"/>
  <c r="N465" s="1"/>
  <c r="N87"/>
  <c r="N77"/>
  <c r="F225"/>
  <c r="E226"/>
  <c r="D310"/>
  <c r="O308"/>
  <c r="O358"/>
  <c r="D370"/>
  <c r="O368"/>
  <c r="D330"/>
  <c r="O328"/>
  <c r="E71"/>
  <c r="E447"/>
  <c r="E66"/>
  <c r="E442"/>
  <c r="E46"/>
  <c r="E422"/>
  <c r="E21"/>
  <c r="E397"/>
  <c r="F410" i="43"/>
  <c r="F408"/>
  <c r="I235"/>
  <c r="H236"/>
  <c r="I364"/>
  <c r="H365"/>
  <c r="F245" i="23"/>
  <c r="E246"/>
  <c r="E247" s="1"/>
  <c r="K31" i="22"/>
  <c r="K76"/>
  <c r="K51"/>
  <c r="K26"/>
  <c r="H366" i="41"/>
  <c r="C221" i="22"/>
  <c r="O219"/>
  <c r="C251"/>
  <c r="O249"/>
  <c r="C206"/>
  <c r="O204"/>
  <c r="M41" i="23"/>
  <c r="M76"/>
  <c r="M36"/>
  <c r="M66"/>
  <c r="L146" i="43"/>
  <c r="K147"/>
  <c r="J26" i="23"/>
  <c r="J402"/>
  <c r="J81"/>
  <c r="J457"/>
  <c r="J16"/>
  <c r="J392"/>
  <c r="J46"/>
  <c r="J422"/>
  <c r="G435" i="43"/>
  <c r="G433"/>
  <c r="F105" i="22"/>
  <c r="F110"/>
  <c r="F112" s="1"/>
  <c r="F113" s="1"/>
  <c r="F175"/>
  <c r="F177" s="1"/>
  <c r="F178" s="1"/>
  <c r="F120"/>
  <c r="F122" s="1"/>
  <c r="F123" s="1"/>
  <c r="F115"/>
  <c r="F117" s="1"/>
  <c r="F118" s="1"/>
  <c r="F130"/>
  <c r="F132" s="1"/>
  <c r="F133" s="1"/>
  <c r="F135"/>
  <c r="F137" s="1"/>
  <c r="F138" s="1"/>
  <c r="F140"/>
  <c r="F142" s="1"/>
  <c r="F143" s="1"/>
  <c r="F145"/>
  <c r="F147" s="1"/>
  <c r="F148" s="1"/>
  <c r="F150"/>
  <c r="F152" s="1"/>
  <c r="F153" s="1"/>
  <c r="F155"/>
  <c r="F157" s="1"/>
  <c r="F158" s="1"/>
  <c r="F160"/>
  <c r="F162" s="1"/>
  <c r="F163" s="1"/>
  <c r="F170"/>
  <c r="F172" s="1"/>
  <c r="F173" s="1"/>
  <c r="F165"/>
  <c r="F167" s="1"/>
  <c r="F168" s="1"/>
  <c r="F125"/>
  <c r="F127" s="1"/>
  <c r="F128" s="1"/>
  <c r="F180"/>
  <c r="F182" s="1"/>
  <c r="F183" s="1"/>
  <c r="O273"/>
  <c r="O238" i="23"/>
  <c r="O240"/>
  <c r="G168" i="43"/>
  <c r="G449"/>
  <c r="G189"/>
  <c r="L143"/>
  <c r="E265" i="23"/>
  <c r="D266"/>
  <c r="D267" s="1"/>
  <c r="F11"/>
  <c r="F90"/>
  <c r="F89" s="1"/>
  <c r="F41"/>
  <c r="F66"/>
  <c r="F51"/>
  <c r="H105" i="22"/>
  <c r="H110"/>
  <c r="H112" s="1"/>
  <c r="H113" s="1"/>
  <c r="H175"/>
  <c r="H177" s="1"/>
  <c r="H178" s="1"/>
  <c r="H120"/>
  <c r="H122" s="1"/>
  <c r="H123" s="1"/>
  <c r="H115"/>
  <c r="H117" s="1"/>
  <c r="H118" s="1"/>
  <c r="H130"/>
  <c r="H132" s="1"/>
  <c r="H133" s="1"/>
  <c r="H135"/>
  <c r="H137" s="1"/>
  <c r="H138" s="1"/>
  <c r="H140"/>
  <c r="H142" s="1"/>
  <c r="H143" s="1"/>
  <c r="H145"/>
  <c r="H147" s="1"/>
  <c r="H148" s="1"/>
  <c r="H150"/>
  <c r="H152" s="1"/>
  <c r="H153" s="1"/>
  <c r="H155"/>
  <c r="H157" s="1"/>
  <c r="H158" s="1"/>
  <c r="H160"/>
  <c r="H162" s="1"/>
  <c r="H163" s="1"/>
  <c r="H170"/>
  <c r="H172" s="1"/>
  <c r="H173" s="1"/>
  <c r="H165"/>
  <c r="H167" s="1"/>
  <c r="H168" s="1"/>
  <c r="H125"/>
  <c r="H127" s="1"/>
  <c r="H128" s="1"/>
  <c r="H180"/>
  <c r="H182" s="1"/>
  <c r="H183" s="1"/>
  <c r="I82" i="41"/>
  <c r="H390" i="43"/>
  <c r="H388"/>
  <c r="F86" i="22"/>
  <c r="F462"/>
  <c r="F56"/>
  <c r="F432"/>
  <c r="F36"/>
  <c r="F412"/>
  <c r="F11"/>
  <c r="F387"/>
  <c r="F90"/>
  <c r="F89" s="1"/>
  <c r="M314" i="43"/>
  <c r="L315"/>
  <c r="L316" s="1"/>
  <c r="N171"/>
  <c r="N172" s="1"/>
  <c r="M172"/>
  <c r="J31" i="22"/>
  <c r="J76"/>
  <c r="J51"/>
  <c r="J26"/>
  <c r="J105"/>
  <c r="J110"/>
  <c r="J112" s="1"/>
  <c r="J113" s="1"/>
  <c r="J175"/>
  <c r="J177" s="1"/>
  <c r="J178" s="1"/>
  <c r="J120"/>
  <c r="J122" s="1"/>
  <c r="J123" s="1"/>
  <c r="J115"/>
  <c r="J117" s="1"/>
  <c r="J118" s="1"/>
  <c r="J130"/>
  <c r="J132" s="1"/>
  <c r="J133" s="1"/>
  <c r="J135"/>
  <c r="J137" s="1"/>
  <c r="J138" s="1"/>
  <c r="J140"/>
  <c r="J142" s="1"/>
  <c r="J143" s="1"/>
  <c r="J145"/>
  <c r="J147" s="1"/>
  <c r="J148" s="1"/>
  <c r="J150"/>
  <c r="J152" s="1"/>
  <c r="J153" s="1"/>
  <c r="J155"/>
  <c r="J157" s="1"/>
  <c r="J158" s="1"/>
  <c r="J160"/>
  <c r="J162" s="1"/>
  <c r="J163" s="1"/>
  <c r="J170"/>
  <c r="J172" s="1"/>
  <c r="J173" s="1"/>
  <c r="J165"/>
  <c r="J167" s="1"/>
  <c r="J168" s="1"/>
  <c r="J125"/>
  <c r="J127" s="1"/>
  <c r="J128" s="1"/>
  <c r="J180"/>
  <c r="J182" s="1"/>
  <c r="J183" s="1"/>
  <c r="H341" i="43"/>
  <c r="H434"/>
  <c r="K105" i="22"/>
  <c r="K110"/>
  <c r="K112" s="1"/>
  <c r="K113" s="1"/>
  <c r="K175"/>
  <c r="K177" s="1"/>
  <c r="K178" s="1"/>
  <c r="K120"/>
  <c r="K122" s="1"/>
  <c r="K123" s="1"/>
  <c r="K115"/>
  <c r="K117" s="1"/>
  <c r="K118" s="1"/>
  <c r="K130"/>
  <c r="K132" s="1"/>
  <c r="K133" s="1"/>
  <c r="K135"/>
  <c r="K137" s="1"/>
  <c r="K138" s="1"/>
  <c r="K140"/>
  <c r="K142" s="1"/>
  <c r="K143" s="1"/>
  <c r="K145"/>
  <c r="K147" s="1"/>
  <c r="K148" s="1"/>
  <c r="K150"/>
  <c r="K152" s="1"/>
  <c r="K153" s="1"/>
  <c r="K155"/>
  <c r="K157" s="1"/>
  <c r="K158" s="1"/>
  <c r="K160"/>
  <c r="K162" s="1"/>
  <c r="K163" s="1"/>
  <c r="K170"/>
  <c r="K172" s="1"/>
  <c r="K173" s="1"/>
  <c r="K165"/>
  <c r="K167" s="1"/>
  <c r="K168" s="1"/>
  <c r="K125"/>
  <c r="K127" s="1"/>
  <c r="K128" s="1"/>
  <c r="K180"/>
  <c r="K182" s="1"/>
  <c r="K183" s="1"/>
  <c r="N41" i="23"/>
  <c r="N26"/>
  <c r="N31"/>
  <c r="N21"/>
  <c r="E488" i="43"/>
  <c r="E489"/>
  <c r="H449" i="41"/>
  <c r="H450" s="1"/>
  <c r="H72"/>
  <c r="D359" i="22"/>
  <c r="E359" s="1"/>
  <c r="C360"/>
  <c r="O358" i="23"/>
  <c r="D305"/>
  <c r="O303"/>
  <c r="D330"/>
  <c r="O328"/>
  <c r="D345"/>
  <c r="D346" s="1"/>
  <c r="O343"/>
  <c r="N32" i="22"/>
  <c r="N67"/>
  <c r="D86" i="23"/>
  <c r="D462"/>
  <c r="O84"/>
  <c r="D76"/>
  <c r="D452"/>
  <c r="O74"/>
  <c r="D36"/>
  <c r="D412"/>
  <c r="O34"/>
  <c r="D61"/>
  <c r="D437"/>
  <c r="O59"/>
  <c r="O216"/>
  <c r="O217" s="1"/>
  <c r="C217"/>
  <c r="I385"/>
  <c r="N422" i="22"/>
  <c r="M457"/>
  <c r="M422"/>
  <c r="F472" i="43"/>
  <c r="O484" i="41"/>
  <c r="M407" i="22"/>
  <c r="M412"/>
  <c r="N412"/>
  <c r="N437"/>
  <c r="F385"/>
  <c r="M447"/>
  <c r="M397"/>
  <c r="F483" i="43"/>
  <c r="F188"/>
  <c r="F190"/>
  <c r="F482"/>
  <c r="K336"/>
  <c r="H56" i="23"/>
  <c r="H31"/>
  <c r="H21"/>
  <c r="K61"/>
  <c r="K86"/>
  <c r="K36"/>
  <c r="L371" i="43"/>
  <c r="L464"/>
  <c r="C120" i="23"/>
  <c r="C130"/>
  <c r="C170"/>
  <c r="C125"/>
  <c r="C110"/>
  <c r="C135"/>
  <c r="C145"/>
  <c r="C115"/>
  <c r="C150"/>
  <c r="C155"/>
  <c r="C165"/>
  <c r="C105"/>
  <c r="C140"/>
  <c r="C160"/>
  <c r="C180"/>
  <c r="C175"/>
  <c r="C385"/>
  <c r="O103"/>
  <c r="M227" i="43"/>
  <c r="O226"/>
  <c r="K126"/>
  <c r="J127"/>
  <c r="I36" i="23"/>
  <c r="I412"/>
  <c r="I51"/>
  <c r="I427"/>
  <c r="I21"/>
  <c r="I397"/>
  <c r="I26"/>
  <c r="I402"/>
  <c r="C226"/>
  <c r="O224"/>
  <c r="C256"/>
  <c r="O254"/>
  <c r="C236"/>
  <c r="O234"/>
  <c r="J207" i="43"/>
  <c r="F490" i="41"/>
  <c r="M386" i="22"/>
  <c r="M416"/>
  <c r="M418"/>
  <c r="G31"/>
  <c r="G407"/>
  <c r="G76"/>
  <c r="G452"/>
  <c r="G51"/>
  <c r="G427"/>
  <c r="G26"/>
  <c r="G402"/>
  <c r="F250"/>
  <c r="E251"/>
  <c r="E252" s="1"/>
  <c r="N57"/>
  <c r="I105"/>
  <c r="I110"/>
  <c r="I112" s="1"/>
  <c r="I113" s="1"/>
  <c r="I175"/>
  <c r="I177" s="1"/>
  <c r="I178" s="1"/>
  <c r="I120"/>
  <c r="I122" s="1"/>
  <c r="I123" s="1"/>
  <c r="I115"/>
  <c r="I117" s="1"/>
  <c r="I118" s="1"/>
  <c r="I130"/>
  <c r="I132" s="1"/>
  <c r="I133" s="1"/>
  <c r="I135"/>
  <c r="I137" s="1"/>
  <c r="I138" s="1"/>
  <c r="I140"/>
  <c r="I142" s="1"/>
  <c r="I143" s="1"/>
  <c r="I145"/>
  <c r="I147" s="1"/>
  <c r="I148" s="1"/>
  <c r="I150"/>
  <c r="I152" s="1"/>
  <c r="I153" s="1"/>
  <c r="I155"/>
  <c r="I157" s="1"/>
  <c r="I158" s="1"/>
  <c r="I160"/>
  <c r="I162" s="1"/>
  <c r="I163" s="1"/>
  <c r="I170"/>
  <c r="I172" s="1"/>
  <c r="I173" s="1"/>
  <c r="I165"/>
  <c r="I167" s="1"/>
  <c r="I168" s="1"/>
  <c r="I125"/>
  <c r="I127" s="1"/>
  <c r="I128" s="1"/>
  <c r="I180"/>
  <c r="I182" s="1"/>
  <c r="I183" s="1"/>
  <c r="C212" i="23"/>
  <c r="H403" i="41"/>
  <c r="H405"/>
  <c r="L26" i="23"/>
  <c r="L81"/>
  <c r="L16"/>
  <c r="L46"/>
  <c r="I425" i="41"/>
  <c r="I423"/>
  <c r="N107" i="22"/>
  <c r="N187"/>
  <c r="N186" s="1"/>
  <c r="C41"/>
  <c r="O39"/>
  <c r="C76"/>
  <c r="O74"/>
  <c r="C51"/>
  <c r="O49"/>
  <c r="C46"/>
  <c r="O44"/>
  <c r="C272"/>
  <c r="C212"/>
  <c r="I359" i="43"/>
  <c r="H360"/>
  <c r="F314" i="23"/>
  <c r="E315"/>
  <c r="E316" s="1"/>
  <c r="L296"/>
  <c r="G66"/>
  <c r="G51"/>
  <c r="G11"/>
  <c r="G90"/>
  <c r="G89" s="1"/>
  <c r="G41"/>
  <c r="G311" i="43"/>
  <c r="G404"/>
  <c r="H376" i="41"/>
  <c r="H485"/>
  <c r="H378"/>
  <c r="H381"/>
  <c r="L86" i="22"/>
  <c r="L66"/>
  <c r="L46"/>
  <c r="L21"/>
  <c r="O276" i="23"/>
  <c r="O277" s="1"/>
  <c r="C277"/>
  <c r="K255" i="43"/>
  <c r="J256"/>
  <c r="I31" i="22"/>
  <c r="I407"/>
  <c r="I76"/>
  <c r="I452"/>
  <c r="I51"/>
  <c r="I427"/>
  <c r="I26"/>
  <c r="I402"/>
  <c r="H86"/>
  <c r="H462"/>
  <c r="H56"/>
  <c r="H432"/>
  <c r="H36"/>
  <c r="H412"/>
  <c r="H11"/>
  <c r="H387"/>
  <c r="H90"/>
  <c r="H89" s="1"/>
  <c r="I220" i="43"/>
  <c r="H221"/>
  <c r="K242"/>
  <c r="M77" i="22"/>
  <c r="M404"/>
  <c r="M405" s="1"/>
  <c r="M27"/>
  <c r="F250" i="23"/>
  <c r="E251"/>
  <c r="E252" s="1"/>
  <c r="D76" i="22"/>
  <c r="D51"/>
  <c r="D26"/>
  <c r="D81"/>
  <c r="L156" i="43"/>
  <c r="K157"/>
  <c r="D227" i="22"/>
  <c r="D355"/>
  <c r="O353"/>
  <c r="D365"/>
  <c r="O363"/>
  <c r="D315"/>
  <c r="D316" s="1"/>
  <c r="O313"/>
  <c r="D340"/>
  <c r="D341" s="1"/>
  <c r="O338"/>
  <c r="E31"/>
  <c r="E407"/>
  <c r="E76"/>
  <c r="E452"/>
  <c r="E51"/>
  <c r="E427"/>
  <c r="E26"/>
  <c r="E402"/>
  <c r="E478" i="41"/>
  <c r="E476"/>
  <c r="G237" i="43"/>
  <c r="G283"/>
  <c r="G424"/>
  <c r="G366"/>
  <c r="G459"/>
  <c r="K86" i="22"/>
  <c r="K462"/>
  <c r="K56"/>
  <c r="K432"/>
  <c r="K36"/>
  <c r="K412"/>
  <c r="K11"/>
  <c r="K90"/>
  <c r="K89" s="1"/>
  <c r="K387"/>
  <c r="J112" i="43"/>
  <c r="K111"/>
  <c r="H130" i="23"/>
  <c r="H132" s="1"/>
  <c r="H133" s="1"/>
  <c r="H150"/>
  <c r="H152" s="1"/>
  <c r="H153" s="1"/>
  <c r="H110"/>
  <c r="H112" s="1"/>
  <c r="H113" s="1"/>
  <c r="H115"/>
  <c r="H117" s="1"/>
  <c r="H118" s="1"/>
  <c r="H145"/>
  <c r="H147" s="1"/>
  <c r="H148" s="1"/>
  <c r="H170"/>
  <c r="H172" s="1"/>
  <c r="H173" s="1"/>
  <c r="H120"/>
  <c r="H122" s="1"/>
  <c r="H123" s="1"/>
  <c r="H140"/>
  <c r="H142" s="1"/>
  <c r="H143" s="1"/>
  <c r="H160"/>
  <c r="H162" s="1"/>
  <c r="H163" s="1"/>
  <c r="H180"/>
  <c r="H182" s="1"/>
  <c r="H183" s="1"/>
  <c r="H125"/>
  <c r="H127" s="1"/>
  <c r="H128" s="1"/>
  <c r="H105"/>
  <c r="H387" s="1"/>
  <c r="H135"/>
  <c r="H137" s="1"/>
  <c r="H138" s="1"/>
  <c r="H155"/>
  <c r="H157" s="1"/>
  <c r="H158" s="1"/>
  <c r="H165"/>
  <c r="H167" s="1"/>
  <c r="H168" s="1"/>
  <c r="H175"/>
  <c r="H177" s="1"/>
  <c r="H178" s="1"/>
  <c r="D120" i="22"/>
  <c r="D122" s="1"/>
  <c r="D123" s="1"/>
  <c r="D115"/>
  <c r="D117" s="1"/>
  <c r="D118" s="1"/>
  <c r="D130"/>
  <c r="D132" s="1"/>
  <c r="D133" s="1"/>
  <c r="D135"/>
  <c r="D137" s="1"/>
  <c r="D138" s="1"/>
  <c r="D140"/>
  <c r="D142" s="1"/>
  <c r="D143" s="1"/>
  <c r="D145"/>
  <c r="D147" s="1"/>
  <c r="D148" s="1"/>
  <c r="D150"/>
  <c r="D152" s="1"/>
  <c r="D153" s="1"/>
  <c r="D155"/>
  <c r="D157" s="1"/>
  <c r="D158" s="1"/>
  <c r="D160"/>
  <c r="D162" s="1"/>
  <c r="D163" s="1"/>
  <c r="D170"/>
  <c r="D172" s="1"/>
  <c r="D173" s="1"/>
  <c r="D165"/>
  <c r="D167" s="1"/>
  <c r="D168" s="1"/>
  <c r="D125"/>
  <c r="D127" s="1"/>
  <c r="D128" s="1"/>
  <c r="D105"/>
  <c r="D110"/>
  <c r="D112" s="1"/>
  <c r="D113" s="1"/>
  <c r="D175"/>
  <c r="D177" s="1"/>
  <c r="D178" s="1"/>
  <c r="D180"/>
  <c r="D182" s="1"/>
  <c r="D183" s="1"/>
  <c r="C256"/>
  <c r="O254"/>
  <c r="C226"/>
  <c r="O224"/>
  <c r="M61" i="23"/>
  <c r="M16"/>
  <c r="M56"/>
  <c r="M86"/>
  <c r="H420" i="43"/>
  <c r="H418"/>
  <c r="J148"/>
  <c r="J429"/>
  <c r="J51" i="23"/>
  <c r="J427"/>
  <c r="J11"/>
  <c r="J387"/>
  <c r="J90"/>
  <c r="J89" s="1"/>
  <c r="J41"/>
  <c r="J417"/>
  <c r="J66"/>
  <c r="J442"/>
  <c r="K309" i="41"/>
  <c r="J310"/>
  <c r="L296" i="22"/>
  <c r="N151" i="43"/>
  <c r="N152" s="1"/>
  <c r="M152"/>
  <c r="M62" i="22"/>
  <c r="M17"/>
  <c r="M394"/>
  <c r="M395" s="1"/>
  <c r="E110" i="23"/>
  <c r="E115"/>
  <c r="E145"/>
  <c r="E160"/>
  <c r="E180"/>
  <c r="E125"/>
  <c r="E120"/>
  <c r="E140"/>
  <c r="E155"/>
  <c r="E165"/>
  <c r="E175"/>
  <c r="E105"/>
  <c r="E135"/>
  <c r="E130"/>
  <c r="E150"/>
  <c r="E170"/>
  <c r="E385"/>
  <c r="M162" i="43"/>
  <c r="N161"/>
  <c r="N162" s="1"/>
  <c r="F339" i="22"/>
  <c r="E340"/>
  <c r="E341" s="1"/>
  <c r="L230" i="43"/>
  <c r="K231"/>
  <c r="E265" i="22"/>
  <c r="D266"/>
  <c r="D267" s="1"/>
  <c r="F36" i="23"/>
  <c r="F61"/>
  <c r="F86"/>
  <c r="F76"/>
  <c r="N82" i="22"/>
  <c r="N394"/>
  <c r="N395" s="1"/>
  <c r="N17"/>
  <c r="F225" i="23"/>
  <c r="E226"/>
  <c r="D489" i="43"/>
  <c r="D488"/>
  <c r="K80" i="41"/>
  <c r="J81"/>
  <c r="F460" i="43"/>
  <c r="F458"/>
  <c r="F81" i="22"/>
  <c r="F457"/>
  <c r="F61"/>
  <c r="F437"/>
  <c r="F41"/>
  <c r="F417"/>
  <c r="F16"/>
  <c r="F392"/>
  <c r="K316" i="43"/>
  <c r="L173"/>
  <c r="O172"/>
  <c r="J86" i="22"/>
  <c r="J462"/>
  <c r="J56"/>
  <c r="J432"/>
  <c r="J36"/>
  <c r="J412"/>
  <c r="J11"/>
  <c r="J387"/>
  <c r="J90"/>
  <c r="J89" s="1"/>
  <c r="G252" i="43"/>
  <c r="G439"/>
  <c r="M52" i="22"/>
  <c r="M67"/>
  <c r="N71" i="23"/>
  <c r="N51"/>
  <c r="N11"/>
  <c r="N90"/>
  <c r="N89" s="1"/>
  <c r="N46"/>
  <c r="F120"/>
  <c r="F122" s="1"/>
  <c r="F123" s="1"/>
  <c r="F140"/>
  <c r="F142" s="1"/>
  <c r="F143" s="1"/>
  <c r="F155"/>
  <c r="F157" s="1"/>
  <c r="F158" s="1"/>
  <c r="F165"/>
  <c r="F167" s="1"/>
  <c r="F168" s="1"/>
  <c r="F175"/>
  <c r="F177" s="1"/>
  <c r="F178" s="1"/>
  <c r="F105"/>
  <c r="F387" s="1"/>
  <c r="F135"/>
  <c r="F137" s="1"/>
  <c r="F138" s="1"/>
  <c r="F130"/>
  <c r="F132" s="1"/>
  <c r="F133" s="1"/>
  <c r="F150"/>
  <c r="F152" s="1"/>
  <c r="F153" s="1"/>
  <c r="F170"/>
  <c r="F172" s="1"/>
  <c r="F173" s="1"/>
  <c r="F110"/>
  <c r="F112" s="1"/>
  <c r="F113" s="1"/>
  <c r="F115"/>
  <c r="F117" s="1"/>
  <c r="F118" s="1"/>
  <c r="F145"/>
  <c r="F147" s="1"/>
  <c r="F148" s="1"/>
  <c r="F160"/>
  <c r="F162" s="1"/>
  <c r="F163" s="1"/>
  <c r="F180"/>
  <c r="F182" s="1"/>
  <c r="F183" s="1"/>
  <c r="F125"/>
  <c r="F127" s="1"/>
  <c r="F128" s="1"/>
  <c r="D370"/>
  <c r="O368"/>
  <c r="D355"/>
  <c r="O353"/>
  <c r="D335"/>
  <c r="O333"/>
  <c r="D350"/>
  <c r="O348"/>
  <c r="D31"/>
  <c r="D407"/>
  <c r="O29"/>
  <c r="D21"/>
  <c r="D397"/>
  <c r="O19"/>
  <c r="D56"/>
  <c r="D432"/>
  <c r="O54"/>
  <c r="D71"/>
  <c r="D447"/>
  <c r="O69"/>
  <c r="O213"/>
  <c r="O215"/>
  <c r="N462" i="22"/>
  <c r="N452"/>
  <c r="P284" i="41"/>
  <c r="O295" i="43"/>
  <c r="G472" i="41"/>
  <c r="N407" i="22"/>
  <c r="N442"/>
  <c r="O261" i="43"/>
  <c r="O474"/>
  <c r="F344" i="23"/>
  <c r="E345"/>
  <c r="E346" s="1"/>
  <c r="F319"/>
  <c r="E320"/>
  <c r="L351" i="43"/>
  <c r="O350"/>
  <c r="H71" i="23"/>
  <c r="H447"/>
  <c r="K76"/>
  <c r="G395" i="43"/>
  <c r="G393"/>
  <c r="G481" i="41"/>
  <c r="G490" s="1"/>
  <c r="G93"/>
  <c r="G91"/>
  <c r="C346" i="23"/>
  <c r="G408" i="41"/>
  <c r="G410"/>
  <c r="C321" i="23"/>
  <c r="C473" i="43"/>
  <c r="C471"/>
  <c r="N354"/>
  <c r="N355" s="1"/>
  <c r="N356" s="1"/>
  <c r="M355"/>
  <c r="M356" s="1"/>
  <c r="L369" i="41"/>
  <c r="K370"/>
  <c r="K371" s="1"/>
  <c r="H425"/>
  <c r="O424"/>
  <c r="H26" i="23"/>
  <c r="H402"/>
  <c r="H81"/>
  <c r="H457"/>
  <c r="H16"/>
  <c r="H392"/>
  <c r="H46"/>
  <c r="H422"/>
  <c r="K71"/>
  <c r="K31"/>
  <c r="K21"/>
  <c r="K56"/>
  <c r="F314" i="22"/>
  <c r="E315"/>
  <c r="E316" s="1"/>
  <c r="I128" i="43"/>
  <c r="I66" i="23"/>
  <c r="I442"/>
  <c r="I61"/>
  <c r="I437"/>
  <c r="I46"/>
  <c r="I422"/>
  <c r="I41"/>
  <c r="I417"/>
  <c r="C251"/>
  <c r="O249"/>
  <c r="C246"/>
  <c r="O244"/>
  <c r="L205" i="43"/>
  <c r="K206"/>
  <c r="M57" i="22"/>
  <c r="G86"/>
  <c r="G462"/>
  <c r="G56"/>
  <c r="G432"/>
  <c r="G36"/>
  <c r="G412"/>
  <c r="G11"/>
  <c r="G90"/>
  <c r="G89" s="1"/>
  <c r="G387"/>
  <c r="C232"/>
  <c r="O231"/>
  <c r="O232" s="1"/>
  <c r="E473" i="43"/>
  <c r="E471"/>
  <c r="S45" i="47"/>
  <c r="S55" s="1"/>
  <c r="G55"/>
  <c r="N72" i="22"/>
  <c r="G130" i="23"/>
  <c r="G132" s="1"/>
  <c r="G133" s="1"/>
  <c r="G150"/>
  <c r="G152" s="1"/>
  <c r="G153" s="1"/>
  <c r="G170"/>
  <c r="G172" s="1"/>
  <c r="G173" s="1"/>
  <c r="G110"/>
  <c r="G112" s="1"/>
  <c r="G113" s="1"/>
  <c r="G115"/>
  <c r="G117" s="1"/>
  <c r="G118" s="1"/>
  <c r="G145"/>
  <c r="G147" s="1"/>
  <c r="G148" s="1"/>
  <c r="G160"/>
  <c r="G162" s="1"/>
  <c r="G163" s="1"/>
  <c r="G180"/>
  <c r="G182" s="1"/>
  <c r="G183" s="1"/>
  <c r="G125"/>
  <c r="G127" s="1"/>
  <c r="G128" s="1"/>
  <c r="G120"/>
  <c r="G122" s="1"/>
  <c r="G123" s="1"/>
  <c r="G140"/>
  <c r="G142" s="1"/>
  <c r="G143" s="1"/>
  <c r="G155"/>
  <c r="G157" s="1"/>
  <c r="G158" s="1"/>
  <c r="G165"/>
  <c r="G167" s="1"/>
  <c r="G168" s="1"/>
  <c r="G175"/>
  <c r="G177" s="1"/>
  <c r="G178" s="1"/>
  <c r="G105"/>
  <c r="G387" s="1"/>
  <c r="G135"/>
  <c r="G137" s="1"/>
  <c r="G138" s="1"/>
  <c r="O210"/>
  <c r="O208"/>
  <c r="F423" i="43"/>
  <c r="F425"/>
  <c r="L51" i="23"/>
  <c r="L11"/>
  <c r="L90"/>
  <c r="L89" s="1"/>
  <c r="L41"/>
  <c r="L66"/>
  <c r="H296"/>
  <c r="M265" i="43"/>
  <c r="L266"/>
  <c r="H395"/>
  <c r="H393"/>
  <c r="C81" i="22"/>
  <c r="O79"/>
  <c r="C56"/>
  <c r="O54"/>
  <c r="C31"/>
  <c r="O29"/>
  <c r="C26"/>
  <c r="O24"/>
  <c r="O268"/>
  <c r="O208"/>
  <c r="G361" i="43"/>
  <c r="G454"/>
  <c r="C316" i="23"/>
  <c r="G86"/>
  <c r="G462"/>
  <c r="G76"/>
  <c r="G36"/>
  <c r="G61"/>
  <c r="G437"/>
  <c r="I430" i="43"/>
  <c r="I428"/>
  <c r="L31" i="22"/>
  <c r="L76"/>
  <c r="L51"/>
  <c r="L26"/>
  <c r="O273" i="23"/>
  <c r="O275"/>
  <c r="I257" i="43"/>
  <c r="I444"/>
  <c r="I86" i="22"/>
  <c r="I462"/>
  <c r="I56"/>
  <c r="I432"/>
  <c r="I36"/>
  <c r="I412"/>
  <c r="I11"/>
  <c r="I387"/>
  <c r="I90"/>
  <c r="I89" s="1"/>
  <c r="H81"/>
  <c r="H457"/>
  <c r="H61"/>
  <c r="H437"/>
  <c r="H41"/>
  <c r="H417"/>
  <c r="H16"/>
  <c r="H392"/>
  <c r="G222" i="43"/>
  <c r="G409"/>
  <c r="M240"/>
  <c r="L241"/>
  <c r="L242" s="1"/>
  <c r="D31" i="22"/>
  <c r="D407"/>
  <c r="D56"/>
  <c r="D432"/>
  <c r="D36"/>
  <c r="D412"/>
  <c r="D11"/>
  <c r="D90"/>
  <c r="D89" s="1"/>
  <c r="D387"/>
  <c r="N27"/>
  <c r="N404"/>
  <c r="N405" s="1"/>
  <c r="M130" i="23"/>
  <c r="M132" s="1"/>
  <c r="M133" s="1"/>
  <c r="M150"/>
  <c r="M152" s="1"/>
  <c r="M153" s="1"/>
  <c r="M120"/>
  <c r="M122" s="1"/>
  <c r="M123" s="1"/>
  <c r="M140"/>
  <c r="M142" s="1"/>
  <c r="M143" s="1"/>
  <c r="M160"/>
  <c r="M162" s="1"/>
  <c r="M163" s="1"/>
  <c r="M180"/>
  <c r="M182" s="1"/>
  <c r="M183" s="1"/>
  <c r="M125"/>
  <c r="M127" s="1"/>
  <c r="M128" s="1"/>
  <c r="M105"/>
  <c r="M135"/>
  <c r="M137" s="1"/>
  <c r="M138" s="1"/>
  <c r="M155"/>
  <c r="M157" s="1"/>
  <c r="M158" s="1"/>
  <c r="M165"/>
  <c r="M167" s="1"/>
  <c r="M168" s="1"/>
  <c r="M175"/>
  <c r="M177" s="1"/>
  <c r="M178" s="1"/>
  <c r="M110"/>
  <c r="M112" s="1"/>
  <c r="M113" s="1"/>
  <c r="M115"/>
  <c r="M117" s="1"/>
  <c r="M118" s="1"/>
  <c r="M145"/>
  <c r="M147" s="1"/>
  <c r="M148" s="1"/>
  <c r="M170"/>
  <c r="M172" s="1"/>
  <c r="M173" s="1"/>
  <c r="D295" i="22"/>
  <c r="D375"/>
  <c r="O293"/>
  <c r="D320"/>
  <c r="D321" s="1"/>
  <c r="O318"/>
  <c r="D335"/>
  <c r="O333"/>
  <c r="D305"/>
  <c r="O303"/>
  <c r="E86"/>
  <c r="E462"/>
  <c r="E56"/>
  <c r="E432"/>
  <c r="E36"/>
  <c r="E412"/>
  <c r="E11"/>
  <c r="E387"/>
  <c r="E90"/>
  <c r="E89" s="1"/>
  <c r="M277" i="43"/>
  <c r="O276"/>
  <c r="K85" i="41"/>
  <c r="J86"/>
  <c r="K81" i="22"/>
  <c r="K457"/>
  <c r="K61"/>
  <c r="K437"/>
  <c r="K41"/>
  <c r="K417"/>
  <c r="K16"/>
  <c r="K392"/>
  <c r="I113" i="43"/>
  <c r="I394"/>
  <c r="C489"/>
  <c r="C488"/>
  <c r="L121" i="41"/>
  <c r="K122"/>
  <c r="M212" i="43"/>
  <c r="O211"/>
  <c r="C266" i="22"/>
  <c r="O264"/>
  <c r="C236"/>
  <c r="O234"/>
  <c r="M71" i="23"/>
  <c r="M447"/>
  <c r="M26"/>
  <c r="M402"/>
  <c r="M31"/>
  <c r="M407"/>
  <c r="M21"/>
  <c r="M116" i="43"/>
  <c r="L117"/>
  <c r="J76" i="23"/>
  <c r="J452"/>
  <c r="J36"/>
  <c r="J412"/>
  <c r="J61"/>
  <c r="J437"/>
  <c r="J86"/>
  <c r="J462"/>
  <c r="I311" i="41"/>
  <c r="F415" i="43"/>
  <c r="F413"/>
  <c r="K105" i="23"/>
  <c r="K120"/>
  <c r="K122" s="1"/>
  <c r="K123" s="1"/>
  <c r="K140"/>
  <c r="K142" s="1"/>
  <c r="K143" s="1"/>
  <c r="K160"/>
  <c r="K162" s="1"/>
  <c r="K163" s="1"/>
  <c r="K180"/>
  <c r="K182" s="1"/>
  <c r="K183" s="1"/>
  <c r="K125"/>
  <c r="K127" s="1"/>
  <c r="K128" s="1"/>
  <c r="K135"/>
  <c r="K137" s="1"/>
  <c r="K138" s="1"/>
  <c r="K155"/>
  <c r="K157" s="1"/>
  <c r="K158" s="1"/>
  <c r="K165"/>
  <c r="K167" s="1"/>
  <c r="K168" s="1"/>
  <c r="K175"/>
  <c r="K177" s="1"/>
  <c r="K178" s="1"/>
  <c r="K130"/>
  <c r="K132" s="1"/>
  <c r="K133" s="1"/>
  <c r="K150"/>
  <c r="K152" s="1"/>
  <c r="K153" s="1"/>
  <c r="K110"/>
  <c r="K112" s="1"/>
  <c r="K113" s="1"/>
  <c r="K115"/>
  <c r="K117" s="1"/>
  <c r="K118" s="1"/>
  <c r="K145"/>
  <c r="K147" s="1"/>
  <c r="K148" s="1"/>
  <c r="K170"/>
  <c r="K172" s="1"/>
  <c r="K173" s="1"/>
  <c r="L153" i="43"/>
  <c r="O152"/>
  <c r="F440"/>
  <c r="F438"/>
  <c r="L163"/>
  <c r="C341" i="22"/>
  <c r="F56" i="23"/>
  <c r="F432"/>
  <c r="F71"/>
  <c r="F447"/>
  <c r="F31"/>
  <c r="F407"/>
  <c r="F21"/>
  <c r="F397"/>
  <c r="C272"/>
  <c r="H465" i="41"/>
  <c r="H463"/>
  <c r="F31" i="22"/>
  <c r="F407"/>
  <c r="F66"/>
  <c r="F442"/>
  <c r="F46"/>
  <c r="F422"/>
  <c r="F21"/>
  <c r="F397"/>
  <c r="F344"/>
  <c r="E345"/>
  <c r="E346" s="1"/>
  <c r="F319"/>
  <c r="E320"/>
  <c r="I188" i="41"/>
  <c r="I190"/>
  <c r="I482"/>
  <c r="J137" i="43"/>
  <c r="K136"/>
  <c r="J81" i="22"/>
  <c r="J457"/>
  <c r="J61"/>
  <c r="J437"/>
  <c r="J41"/>
  <c r="J417"/>
  <c r="J16"/>
  <c r="J392"/>
  <c r="L270" i="43"/>
  <c r="K271"/>
  <c r="I319"/>
  <c r="H320"/>
  <c r="I250"/>
  <c r="H251"/>
  <c r="C217" i="22"/>
  <c r="O216"/>
  <c r="O217" s="1"/>
  <c r="N81" i="23"/>
  <c r="N76"/>
  <c r="N36"/>
  <c r="N66"/>
  <c r="F339"/>
  <c r="E340"/>
  <c r="E341" s="1"/>
  <c r="L216" i="43"/>
  <c r="M215"/>
  <c r="D315" i="23"/>
  <c r="D316" s="1"/>
  <c r="O313"/>
  <c r="D365"/>
  <c r="O363"/>
  <c r="D320"/>
  <c r="D321" s="1"/>
  <c r="O318"/>
  <c r="D295"/>
  <c r="D375"/>
  <c r="O293"/>
  <c r="N22" i="22"/>
  <c r="N52"/>
  <c r="D46" i="23"/>
  <c r="D422"/>
  <c r="O44"/>
  <c r="D26"/>
  <c r="D402"/>
  <c r="O24"/>
  <c r="D81"/>
  <c r="D457"/>
  <c r="O79"/>
  <c r="D16"/>
  <c r="D392"/>
  <c r="O14"/>
  <c r="C242" i="22"/>
  <c r="G385"/>
  <c r="N432"/>
  <c r="I385"/>
  <c r="M452"/>
  <c r="M402"/>
  <c r="F477" i="43"/>
  <c r="E385" i="22"/>
  <c r="O385" s="1"/>
  <c r="E488" i="41"/>
  <c r="M385" i="23"/>
  <c r="M437" i="22"/>
  <c r="M392"/>
  <c r="N457"/>
  <c r="N392"/>
  <c r="D283" i="23"/>
  <c r="M427" i="22"/>
  <c r="M442"/>
  <c r="N105" i="23"/>
  <c r="N387" s="1"/>
  <c r="N135"/>
  <c r="N137" s="1"/>
  <c r="N138" s="1"/>
  <c r="N110"/>
  <c r="N112" s="1"/>
  <c r="N113" s="1"/>
  <c r="N115"/>
  <c r="N117" s="1"/>
  <c r="N118" s="1"/>
  <c r="N145"/>
  <c r="N147" s="1"/>
  <c r="N148" s="1"/>
  <c r="N160"/>
  <c r="N162" s="1"/>
  <c r="N163" s="1"/>
  <c r="N180"/>
  <c r="N182" s="1"/>
  <c r="N183" s="1"/>
  <c r="N125"/>
  <c r="N127" s="1"/>
  <c r="N128" s="1"/>
  <c r="N120"/>
  <c r="N122" s="1"/>
  <c r="N123" s="1"/>
  <c r="N140"/>
  <c r="N142" s="1"/>
  <c r="N143" s="1"/>
  <c r="N155"/>
  <c r="N157" s="1"/>
  <c r="N158" s="1"/>
  <c r="N165"/>
  <c r="N167" s="1"/>
  <c r="N168" s="1"/>
  <c r="N175"/>
  <c r="N177" s="1"/>
  <c r="N178" s="1"/>
  <c r="N130"/>
  <c r="N132" s="1"/>
  <c r="N133" s="1"/>
  <c r="N150"/>
  <c r="N152" s="1"/>
  <c r="N153" s="1"/>
  <c r="N170"/>
  <c r="N172" s="1"/>
  <c r="N173" s="1"/>
  <c r="F453" i="43"/>
  <c r="F455"/>
  <c r="H41" i="23"/>
  <c r="H417"/>
  <c r="K16"/>
  <c r="K392"/>
  <c r="I31"/>
  <c r="I407"/>
  <c r="I71"/>
  <c r="I447"/>
  <c r="I76"/>
  <c r="I452"/>
  <c r="C266"/>
  <c r="O264"/>
  <c r="C261"/>
  <c r="O259"/>
  <c r="C221"/>
  <c r="O219"/>
  <c r="K299" i="43"/>
  <c r="J300"/>
  <c r="F478" i="41"/>
  <c r="F476"/>
  <c r="M464" i="22"/>
  <c r="M465" s="1"/>
  <c r="M87"/>
  <c r="M431"/>
  <c r="M107"/>
  <c r="M187"/>
  <c r="M186" s="1"/>
  <c r="G81"/>
  <c r="G457"/>
  <c r="G61"/>
  <c r="G437"/>
  <c r="G41"/>
  <c r="G417"/>
  <c r="G16"/>
  <c r="G392"/>
  <c r="O228"/>
  <c r="O230"/>
  <c r="J245" i="43"/>
  <c r="I246"/>
  <c r="I247" s="1"/>
  <c r="E476"/>
  <c r="E478"/>
  <c r="M176"/>
  <c r="L177"/>
  <c r="N446" i="22"/>
  <c r="N92"/>
  <c r="N12"/>
  <c r="N389"/>
  <c r="N388" s="1"/>
  <c r="N419"/>
  <c r="N420" s="1"/>
  <c r="N42"/>
  <c r="D471" i="43"/>
  <c r="D473"/>
  <c r="F488" i="41"/>
  <c r="F489"/>
  <c r="N47" i="22"/>
  <c r="N424"/>
  <c r="N425" s="1"/>
  <c r="F484" i="43"/>
  <c r="F282"/>
  <c r="F284"/>
  <c r="L76" i="23"/>
  <c r="L36"/>
  <c r="L61"/>
  <c r="L86"/>
  <c r="F245" i="22"/>
  <c r="E246"/>
  <c r="E247" s="1"/>
  <c r="I409" i="41"/>
  <c r="I222"/>
  <c r="O221"/>
  <c r="O222" s="1"/>
  <c r="N131" i="43"/>
  <c r="N132" s="1"/>
  <c r="M132"/>
  <c r="C36" i="22"/>
  <c r="O34"/>
  <c r="C61"/>
  <c r="O59"/>
  <c r="C16"/>
  <c r="O14"/>
  <c r="C86"/>
  <c r="O84"/>
  <c r="H296"/>
  <c r="G31" i="23"/>
  <c r="G407"/>
  <c r="G21"/>
  <c r="G397"/>
  <c r="G56"/>
  <c r="G432"/>
  <c r="G71"/>
  <c r="G447"/>
  <c r="J400" i="43"/>
  <c r="J398"/>
  <c r="L81" i="22"/>
  <c r="L56"/>
  <c r="L36"/>
  <c r="L11"/>
  <c r="L90"/>
  <c r="L89" s="1"/>
  <c r="C232" i="23"/>
  <c r="O231"/>
  <c r="O232" s="1"/>
  <c r="I81" i="22"/>
  <c r="I457"/>
  <c r="I61"/>
  <c r="I437"/>
  <c r="I41"/>
  <c r="I417"/>
  <c r="I16"/>
  <c r="I392"/>
  <c r="H71"/>
  <c r="H447"/>
  <c r="H66"/>
  <c r="H442"/>
  <c r="H46"/>
  <c r="H422"/>
  <c r="H21"/>
  <c r="H397"/>
  <c r="F220"/>
  <c r="E221"/>
  <c r="E222" s="1"/>
  <c r="L121" i="43"/>
  <c r="K122"/>
  <c r="M82" i="22"/>
  <c r="M424"/>
  <c r="M425" s="1"/>
  <c r="M47"/>
  <c r="F450" i="43"/>
  <c r="F448"/>
  <c r="D71" i="22"/>
  <c r="D447"/>
  <c r="D61"/>
  <c r="D437"/>
  <c r="D41"/>
  <c r="D417"/>
  <c r="D16"/>
  <c r="D392"/>
  <c r="D350"/>
  <c r="O348"/>
  <c r="D345"/>
  <c r="D346" s="1"/>
  <c r="O343"/>
  <c r="D325"/>
  <c r="O323"/>
  <c r="D300"/>
  <c r="O298"/>
  <c r="E81"/>
  <c r="E457"/>
  <c r="E61"/>
  <c r="E437"/>
  <c r="E41"/>
  <c r="E417"/>
  <c r="E16"/>
  <c r="E392"/>
  <c r="I464" i="41"/>
  <c r="I87"/>
  <c r="K71" i="22"/>
  <c r="K447"/>
  <c r="K66"/>
  <c r="K442"/>
  <c r="K46"/>
  <c r="K422"/>
  <c r="K21"/>
  <c r="K397"/>
  <c r="J364" i="41"/>
  <c r="I365"/>
  <c r="I366" s="1"/>
  <c r="J404"/>
  <c r="J123"/>
  <c r="J189"/>
  <c r="C261" i="22"/>
  <c r="O259"/>
  <c r="C246"/>
  <c r="O244"/>
  <c r="C201"/>
  <c r="C281"/>
  <c r="O199"/>
  <c r="M81" i="23"/>
  <c r="M457"/>
  <c r="M51"/>
  <c r="M427"/>
  <c r="M11"/>
  <c r="M387"/>
  <c r="M90"/>
  <c r="M89" s="1"/>
  <c r="M46"/>
  <c r="M422"/>
  <c r="K118" i="43"/>
  <c r="K399"/>
  <c r="J56" i="23"/>
  <c r="J432"/>
  <c r="J71"/>
  <c r="J447"/>
  <c r="J31"/>
  <c r="J407"/>
  <c r="J21"/>
  <c r="J397"/>
  <c r="C110" i="22"/>
  <c r="C115"/>
  <c r="C140"/>
  <c r="C180"/>
  <c r="C462" s="1"/>
  <c r="C125"/>
  <c r="C130"/>
  <c r="C135"/>
  <c r="C417" s="1"/>
  <c r="C165"/>
  <c r="C447" s="1"/>
  <c r="C175"/>
  <c r="C145"/>
  <c r="C155"/>
  <c r="C437" s="1"/>
  <c r="C170"/>
  <c r="C160"/>
  <c r="C105"/>
  <c r="C120"/>
  <c r="C150"/>
  <c r="C432" s="1"/>
  <c r="O103"/>
  <c r="L130" i="23"/>
  <c r="L132" s="1"/>
  <c r="L133" s="1"/>
  <c r="L150"/>
  <c r="L152" s="1"/>
  <c r="L153" s="1"/>
  <c r="L110"/>
  <c r="L112" s="1"/>
  <c r="L113" s="1"/>
  <c r="L115"/>
  <c r="L117" s="1"/>
  <c r="L118" s="1"/>
  <c r="L145"/>
  <c r="L147" s="1"/>
  <c r="L148" s="1"/>
  <c r="L170"/>
  <c r="L172" s="1"/>
  <c r="L173" s="1"/>
  <c r="L105"/>
  <c r="L387" s="1"/>
  <c r="L120"/>
  <c r="L122" s="1"/>
  <c r="L123" s="1"/>
  <c r="L140"/>
  <c r="L142" s="1"/>
  <c r="L143" s="1"/>
  <c r="L160"/>
  <c r="L162" s="1"/>
  <c r="L163" s="1"/>
  <c r="L180"/>
  <c r="L182" s="1"/>
  <c r="L183" s="1"/>
  <c r="L125"/>
  <c r="L127" s="1"/>
  <c r="L128" s="1"/>
  <c r="L135"/>
  <c r="L137" s="1"/>
  <c r="L138" s="1"/>
  <c r="L155"/>
  <c r="L157" s="1"/>
  <c r="L158" s="1"/>
  <c r="L165"/>
  <c r="L167" s="1"/>
  <c r="L168" s="1"/>
  <c r="L175"/>
  <c r="L177" s="1"/>
  <c r="L178" s="1"/>
  <c r="F220"/>
  <c r="E221"/>
  <c r="E222" s="1"/>
  <c r="M32" i="22"/>
  <c r="M37"/>
  <c r="L105"/>
  <c r="L387" s="1"/>
  <c r="L110"/>
  <c r="L112" s="1"/>
  <c r="L113" s="1"/>
  <c r="L175"/>
  <c r="L177" s="1"/>
  <c r="L178" s="1"/>
  <c r="L165"/>
  <c r="L167" s="1"/>
  <c r="L168" s="1"/>
  <c r="L125"/>
  <c r="L127" s="1"/>
  <c r="L128" s="1"/>
  <c r="L115"/>
  <c r="L117" s="1"/>
  <c r="L118" s="1"/>
  <c r="L150"/>
  <c r="L152" s="1"/>
  <c r="L153" s="1"/>
  <c r="L160"/>
  <c r="L162" s="1"/>
  <c r="L163" s="1"/>
  <c r="L180"/>
  <c r="L182" s="1"/>
  <c r="L183" s="1"/>
  <c r="L130"/>
  <c r="L132" s="1"/>
  <c r="L133" s="1"/>
  <c r="L140"/>
  <c r="L142" s="1"/>
  <c r="L143" s="1"/>
  <c r="L170"/>
  <c r="L172" s="1"/>
  <c r="L173" s="1"/>
  <c r="L120"/>
  <c r="L122" s="1"/>
  <c r="L123" s="1"/>
  <c r="L135"/>
  <c r="L137" s="1"/>
  <c r="L138" s="1"/>
  <c r="L145"/>
  <c r="L147" s="1"/>
  <c r="L148" s="1"/>
  <c r="L155"/>
  <c r="L157" s="1"/>
  <c r="L158" s="1"/>
  <c r="C277"/>
  <c r="O276"/>
  <c r="O277" s="1"/>
  <c r="C242" i="23"/>
  <c r="I166" i="43"/>
  <c r="H167"/>
  <c r="M142"/>
  <c r="N141"/>
  <c r="N142" s="1"/>
  <c r="G448" i="41"/>
  <c r="G450"/>
  <c r="F81" i="23"/>
  <c r="F457"/>
  <c r="F16"/>
  <c r="F392"/>
  <c r="F46"/>
  <c r="F422"/>
  <c r="F26"/>
  <c r="F402"/>
  <c r="N37" i="22"/>
  <c r="N62"/>
  <c r="O270" i="23"/>
  <c r="O268"/>
  <c r="H481" i="41"/>
  <c r="H490" s="1"/>
  <c r="H91"/>
  <c r="H93"/>
  <c r="F71" i="22"/>
  <c r="F447"/>
  <c r="F76"/>
  <c r="F452"/>
  <c r="F51"/>
  <c r="F427"/>
  <c r="F26"/>
  <c r="F402"/>
  <c r="C346"/>
  <c r="C321"/>
  <c r="C377"/>
  <c r="I138" i="43"/>
  <c r="I419"/>
  <c r="J71" i="22"/>
  <c r="J447"/>
  <c r="J66"/>
  <c r="J442"/>
  <c r="J46"/>
  <c r="J422"/>
  <c r="J21"/>
  <c r="J397"/>
  <c r="G321" i="43"/>
  <c r="G414"/>
  <c r="J339"/>
  <c r="I340"/>
  <c r="M72" i="22"/>
  <c r="M22"/>
  <c r="O213"/>
  <c r="O215"/>
  <c r="N16" i="23"/>
  <c r="N392"/>
  <c r="N61"/>
  <c r="N437"/>
  <c r="N56"/>
  <c r="N432"/>
  <c r="N86"/>
  <c r="N462"/>
  <c r="C341"/>
  <c r="I71" i="41"/>
  <c r="J70"/>
  <c r="D359" i="23"/>
  <c r="E359" s="1"/>
  <c r="C360"/>
  <c r="D300"/>
  <c r="O298"/>
  <c r="D310"/>
  <c r="O308"/>
  <c r="D325"/>
  <c r="O323"/>
  <c r="D340"/>
  <c r="D341" s="1"/>
  <c r="O338"/>
  <c r="D66"/>
  <c r="D442"/>
  <c r="O64"/>
  <c r="D51"/>
  <c r="D427"/>
  <c r="O49"/>
  <c r="D11"/>
  <c r="D387"/>
  <c r="D90"/>
  <c r="O9"/>
  <c r="D41"/>
  <c r="D417"/>
  <c r="O39"/>
  <c r="O238" i="22"/>
  <c r="G483" i="41"/>
  <c r="N402" i="22"/>
  <c r="E489" i="41"/>
  <c r="J385" i="23"/>
  <c r="H459" i="41"/>
  <c r="H477" s="1"/>
  <c r="O355" i="43"/>
  <c r="O370"/>
  <c r="O371" s="1"/>
  <c r="O162"/>
  <c r="N397" i="22"/>
  <c r="N427"/>
  <c r="D385" i="23"/>
  <c r="K240" i="22" l="1"/>
  <c r="J241"/>
  <c r="F304"/>
  <c r="E305"/>
  <c r="E306" s="1"/>
  <c r="F260"/>
  <c r="E261"/>
  <c r="E262" s="1"/>
  <c r="F304" i="23"/>
  <c r="E305"/>
  <c r="E306" s="1"/>
  <c r="G270"/>
  <c r="F271"/>
  <c r="F210"/>
  <c r="E211"/>
  <c r="F354"/>
  <c r="E355"/>
  <c r="E356" s="1"/>
  <c r="N442"/>
  <c r="N452"/>
  <c r="F349" i="22"/>
  <c r="E350"/>
  <c r="E351" s="1"/>
  <c r="G334"/>
  <c r="F335"/>
  <c r="F336" s="1"/>
  <c r="F354"/>
  <c r="E355"/>
  <c r="E356" s="1"/>
  <c r="N470"/>
  <c r="N469" s="1"/>
  <c r="F349" i="23"/>
  <c r="E350"/>
  <c r="E351" s="1"/>
  <c r="F260"/>
  <c r="E261"/>
  <c r="E262" s="1"/>
  <c r="K240"/>
  <c r="J241"/>
  <c r="G364"/>
  <c r="F365"/>
  <c r="F366" s="1"/>
  <c r="G334"/>
  <c r="F335"/>
  <c r="F336" s="1"/>
  <c r="G270" i="22"/>
  <c r="F271"/>
  <c r="F255"/>
  <c r="E256"/>
  <c r="E257" s="1"/>
  <c r="N412" i="23"/>
  <c r="F210" i="22"/>
  <c r="E211"/>
  <c r="F255" i="23"/>
  <c r="E256"/>
  <c r="E257" s="1"/>
  <c r="G364" i="22"/>
  <c r="F365"/>
  <c r="F366" s="1"/>
  <c r="M470"/>
  <c r="M469" s="1"/>
  <c r="H478" i="41"/>
  <c r="H476"/>
  <c r="L386" i="22"/>
  <c r="G386" i="23"/>
  <c r="C416" i="22"/>
  <c r="C446"/>
  <c r="L386" i="23"/>
  <c r="C431" i="22"/>
  <c r="C461"/>
  <c r="N386" i="23"/>
  <c r="F386"/>
  <c r="H386"/>
  <c r="O38"/>
  <c r="D426"/>
  <c r="D444"/>
  <c r="D445" s="1"/>
  <c r="D67"/>
  <c r="O66"/>
  <c r="O67" s="1"/>
  <c r="D301"/>
  <c r="O300"/>
  <c r="O301" s="1"/>
  <c r="I449" i="41"/>
  <c r="I72"/>
  <c r="N62" i="23"/>
  <c r="G415" i="43"/>
  <c r="G413"/>
  <c r="J446" i="22"/>
  <c r="F426"/>
  <c r="F394" i="23"/>
  <c r="F395" s="1"/>
  <c r="F17"/>
  <c r="J166" i="43"/>
  <c r="I167"/>
  <c r="O356"/>
  <c r="O354"/>
  <c r="O8" i="23"/>
  <c r="O48"/>
  <c r="D441"/>
  <c r="O322"/>
  <c r="O297"/>
  <c r="O299"/>
  <c r="J71" i="41"/>
  <c r="K70"/>
  <c r="N461" i="23"/>
  <c r="N463"/>
  <c r="N436"/>
  <c r="J22" i="22"/>
  <c r="J67"/>
  <c r="I420" i="43"/>
  <c r="I418"/>
  <c r="F27" i="22"/>
  <c r="F404"/>
  <c r="F405" s="1"/>
  <c r="F77"/>
  <c r="F401" i="23"/>
  <c r="F403"/>
  <c r="F391"/>
  <c r="H168" i="43"/>
  <c r="H449"/>
  <c r="H189"/>
  <c r="C162" i="22"/>
  <c r="O160"/>
  <c r="C177"/>
  <c r="C459" s="1"/>
  <c r="O175"/>
  <c r="C127"/>
  <c r="O125"/>
  <c r="C112"/>
  <c r="O110"/>
  <c r="J32" i="23"/>
  <c r="J57"/>
  <c r="M424"/>
  <c r="M425" s="1"/>
  <c r="M47"/>
  <c r="M426"/>
  <c r="O198" i="22"/>
  <c r="O200"/>
  <c r="C247"/>
  <c r="K396"/>
  <c r="K441"/>
  <c r="E17"/>
  <c r="E394"/>
  <c r="E395" s="1"/>
  <c r="E439"/>
  <c r="E440" s="1"/>
  <c r="E62"/>
  <c r="D301"/>
  <c r="O300"/>
  <c r="O301" s="1"/>
  <c r="D394"/>
  <c r="D395" s="1"/>
  <c r="D17"/>
  <c r="D439"/>
  <c r="D440" s="1"/>
  <c r="D62"/>
  <c r="G220"/>
  <c r="F221"/>
  <c r="F222" s="1"/>
  <c r="H424"/>
  <c r="H425" s="1"/>
  <c r="H47"/>
  <c r="H72"/>
  <c r="I42"/>
  <c r="I419"/>
  <c r="I420" s="1"/>
  <c r="I82"/>
  <c r="G431" i="23"/>
  <c r="G406"/>
  <c r="C62" i="22"/>
  <c r="O61"/>
  <c r="O62" s="1"/>
  <c r="M133" i="43"/>
  <c r="I410" i="41"/>
  <c r="I408"/>
  <c r="L464" i="23"/>
  <c r="L465" s="1"/>
  <c r="L87"/>
  <c r="L37"/>
  <c r="N93" i="22"/>
  <c r="N481"/>
  <c r="N91"/>
  <c r="N176" i="43"/>
  <c r="N177" s="1"/>
  <c r="M177"/>
  <c r="K245"/>
  <c r="J246"/>
  <c r="J247" s="1"/>
  <c r="G394" i="22"/>
  <c r="G395" s="1"/>
  <c r="G17"/>
  <c r="G62"/>
  <c r="M189"/>
  <c r="M108"/>
  <c r="L299" i="43"/>
  <c r="K300"/>
  <c r="C262" i="23"/>
  <c r="I77"/>
  <c r="I32"/>
  <c r="H419"/>
  <c r="H420" s="1"/>
  <c r="H42"/>
  <c r="D484"/>
  <c r="D282"/>
  <c r="D284"/>
  <c r="M436" i="22"/>
  <c r="F478" i="43"/>
  <c r="F476"/>
  <c r="O13" i="23"/>
  <c r="D458"/>
  <c r="D456"/>
  <c r="D404"/>
  <c r="D405" s="1"/>
  <c r="D27"/>
  <c r="O26"/>
  <c r="O27" s="1"/>
  <c r="O292"/>
  <c r="G339"/>
  <c r="F340"/>
  <c r="F341" s="1"/>
  <c r="N37"/>
  <c r="N82"/>
  <c r="J250" i="43"/>
  <c r="I251"/>
  <c r="M270"/>
  <c r="L271"/>
  <c r="L272" s="1"/>
  <c r="J419" i="22"/>
  <c r="J420" s="1"/>
  <c r="J42"/>
  <c r="J82"/>
  <c r="G319"/>
  <c r="F320"/>
  <c r="F22"/>
  <c r="F67"/>
  <c r="F22" i="23"/>
  <c r="F72"/>
  <c r="J461"/>
  <c r="J463"/>
  <c r="J411"/>
  <c r="L118" i="43"/>
  <c r="L399"/>
  <c r="M406" i="23"/>
  <c r="M446"/>
  <c r="M448"/>
  <c r="O263" i="22"/>
  <c r="K123" i="41"/>
  <c r="K404"/>
  <c r="K189"/>
  <c r="K394" i="22"/>
  <c r="K395" s="1"/>
  <c r="K17"/>
  <c r="K62"/>
  <c r="L85" i="41"/>
  <c r="K86"/>
  <c r="E386" i="22"/>
  <c r="E475"/>
  <c r="E474" s="1"/>
  <c r="E470"/>
  <c r="E469" s="1"/>
  <c r="E431"/>
  <c r="O302"/>
  <c r="O317"/>
  <c r="O319"/>
  <c r="D296"/>
  <c r="O295"/>
  <c r="O296" s="1"/>
  <c r="D431"/>
  <c r="H391"/>
  <c r="H436"/>
  <c r="I37"/>
  <c r="I464"/>
  <c r="I465" s="1"/>
  <c r="I87"/>
  <c r="L52"/>
  <c r="L32"/>
  <c r="G436" i="23"/>
  <c r="O28" i="22"/>
  <c r="O53"/>
  <c r="C82"/>
  <c r="O81"/>
  <c r="O82" s="1"/>
  <c r="N265" i="43"/>
  <c r="N266" s="1"/>
  <c r="N267" s="1"/>
  <c r="M266"/>
  <c r="M267" s="1"/>
  <c r="L67" i="23"/>
  <c r="G386" i="22"/>
  <c r="G475"/>
  <c r="G474" s="1"/>
  <c r="G470"/>
  <c r="G469" s="1"/>
  <c r="G37"/>
  <c r="G464"/>
  <c r="G465" s="1"/>
  <c r="G87"/>
  <c r="M205" i="43"/>
  <c r="L206"/>
  <c r="C252" i="23"/>
  <c r="I424"/>
  <c r="I425" s="1"/>
  <c r="I47"/>
  <c r="I67"/>
  <c r="G314" i="22"/>
  <c r="F315"/>
  <c r="F316" s="1"/>
  <c r="K22" i="23"/>
  <c r="K72"/>
  <c r="H394"/>
  <c r="H395" s="1"/>
  <c r="H17"/>
  <c r="H404"/>
  <c r="H405" s="1"/>
  <c r="H27"/>
  <c r="M369" i="41"/>
  <c r="L370"/>
  <c r="L371" s="1"/>
  <c r="K77" i="23"/>
  <c r="G344"/>
  <c r="F345"/>
  <c r="F346" s="1"/>
  <c r="N441" i="22"/>
  <c r="N451"/>
  <c r="O53" i="23"/>
  <c r="D396"/>
  <c r="D409"/>
  <c r="D410" s="1"/>
  <c r="D32"/>
  <c r="O31"/>
  <c r="O32" s="1"/>
  <c r="D336"/>
  <c r="D371"/>
  <c r="O370"/>
  <c r="O371" s="1"/>
  <c r="J37" i="22"/>
  <c r="J464"/>
  <c r="J465" s="1"/>
  <c r="J87"/>
  <c r="F416"/>
  <c r="F456"/>
  <c r="J82" i="41"/>
  <c r="E227" i="23"/>
  <c r="K232" i="43"/>
  <c r="N163"/>
  <c r="E152" i="23"/>
  <c r="E432"/>
  <c r="E177"/>
  <c r="E457"/>
  <c r="E122"/>
  <c r="E402"/>
  <c r="E147"/>
  <c r="E427"/>
  <c r="N153" i="43"/>
  <c r="L309" i="41"/>
  <c r="K310"/>
  <c r="J419" i="23"/>
  <c r="J420" s="1"/>
  <c r="J42"/>
  <c r="J426"/>
  <c r="O253" i="22"/>
  <c r="O255"/>
  <c r="K386"/>
  <c r="K37"/>
  <c r="K464"/>
  <c r="K465" s="1"/>
  <c r="K87"/>
  <c r="E426"/>
  <c r="E406"/>
  <c r="O312"/>
  <c r="O352"/>
  <c r="K158" i="43"/>
  <c r="H37" i="22"/>
  <c r="H464"/>
  <c r="H465" s="1"/>
  <c r="H87"/>
  <c r="I52"/>
  <c r="I32"/>
  <c r="L424"/>
  <c r="L425" s="1"/>
  <c r="L47"/>
  <c r="L464"/>
  <c r="L465" s="1"/>
  <c r="L87"/>
  <c r="G419" i="23"/>
  <c r="G420" s="1"/>
  <c r="G42"/>
  <c r="H361" i="43"/>
  <c r="H454"/>
  <c r="C47" i="22"/>
  <c r="O46"/>
  <c r="O47" s="1"/>
  <c r="O73"/>
  <c r="I107"/>
  <c r="I187"/>
  <c r="I186" s="1"/>
  <c r="G250"/>
  <c r="F251"/>
  <c r="F252" s="1"/>
  <c r="G52"/>
  <c r="G32"/>
  <c r="O236" i="23"/>
  <c r="O237" s="1"/>
  <c r="C237"/>
  <c r="C227"/>
  <c r="I22"/>
  <c r="I37"/>
  <c r="C182"/>
  <c r="O180"/>
  <c r="C462"/>
  <c r="C167"/>
  <c r="O165"/>
  <c r="C447"/>
  <c r="C147"/>
  <c r="O145"/>
  <c r="C427"/>
  <c r="C172"/>
  <c r="O170"/>
  <c r="C452"/>
  <c r="K464"/>
  <c r="K465" s="1"/>
  <c r="K87"/>
  <c r="H22"/>
  <c r="H57"/>
  <c r="M448" i="22"/>
  <c r="M446"/>
  <c r="M411"/>
  <c r="M421"/>
  <c r="M423"/>
  <c r="D439" i="23"/>
  <c r="D440" s="1"/>
  <c r="D62"/>
  <c r="O61"/>
  <c r="O62" s="1"/>
  <c r="O73"/>
  <c r="D461"/>
  <c r="D463"/>
  <c r="O327"/>
  <c r="O357"/>
  <c r="O359"/>
  <c r="H435" i="43"/>
  <c r="H433"/>
  <c r="F92" i="22"/>
  <c r="F12"/>
  <c r="F57"/>
  <c r="H107"/>
  <c r="H187"/>
  <c r="H186" s="1"/>
  <c r="F67" i="23"/>
  <c r="F107" i="22"/>
  <c r="F187"/>
  <c r="F186" s="1"/>
  <c r="J424" i="23"/>
  <c r="J425" s="1"/>
  <c r="J47"/>
  <c r="J82"/>
  <c r="L147" i="43"/>
  <c r="M146"/>
  <c r="M37" i="23"/>
  <c r="M419"/>
  <c r="M420" s="1"/>
  <c r="M42"/>
  <c r="C252" i="22"/>
  <c r="K52"/>
  <c r="K32"/>
  <c r="J364" i="43"/>
  <c r="I365"/>
  <c r="E424" i="22"/>
  <c r="E425" s="1"/>
  <c r="E47"/>
  <c r="E72"/>
  <c r="E449"/>
  <c r="E450" s="1"/>
  <c r="D371"/>
  <c r="O370"/>
  <c r="O371" s="1"/>
  <c r="D311"/>
  <c r="O310"/>
  <c r="O311" s="1"/>
  <c r="H52"/>
  <c r="H32"/>
  <c r="I424"/>
  <c r="I425" s="1"/>
  <c r="I47"/>
  <c r="I72"/>
  <c r="L17"/>
  <c r="L394"/>
  <c r="L395" s="1"/>
  <c r="L62"/>
  <c r="J309" i="43"/>
  <c r="I310"/>
  <c r="G82" i="23"/>
  <c r="G424"/>
  <c r="G425" s="1"/>
  <c r="G47"/>
  <c r="C92" i="22"/>
  <c r="C12"/>
  <c r="O11"/>
  <c r="O12" s="1"/>
  <c r="O70"/>
  <c r="O68"/>
  <c r="L22" i="23"/>
  <c r="L72"/>
  <c r="G47" i="22"/>
  <c r="G424"/>
  <c r="G425" s="1"/>
  <c r="G72"/>
  <c r="O198" i="23"/>
  <c r="O200"/>
  <c r="C207"/>
  <c r="O206"/>
  <c r="O207" s="1"/>
  <c r="I82"/>
  <c r="I386"/>
  <c r="M371" i="43"/>
  <c r="M464"/>
  <c r="K92" i="23"/>
  <c r="K12"/>
  <c r="K67"/>
  <c r="H464"/>
  <c r="H465" s="1"/>
  <c r="H87"/>
  <c r="H37"/>
  <c r="H92"/>
  <c r="H12"/>
  <c r="G477" i="43"/>
  <c r="I92" i="41"/>
  <c r="L432" i="22"/>
  <c r="O432" s="1"/>
  <c r="C392"/>
  <c r="G472" i="43"/>
  <c r="G452" i="23"/>
  <c r="N447"/>
  <c r="F462"/>
  <c r="F412"/>
  <c r="M432"/>
  <c r="M437"/>
  <c r="D402" i="22"/>
  <c r="D452"/>
  <c r="G427" i="23"/>
  <c r="L392"/>
  <c r="L402"/>
  <c r="H472" i="41"/>
  <c r="N397" i="23"/>
  <c r="N402"/>
  <c r="J427" i="22"/>
  <c r="J407"/>
  <c r="I459" i="41"/>
  <c r="I477" s="1"/>
  <c r="D397" i="22"/>
  <c r="D442"/>
  <c r="C442"/>
  <c r="I432" i="23"/>
  <c r="I470" s="1"/>
  <c r="I469" s="1"/>
  <c r="K422"/>
  <c r="H442"/>
  <c r="O163" i="43"/>
  <c r="O161"/>
  <c r="D419" i="23"/>
  <c r="D420" s="1"/>
  <c r="D42"/>
  <c r="O41"/>
  <c r="O42" s="1"/>
  <c r="J441" i="22"/>
  <c r="F451"/>
  <c r="M143" i="43"/>
  <c r="G220" i="23"/>
  <c r="F221"/>
  <c r="F222" s="1"/>
  <c r="C107" i="22"/>
  <c r="C389" s="1"/>
  <c r="C187"/>
  <c r="O105"/>
  <c r="C147"/>
  <c r="O145"/>
  <c r="C132"/>
  <c r="O130"/>
  <c r="C117"/>
  <c r="O115"/>
  <c r="J406" i="23"/>
  <c r="J431"/>
  <c r="M421"/>
  <c r="M423"/>
  <c r="M92"/>
  <c r="M12"/>
  <c r="M82"/>
  <c r="O243" i="22"/>
  <c r="O245"/>
  <c r="J482" i="41"/>
  <c r="J193"/>
  <c r="J188"/>
  <c r="J190"/>
  <c r="K364"/>
  <c r="J365"/>
  <c r="J366" s="1"/>
  <c r="K47" i="22"/>
  <c r="K424"/>
  <c r="K425" s="1"/>
  <c r="K72"/>
  <c r="E391"/>
  <c r="E393"/>
  <c r="E436"/>
  <c r="E438"/>
  <c r="O297"/>
  <c r="O299"/>
  <c r="O342"/>
  <c r="D391"/>
  <c r="D393"/>
  <c r="D436"/>
  <c r="D438"/>
  <c r="H421"/>
  <c r="H423"/>
  <c r="H446"/>
  <c r="I416"/>
  <c r="I418"/>
  <c r="I456"/>
  <c r="L37"/>
  <c r="L82"/>
  <c r="G72" i="23"/>
  <c r="G22"/>
  <c r="O13" i="22"/>
  <c r="C436"/>
  <c r="O36"/>
  <c r="O37" s="1"/>
  <c r="C414"/>
  <c r="C37"/>
  <c r="L178" i="43"/>
  <c r="G393" i="22"/>
  <c r="G391"/>
  <c r="G436"/>
  <c r="J301" i="43"/>
  <c r="O258" i="23"/>
  <c r="O260"/>
  <c r="I451"/>
  <c r="I406"/>
  <c r="H418"/>
  <c r="H416"/>
  <c r="N107"/>
  <c r="N187"/>
  <c r="N186" s="1"/>
  <c r="M426" i="22"/>
  <c r="M391"/>
  <c r="M393"/>
  <c r="N431"/>
  <c r="O78" i="23"/>
  <c r="O80"/>
  <c r="D401"/>
  <c r="D403"/>
  <c r="D424"/>
  <c r="D425" s="1"/>
  <c r="D47"/>
  <c r="O46"/>
  <c r="O47" s="1"/>
  <c r="O317"/>
  <c r="O319"/>
  <c r="O312"/>
  <c r="N411"/>
  <c r="H252" i="43"/>
  <c r="H439"/>
  <c r="K272"/>
  <c r="J416" i="22"/>
  <c r="J418"/>
  <c r="J456"/>
  <c r="E321"/>
  <c r="F396"/>
  <c r="F441"/>
  <c r="F396" i="23"/>
  <c r="F446"/>
  <c r="K107"/>
  <c r="K389" s="1"/>
  <c r="K187"/>
  <c r="K186" s="1"/>
  <c r="J62"/>
  <c r="J77"/>
  <c r="M22"/>
  <c r="M404"/>
  <c r="M405" s="1"/>
  <c r="M27"/>
  <c r="C237" i="22"/>
  <c r="O236"/>
  <c r="O237" s="1"/>
  <c r="K393"/>
  <c r="K391"/>
  <c r="K436"/>
  <c r="J464" i="41"/>
  <c r="J87"/>
  <c r="J92"/>
  <c r="E37" i="22"/>
  <c r="E414"/>
  <c r="E415" s="1"/>
  <c r="E464"/>
  <c r="E465" s="1"/>
  <c r="E87"/>
  <c r="D336"/>
  <c r="D374"/>
  <c r="O375"/>
  <c r="D386"/>
  <c r="D37"/>
  <c r="D414"/>
  <c r="D415" s="1"/>
  <c r="D409"/>
  <c r="D410" s="1"/>
  <c r="D32"/>
  <c r="H42"/>
  <c r="H419"/>
  <c r="H420" s="1"/>
  <c r="H82"/>
  <c r="I411"/>
  <c r="I461"/>
  <c r="I463"/>
  <c r="G37" i="23"/>
  <c r="G464"/>
  <c r="G465" s="1"/>
  <c r="G87"/>
  <c r="G455" i="43"/>
  <c r="G453"/>
  <c r="C27" i="22"/>
  <c r="O26"/>
  <c r="O27" s="1"/>
  <c r="L267" i="43"/>
  <c r="O266"/>
  <c r="L52" i="23"/>
  <c r="G411" i="22"/>
  <c r="G461"/>
  <c r="G463"/>
  <c r="K207" i="43"/>
  <c r="O250" i="23"/>
  <c r="O248"/>
  <c r="I421"/>
  <c r="I423"/>
  <c r="I441"/>
  <c r="H391"/>
  <c r="H393"/>
  <c r="H401"/>
  <c r="H403"/>
  <c r="O351" i="43"/>
  <c r="O349"/>
  <c r="O262"/>
  <c r="O260"/>
  <c r="O296"/>
  <c r="O294"/>
  <c r="D449" i="23"/>
  <c r="D450" s="1"/>
  <c r="D72"/>
  <c r="O71"/>
  <c r="O72" s="1"/>
  <c r="O18"/>
  <c r="D406"/>
  <c r="D408"/>
  <c r="O332"/>
  <c r="O367"/>
  <c r="O369"/>
  <c r="F107"/>
  <c r="F187"/>
  <c r="F186" s="1"/>
  <c r="N52"/>
  <c r="J411" i="22"/>
  <c r="J463"/>
  <c r="J461"/>
  <c r="F394"/>
  <c r="F395" s="1"/>
  <c r="F17"/>
  <c r="F62"/>
  <c r="F77" i="23"/>
  <c r="F62"/>
  <c r="F265" i="22"/>
  <c r="E266"/>
  <c r="E267" s="1"/>
  <c r="G339"/>
  <c r="F340"/>
  <c r="E172" i="23"/>
  <c r="E452"/>
  <c r="E107"/>
  <c r="E187"/>
  <c r="E186" s="1"/>
  <c r="E387"/>
  <c r="E142"/>
  <c r="E422"/>
  <c r="E162"/>
  <c r="E442"/>
  <c r="M153" i="43"/>
  <c r="J311" i="41"/>
  <c r="J377"/>
  <c r="J416" i="23"/>
  <c r="J418"/>
  <c r="J92"/>
  <c r="J12"/>
  <c r="M464"/>
  <c r="M465" s="1"/>
  <c r="M87"/>
  <c r="M394"/>
  <c r="M395" s="1"/>
  <c r="M17"/>
  <c r="C227" i="22"/>
  <c r="J394" i="43"/>
  <c r="J113"/>
  <c r="K411" i="22"/>
  <c r="K461"/>
  <c r="K463"/>
  <c r="E404"/>
  <c r="E405" s="1"/>
  <c r="E27"/>
  <c r="E77"/>
  <c r="D366"/>
  <c r="D459"/>
  <c r="D460" s="1"/>
  <c r="D82"/>
  <c r="D429"/>
  <c r="D430" s="1"/>
  <c r="D52"/>
  <c r="G250" i="23"/>
  <c r="F251"/>
  <c r="F252" s="1"/>
  <c r="J220" i="43"/>
  <c r="I221"/>
  <c r="H411" i="22"/>
  <c r="H461"/>
  <c r="H463"/>
  <c r="I426"/>
  <c r="I406"/>
  <c r="G92" i="23"/>
  <c r="G12"/>
  <c r="G67"/>
  <c r="G314"/>
  <c r="F315"/>
  <c r="F316" s="1"/>
  <c r="O43" i="22"/>
  <c r="O45"/>
  <c r="C429"/>
  <c r="C52"/>
  <c r="O51"/>
  <c r="O52" s="1"/>
  <c r="O38"/>
  <c r="N189"/>
  <c r="N108"/>
  <c r="L424" i="23"/>
  <c r="L425" s="1"/>
  <c r="L47"/>
  <c r="L82"/>
  <c r="G426" i="22"/>
  <c r="G406"/>
  <c r="O233" i="23"/>
  <c r="O235"/>
  <c r="O223"/>
  <c r="O225"/>
  <c r="I396"/>
  <c r="I411"/>
  <c r="O227" i="43"/>
  <c r="O225"/>
  <c r="C177" i="23"/>
  <c r="O175"/>
  <c r="C457"/>
  <c r="C107"/>
  <c r="O105"/>
  <c r="C187"/>
  <c r="C387"/>
  <c r="C117"/>
  <c r="O115"/>
  <c r="C397"/>
  <c r="C127"/>
  <c r="O125"/>
  <c r="C407"/>
  <c r="L465" i="43"/>
  <c r="L463"/>
  <c r="M396" i="22"/>
  <c r="N411"/>
  <c r="F471" i="43"/>
  <c r="F473"/>
  <c r="D438" i="23"/>
  <c r="D436"/>
  <c r="D414"/>
  <c r="D415" s="1"/>
  <c r="D37"/>
  <c r="O36"/>
  <c r="O37" s="1"/>
  <c r="O85"/>
  <c r="O83"/>
  <c r="D306"/>
  <c r="F359" i="22"/>
  <c r="E360"/>
  <c r="E361" s="1"/>
  <c r="N32" i="23"/>
  <c r="N419"/>
  <c r="N420" s="1"/>
  <c r="N42"/>
  <c r="K107" i="22"/>
  <c r="K187"/>
  <c r="K186" s="1"/>
  <c r="J27"/>
  <c r="J404"/>
  <c r="J405" s="1"/>
  <c r="J77"/>
  <c r="N173" i="43"/>
  <c r="F475" i="22"/>
  <c r="F474" s="1"/>
  <c r="F386"/>
  <c r="F470"/>
  <c r="F469" s="1"/>
  <c r="F431"/>
  <c r="F265" i="23"/>
  <c r="E266"/>
  <c r="E267" s="1"/>
  <c r="G450" i="43"/>
  <c r="G448"/>
  <c r="J421" i="23"/>
  <c r="J423"/>
  <c r="J456"/>
  <c r="J458"/>
  <c r="K148" i="43"/>
  <c r="K429"/>
  <c r="O248" i="22"/>
  <c r="H366" i="43"/>
  <c r="H459"/>
  <c r="E421" i="22"/>
  <c r="E423"/>
  <c r="E448"/>
  <c r="E446"/>
  <c r="O367"/>
  <c r="O369"/>
  <c r="O307"/>
  <c r="O309"/>
  <c r="D464"/>
  <c r="D465" s="1"/>
  <c r="D87"/>
  <c r="D47"/>
  <c r="D424"/>
  <c r="D425" s="1"/>
  <c r="H311" i="43"/>
  <c r="H404"/>
  <c r="H377"/>
  <c r="O90" i="22"/>
  <c r="C89"/>
  <c r="C22"/>
  <c r="C399"/>
  <c r="O21"/>
  <c r="O22" s="1"/>
  <c r="G421"/>
  <c r="G423"/>
  <c r="G446"/>
  <c r="O203" i="23"/>
  <c r="O205"/>
  <c r="D107"/>
  <c r="D187"/>
  <c r="D186" s="1"/>
  <c r="I456"/>
  <c r="I458"/>
  <c r="N334" i="43"/>
  <c r="N335" s="1"/>
  <c r="N336" s="1"/>
  <c r="M335"/>
  <c r="G107" i="22"/>
  <c r="G187"/>
  <c r="G186" s="1"/>
  <c r="N296" i="43"/>
  <c r="K404" i="23"/>
  <c r="K405" s="1"/>
  <c r="K27"/>
  <c r="K82"/>
  <c r="K107" i="43"/>
  <c r="L106"/>
  <c r="L462" i="23"/>
  <c r="L412"/>
  <c r="N457"/>
  <c r="L427" i="22"/>
  <c r="L407"/>
  <c r="C457"/>
  <c r="L442" i="23"/>
  <c r="K397"/>
  <c r="K447"/>
  <c r="K452"/>
  <c r="L422" i="22"/>
  <c r="L462"/>
  <c r="G417" i="23"/>
  <c r="M475" i="22"/>
  <c r="M474" s="1"/>
  <c r="K462" i="23"/>
  <c r="H397"/>
  <c r="H432"/>
  <c r="F442"/>
  <c r="O275" i="22"/>
  <c r="M412" i="23"/>
  <c r="M417"/>
  <c r="K427" i="22"/>
  <c r="K407"/>
  <c r="H427"/>
  <c r="H407"/>
  <c r="I422"/>
  <c r="I447"/>
  <c r="L392"/>
  <c r="L437"/>
  <c r="G457" i="23"/>
  <c r="G422"/>
  <c r="L397"/>
  <c r="L447"/>
  <c r="N418" i="22"/>
  <c r="M389"/>
  <c r="K387" i="23"/>
  <c r="K442"/>
  <c r="H462"/>
  <c r="H412"/>
  <c r="N475" i="22"/>
  <c r="N474" s="1"/>
  <c r="N426"/>
  <c r="D92" i="23"/>
  <c r="D389"/>
  <c r="D388" s="1"/>
  <c r="D12"/>
  <c r="O11"/>
  <c r="O12" s="1"/>
  <c r="O65"/>
  <c r="O63"/>
  <c r="D311"/>
  <c r="O310"/>
  <c r="O311" s="1"/>
  <c r="F359"/>
  <c r="E360"/>
  <c r="E361" s="1"/>
  <c r="N57"/>
  <c r="N394"/>
  <c r="N395" s="1"/>
  <c r="N17"/>
  <c r="K339" i="43"/>
  <c r="J340"/>
  <c r="J396" i="22"/>
  <c r="F403"/>
  <c r="F401"/>
  <c r="F424" i="23"/>
  <c r="F425" s="1"/>
  <c r="F47"/>
  <c r="F459"/>
  <c r="F460" s="1"/>
  <c r="F82"/>
  <c r="N396" i="22"/>
  <c r="H460" i="41"/>
  <c r="H458"/>
  <c r="N403" i="22"/>
  <c r="N401"/>
  <c r="G488" i="41"/>
  <c r="G489"/>
  <c r="D418" i="23"/>
  <c r="D416"/>
  <c r="D475"/>
  <c r="D474" s="1"/>
  <c r="D386"/>
  <c r="D470"/>
  <c r="D469" s="1"/>
  <c r="D429"/>
  <c r="D430" s="1"/>
  <c r="D52"/>
  <c r="O51"/>
  <c r="O52" s="1"/>
  <c r="O337"/>
  <c r="O309"/>
  <c r="O307"/>
  <c r="C361"/>
  <c r="N431"/>
  <c r="N391"/>
  <c r="N393"/>
  <c r="I341" i="43"/>
  <c r="I434"/>
  <c r="I435" s="1"/>
  <c r="J47" i="22"/>
  <c r="J424"/>
  <c r="J425" s="1"/>
  <c r="J72"/>
  <c r="C485"/>
  <c r="C376"/>
  <c r="C378"/>
  <c r="F52"/>
  <c r="F429"/>
  <c r="F430" s="1"/>
  <c r="F72"/>
  <c r="F421" i="23"/>
  <c r="F423"/>
  <c r="F456"/>
  <c r="F458"/>
  <c r="N143" i="43"/>
  <c r="O142"/>
  <c r="C122" i="22"/>
  <c r="O120"/>
  <c r="C157"/>
  <c r="O155"/>
  <c r="C137"/>
  <c r="O135"/>
  <c r="C142"/>
  <c r="C424" s="1"/>
  <c r="O140"/>
  <c r="J22" i="23"/>
  <c r="J72"/>
  <c r="M386"/>
  <c r="M456"/>
  <c r="M458"/>
  <c r="C283" i="22"/>
  <c r="O201"/>
  <c r="O202" s="1"/>
  <c r="C202"/>
  <c r="C262"/>
  <c r="K421"/>
  <c r="K423"/>
  <c r="K446"/>
  <c r="I463" i="41"/>
  <c r="I465"/>
  <c r="E419" i="22"/>
  <c r="E420" s="1"/>
  <c r="E42"/>
  <c r="E82"/>
  <c r="E459"/>
  <c r="E460" s="1"/>
  <c r="D326"/>
  <c r="O325"/>
  <c r="O326" s="1"/>
  <c r="D351"/>
  <c r="D419"/>
  <c r="D420" s="1"/>
  <c r="D42"/>
  <c r="D449"/>
  <c r="D450" s="1"/>
  <c r="D72"/>
  <c r="M121" i="43"/>
  <c r="L122"/>
  <c r="H22" i="22"/>
  <c r="H67"/>
  <c r="I17"/>
  <c r="I394"/>
  <c r="I395" s="1"/>
  <c r="I62"/>
  <c r="G446" i="23"/>
  <c r="G396"/>
  <c r="C87" i="22"/>
  <c r="O86"/>
  <c r="O87" s="1"/>
  <c r="O58"/>
  <c r="O60"/>
  <c r="O33"/>
  <c r="O35"/>
  <c r="G245"/>
  <c r="F246"/>
  <c r="F247" s="1"/>
  <c r="L62" i="23"/>
  <c r="L77"/>
  <c r="N390" i="22"/>
  <c r="G42"/>
  <c r="G419"/>
  <c r="G420" s="1"/>
  <c r="G82"/>
  <c r="C222" i="23"/>
  <c r="C267"/>
  <c r="I72"/>
  <c r="K394"/>
  <c r="K395" s="1"/>
  <c r="K17"/>
  <c r="M441" i="22"/>
  <c r="N456"/>
  <c r="N458"/>
  <c r="M451"/>
  <c r="D394" i="23"/>
  <c r="D395" s="1"/>
  <c r="D17"/>
  <c r="O16"/>
  <c r="O17" s="1"/>
  <c r="O25"/>
  <c r="O23"/>
  <c r="D421"/>
  <c r="D423"/>
  <c r="D296"/>
  <c r="O295"/>
  <c r="O296" s="1"/>
  <c r="D366"/>
  <c r="L217" i="43"/>
  <c r="N67" i="23"/>
  <c r="N77"/>
  <c r="J319" i="43"/>
  <c r="I320"/>
  <c r="J394" i="22"/>
  <c r="J395" s="1"/>
  <c r="J17"/>
  <c r="J62"/>
  <c r="J138" i="43"/>
  <c r="J419"/>
  <c r="G344" i="22"/>
  <c r="F345"/>
  <c r="F47"/>
  <c r="F424"/>
  <c r="F425" s="1"/>
  <c r="F32"/>
  <c r="F409"/>
  <c r="F410" s="1"/>
  <c r="F409" i="23"/>
  <c r="F410" s="1"/>
  <c r="F32"/>
  <c r="F57"/>
  <c r="J436"/>
  <c r="J451"/>
  <c r="M401"/>
  <c r="M403"/>
  <c r="O233" i="22"/>
  <c r="O235"/>
  <c r="O212" i="43"/>
  <c r="O210"/>
  <c r="K42" i="22"/>
  <c r="K419"/>
  <c r="K420" s="1"/>
  <c r="K82"/>
  <c r="E411"/>
  <c r="E413"/>
  <c r="E461"/>
  <c r="E463"/>
  <c r="O332"/>
  <c r="O292"/>
  <c r="O294"/>
  <c r="D413"/>
  <c r="D411"/>
  <c r="D406"/>
  <c r="D408"/>
  <c r="G410" i="43"/>
  <c r="G408"/>
  <c r="H416" i="22"/>
  <c r="H418"/>
  <c r="H456"/>
  <c r="I92"/>
  <c r="I12"/>
  <c r="I389"/>
  <c r="I57"/>
  <c r="L404"/>
  <c r="L405" s="1"/>
  <c r="L27"/>
  <c r="L77"/>
  <c r="G463" i="23"/>
  <c r="G461"/>
  <c r="C409" i="22"/>
  <c r="C32"/>
  <c r="O31"/>
  <c r="O32" s="1"/>
  <c r="O78"/>
  <c r="O80"/>
  <c r="L419" i="23"/>
  <c r="L420" s="1"/>
  <c r="L42"/>
  <c r="G92" i="22"/>
  <c r="G12"/>
  <c r="G389"/>
  <c r="G57"/>
  <c r="C247" i="23"/>
  <c r="I419"/>
  <c r="I420" s="1"/>
  <c r="I42"/>
  <c r="I62"/>
  <c r="K57"/>
  <c r="K32"/>
  <c r="H424"/>
  <c r="H425" s="1"/>
  <c r="H47"/>
  <c r="H82"/>
  <c r="H72"/>
  <c r="G319"/>
  <c r="F320"/>
  <c r="G471" i="41"/>
  <c r="G473"/>
  <c r="D446" i="23"/>
  <c r="D448"/>
  <c r="D434"/>
  <c r="D435" s="1"/>
  <c r="D57"/>
  <c r="O56"/>
  <c r="O57" s="1"/>
  <c r="O28"/>
  <c r="O30"/>
  <c r="D351"/>
  <c r="D356"/>
  <c r="N424"/>
  <c r="N425" s="1"/>
  <c r="N47"/>
  <c r="G440" i="43"/>
  <c r="G438"/>
  <c r="J92" i="22"/>
  <c r="J12"/>
  <c r="J57"/>
  <c r="F391"/>
  <c r="F393"/>
  <c r="F436"/>
  <c r="E137" i="23"/>
  <c r="E417"/>
  <c r="E157"/>
  <c r="E437"/>
  <c r="E182"/>
  <c r="E462"/>
  <c r="E112"/>
  <c r="E392"/>
  <c r="J67"/>
  <c r="J470"/>
  <c r="J469" s="1"/>
  <c r="J475"/>
  <c r="J474" s="1"/>
  <c r="J386"/>
  <c r="J430" i="43"/>
  <c r="J428"/>
  <c r="O223" i="22"/>
  <c r="H107" i="23"/>
  <c r="H187"/>
  <c r="H186" s="1"/>
  <c r="L111" i="43"/>
  <c r="K112"/>
  <c r="K92" i="22"/>
  <c r="K12"/>
  <c r="K389"/>
  <c r="K388" s="1"/>
  <c r="K57"/>
  <c r="G460" i="43"/>
  <c r="G458"/>
  <c r="G284"/>
  <c r="G282"/>
  <c r="G484"/>
  <c r="E401" i="22"/>
  <c r="E403"/>
  <c r="E451"/>
  <c r="O337"/>
  <c r="O364"/>
  <c r="O362"/>
  <c r="H222" i="43"/>
  <c r="H409"/>
  <c r="H92" i="22"/>
  <c r="H389"/>
  <c r="H12"/>
  <c r="H57"/>
  <c r="I404"/>
  <c r="I405" s="1"/>
  <c r="I27"/>
  <c r="I77"/>
  <c r="L255" i="43"/>
  <c r="K256"/>
  <c r="L22" i="22"/>
  <c r="L67"/>
  <c r="O76"/>
  <c r="O77" s="1"/>
  <c r="C77"/>
  <c r="G404"/>
  <c r="G405" s="1"/>
  <c r="G27"/>
  <c r="G77"/>
  <c r="C257" i="23"/>
  <c r="I404"/>
  <c r="I405" s="1"/>
  <c r="I27"/>
  <c r="I52"/>
  <c r="L126" i="43"/>
  <c r="K127"/>
  <c r="C142" i="23"/>
  <c r="O140"/>
  <c r="C422"/>
  <c r="C152"/>
  <c r="O150"/>
  <c r="C432"/>
  <c r="C112"/>
  <c r="O110"/>
  <c r="C392"/>
  <c r="C122"/>
  <c r="O120"/>
  <c r="C402"/>
  <c r="K37"/>
  <c r="K62"/>
  <c r="H32"/>
  <c r="F489" i="43"/>
  <c r="F488"/>
  <c r="N436" i="22"/>
  <c r="N423"/>
  <c r="N421"/>
  <c r="O58" i="23"/>
  <c r="O60"/>
  <c r="D411"/>
  <c r="D413"/>
  <c r="D77"/>
  <c r="O76"/>
  <c r="O77" s="1"/>
  <c r="O342"/>
  <c r="O302"/>
  <c r="C361" i="22"/>
  <c r="M173" i="43"/>
  <c r="F37" i="22"/>
  <c r="F87"/>
  <c r="F464"/>
  <c r="F465" s="1"/>
  <c r="F429" i="23"/>
  <c r="F430" s="1"/>
  <c r="F52"/>
  <c r="F419"/>
  <c r="F420" s="1"/>
  <c r="F42"/>
  <c r="G482" i="43"/>
  <c r="G190"/>
  <c r="G188"/>
  <c r="G483"/>
  <c r="J394" i="23"/>
  <c r="J395" s="1"/>
  <c r="J17"/>
  <c r="J404"/>
  <c r="J405" s="1"/>
  <c r="J27"/>
  <c r="M67"/>
  <c r="M77"/>
  <c r="C207" i="22"/>
  <c r="O206"/>
  <c r="O207" s="1"/>
  <c r="C222"/>
  <c r="K404"/>
  <c r="K405" s="1"/>
  <c r="K27"/>
  <c r="K77"/>
  <c r="G245" i="23"/>
  <c r="F246"/>
  <c r="F247" s="1"/>
  <c r="J235" i="43"/>
  <c r="I236"/>
  <c r="E399" i="22"/>
  <c r="E400" s="1"/>
  <c r="E22"/>
  <c r="E444"/>
  <c r="E445" s="1"/>
  <c r="E67"/>
  <c r="D331"/>
  <c r="O330"/>
  <c r="O331" s="1"/>
  <c r="G225"/>
  <c r="F226"/>
  <c r="F414" s="1"/>
  <c r="H404"/>
  <c r="H405" s="1"/>
  <c r="H27"/>
  <c r="H77"/>
  <c r="I22"/>
  <c r="I67"/>
  <c r="L42"/>
  <c r="L419"/>
  <c r="L420" s="1"/>
  <c r="L72"/>
  <c r="G394" i="23"/>
  <c r="G395" s="1"/>
  <c r="G17"/>
  <c r="G404"/>
  <c r="G405" s="1"/>
  <c r="G27"/>
  <c r="O10" i="22"/>
  <c r="O8"/>
  <c r="C444"/>
  <c r="C67"/>
  <c r="O66"/>
  <c r="O67" s="1"/>
  <c r="E107"/>
  <c r="E187"/>
  <c r="E186" s="1"/>
  <c r="L32" i="23"/>
  <c r="L57"/>
  <c r="G22" i="22"/>
  <c r="G67"/>
  <c r="C283" i="23"/>
  <c r="C202"/>
  <c r="O201"/>
  <c r="O202" s="1"/>
  <c r="I394"/>
  <c r="I395" s="1"/>
  <c r="I17"/>
  <c r="I464"/>
  <c r="I465" s="1"/>
  <c r="I87"/>
  <c r="K52"/>
  <c r="K419"/>
  <c r="K420" s="1"/>
  <c r="K42"/>
  <c r="H62"/>
  <c r="H77"/>
  <c r="M296" i="43"/>
  <c r="H52" i="23"/>
  <c r="J389" i="43"/>
  <c r="J108"/>
  <c r="L412" i="22"/>
  <c r="L457"/>
  <c r="I377" i="41"/>
  <c r="M397" i="23"/>
  <c r="G412"/>
  <c r="C402" i="22"/>
  <c r="L427" i="23"/>
  <c r="C377"/>
  <c r="N427"/>
  <c r="F452"/>
  <c r="F437"/>
  <c r="M462"/>
  <c r="M392"/>
  <c r="D283" i="22"/>
  <c r="D457"/>
  <c r="D427"/>
  <c r="G442" i="23"/>
  <c r="C422" i="22"/>
  <c r="C427"/>
  <c r="L422" i="23"/>
  <c r="L457"/>
  <c r="O385"/>
  <c r="N407"/>
  <c r="N417"/>
  <c r="J402" i="22"/>
  <c r="J452"/>
  <c r="J475" s="1"/>
  <c r="J474" s="1"/>
  <c r="D360"/>
  <c r="D361" s="1"/>
  <c r="D462"/>
  <c r="D422"/>
  <c r="C397"/>
  <c r="O132" i="43"/>
  <c r="K402" i="23"/>
  <c r="K457"/>
  <c r="H489" i="41"/>
  <c r="D89" i="23"/>
  <c r="O90"/>
  <c r="D326"/>
  <c r="O325"/>
  <c r="O326" s="1"/>
  <c r="N464"/>
  <c r="N465" s="1"/>
  <c r="N87"/>
  <c r="J423" i="22"/>
  <c r="J421"/>
  <c r="F446"/>
  <c r="F404" i="23"/>
  <c r="F405" s="1"/>
  <c r="F27"/>
  <c r="L107" i="22"/>
  <c r="L187"/>
  <c r="L186" s="1"/>
  <c r="L107" i="23"/>
  <c r="L187"/>
  <c r="L186" s="1"/>
  <c r="C152" i="22"/>
  <c r="O150"/>
  <c r="C172"/>
  <c r="C454" s="1"/>
  <c r="O170"/>
  <c r="C167"/>
  <c r="O165"/>
  <c r="C182"/>
  <c r="O180"/>
  <c r="J396" i="23"/>
  <c r="J446"/>
  <c r="K400" i="43"/>
  <c r="K398"/>
  <c r="M52" i="23"/>
  <c r="C280" i="22"/>
  <c r="O281"/>
  <c r="O258"/>
  <c r="J405" i="41"/>
  <c r="K22" i="22"/>
  <c r="K67"/>
  <c r="E416"/>
  <c r="E418"/>
  <c r="E456"/>
  <c r="E458"/>
  <c r="O324"/>
  <c r="O322"/>
  <c r="O347"/>
  <c r="D416"/>
  <c r="D418"/>
  <c r="D446"/>
  <c r="D448"/>
  <c r="K123" i="43"/>
  <c r="H396" i="22"/>
  <c r="H441"/>
  <c r="I391"/>
  <c r="I393"/>
  <c r="I436"/>
  <c r="L92"/>
  <c r="L389"/>
  <c r="L12"/>
  <c r="L57"/>
  <c r="G57" i="23"/>
  <c r="G32"/>
  <c r="O83" i="22"/>
  <c r="O85"/>
  <c r="O16"/>
  <c r="O17" s="1"/>
  <c r="C394"/>
  <c r="C17"/>
  <c r="N133" i="43"/>
  <c r="G418" i="22"/>
  <c r="G416"/>
  <c r="G456"/>
  <c r="O218" i="23"/>
  <c r="O220"/>
  <c r="O263"/>
  <c r="O265"/>
  <c r="I446"/>
  <c r="K391"/>
  <c r="K393"/>
  <c r="N391" i="22"/>
  <c r="N393"/>
  <c r="M401"/>
  <c r="M403"/>
  <c r="D391" i="23"/>
  <c r="D393"/>
  <c r="D459"/>
  <c r="D460" s="1"/>
  <c r="D82"/>
  <c r="O81"/>
  <c r="O82" s="1"/>
  <c r="O45"/>
  <c r="O43"/>
  <c r="D374"/>
  <c r="O375"/>
  <c r="O362"/>
  <c r="O364"/>
  <c r="M216" i="43"/>
  <c r="M217" s="1"/>
  <c r="N215"/>
  <c r="N216" s="1"/>
  <c r="N217" s="1"/>
  <c r="N441" i="23"/>
  <c r="N451"/>
  <c r="H321" i="43"/>
  <c r="H414"/>
  <c r="J391" i="22"/>
  <c r="J393"/>
  <c r="J436"/>
  <c r="L136" i="43"/>
  <c r="K137"/>
  <c r="F423" i="22"/>
  <c r="F421"/>
  <c r="F406"/>
  <c r="F408"/>
  <c r="F408" i="23"/>
  <c r="F406"/>
  <c r="F431"/>
  <c r="O153" i="43"/>
  <c r="O151"/>
  <c r="J464" i="23"/>
  <c r="J465" s="1"/>
  <c r="J87"/>
  <c r="J37"/>
  <c r="M117" i="43"/>
  <c r="N116"/>
  <c r="N117" s="1"/>
  <c r="M32" i="23"/>
  <c r="M72"/>
  <c r="C267" i="22"/>
  <c r="M121" i="41"/>
  <c r="L122"/>
  <c r="I395" i="43"/>
  <c r="I393"/>
  <c r="K418" i="22"/>
  <c r="K416"/>
  <c r="K458"/>
  <c r="K456"/>
  <c r="O277" i="43"/>
  <c r="O275"/>
  <c r="E92" i="22"/>
  <c r="E12"/>
  <c r="E389"/>
  <c r="E57"/>
  <c r="E434"/>
  <c r="E435" s="1"/>
  <c r="D306"/>
  <c r="M107" i="23"/>
  <c r="M187"/>
  <c r="M186" s="1"/>
  <c r="D92" i="22"/>
  <c r="D12"/>
  <c r="D57"/>
  <c r="D434"/>
  <c r="D435" s="1"/>
  <c r="N240" i="43"/>
  <c r="N241" s="1"/>
  <c r="N242" s="1"/>
  <c r="M241"/>
  <c r="M242" s="1"/>
  <c r="H17" i="22"/>
  <c r="H394"/>
  <c r="H395" s="1"/>
  <c r="H62"/>
  <c r="I386"/>
  <c r="I388"/>
  <c r="I431"/>
  <c r="I445" i="43"/>
  <c r="I443"/>
  <c r="G62" i="23"/>
  <c r="G77"/>
  <c r="O23" i="22"/>
  <c r="O25"/>
  <c r="O56"/>
  <c r="O57" s="1"/>
  <c r="C434"/>
  <c r="C433" s="1"/>
  <c r="C57"/>
  <c r="L92" i="23"/>
  <c r="L389"/>
  <c r="L12"/>
  <c r="G107"/>
  <c r="G187"/>
  <c r="G186" s="1"/>
  <c r="G431" i="22"/>
  <c r="O243" i="23"/>
  <c r="O245"/>
  <c r="I416"/>
  <c r="I418"/>
  <c r="I436"/>
  <c r="H421"/>
  <c r="H423"/>
  <c r="H458"/>
  <c r="H456"/>
  <c r="O425" i="41"/>
  <c r="O423"/>
  <c r="H446" i="23"/>
  <c r="E321"/>
  <c r="E377"/>
  <c r="N406" i="22"/>
  <c r="N463"/>
  <c r="N461"/>
  <c r="O68" i="23"/>
  <c r="O70"/>
  <c r="D431"/>
  <c r="D433"/>
  <c r="D399"/>
  <c r="D400" s="1"/>
  <c r="D22"/>
  <c r="O21"/>
  <c r="O22" s="1"/>
  <c r="O347"/>
  <c r="O352"/>
  <c r="N92"/>
  <c r="N389"/>
  <c r="N12"/>
  <c r="N72"/>
  <c r="J386" i="22"/>
  <c r="J470"/>
  <c r="J469" s="1"/>
  <c r="J431"/>
  <c r="O173" i="43"/>
  <c r="O171"/>
  <c r="F419" i="22"/>
  <c r="F420" s="1"/>
  <c r="F42"/>
  <c r="F459"/>
  <c r="F460" s="1"/>
  <c r="F82"/>
  <c r="L80" i="41"/>
  <c r="K81"/>
  <c r="G225" i="23"/>
  <c r="F226"/>
  <c r="F464"/>
  <c r="F465" s="1"/>
  <c r="F87"/>
  <c r="F414"/>
  <c r="F415" s="1"/>
  <c r="F37"/>
  <c r="L231" i="43"/>
  <c r="L232" s="1"/>
  <c r="M230"/>
  <c r="M163"/>
  <c r="E132" i="23"/>
  <c r="E412"/>
  <c r="E167"/>
  <c r="E447"/>
  <c r="E127"/>
  <c r="E407"/>
  <c r="E117"/>
  <c r="E397"/>
  <c r="J441"/>
  <c r="J52"/>
  <c r="M57"/>
  <c r="M62"/>
  <c r="C257" i="22"/>
  <c r="D107"/>
  <c r="D389" s="1"/>
  <c r="D187"/>
  <c r="D186" s="1"/>
  <c r="K431"/>
  <c r="G425" i="43"/>
  <c r="G423"/>
  <c r="E429" i="22"/>
  <c r="E430" s="1"/>
  <c r="E52"/>
  <c r="E409"/>
  <c r="E410" s="1"/>
  <c r="E32"/>
  <c r="D356"/>
  <c r="M156" i="43"/>
  <c r="L157"/>
  <c r="D404" i="22"/>
  <c r="D405" s="1"/>
  <c r="D27"/>
  <c r="D77"/>
  <c r="D454"/>
  <c r="D455" s="1"/>
  <c r="H388"/>
  <c r="H386"/>
  <c r="H431"/>
  <c r="I401"/>
  <c r="I403"/>
  <c r="I451"/>
  <c r="J257" i="43"/>
  <c r="J444"/>
  <c r="G405"/>
  <c r="G403"/>
  <c r="G52" i="23"/>
  <c r="J359" i="43"/>
  <c r="I360"/>
  <c r="O50" i="22"/>
  <c r="O48"/>
  <c r="C42"/>
  <c r="O41"/>
  <c r="O42" s="1"/>
  <c r="C419"/>
  <c r="L394" i="23"/>
  <c r="L395" s="1"/>
  <c r="L17"/>
  <c r="L404"/>
  <c r="L405" s="1"/>
  <c r="L27"/>
  <c r="G401" i="22"/>
  <c r="G403"/>
  <c r="G451"/>
  <c r="O253" i="23"/>
  <c r="O255"/>
  <c r="I401"/>
  <c r="I403"/>
  <c r="I426"/>
  <c r="J128" i="43"/>
  <c r="C162" i="23"/>
  <c r="O160"/>
  <c r="C442"/>
  <c r="C157"/>
  <c r="O155"/>
  <c r="C437"/>
  <c r="C137"/>
  <c r="O135"/>
  <c r="C417"/>
  <c r="C132"/>
  <c r="O130"/>
  <c r="C412"/>
  <c r="M406" i="22"/>
  <c r="M456"/>
  <c r="M458"/>
  <c r="O33" i="23"/>
  <c r="O35"/>
  <c r="D451"/>
  <c r="D464"/>
  <c r="D465" s="1"/>
  <c r="D87"/>
  <c r="O86"/>
  <c r="O87" s="1"/>
  <c r="D331"/>
  <c r="O330"/>
  <c r="O331" s="1"/>
  <c r="N22"/>
  <c r="N404"/>
  <c r="N405" s="1"/>
  <c r="N27"/>
  <c r="J107" i="22"/>
  <c r="J187"/>
  <c r="J186" s="1"/>
  <c r="J52"/>
  <c r="J32"/>
  <c r="N314" i="43"/>
  <c r="N315" s="1"/>
  <c r="N316" s="1"/>
  <c r="M315"/>
  <c r="F411" i="22"/>
  <c r="F463"/>
  <c r="F461"/>
  <c r="F92" i="23"/>
  <c r="F389"/>
  <c r="F12"/>
  <c r="J391"/>
  <c r="J393"/>
  <c r="J401"/>
  <c r="J403"/>
  <c r="O203" i="22"/>
  <c r="O205"/>
  <c r="O220"/>
  <c r="O218"/>
  <c r="H237" i="43"/>
  <c r="H283"/>
  <c r="H424"/>
  <c r="E398" i="22"/>
  <c r="E396"/>
  <c r="E441"/>
  <c r="E443"/>
  <c r="O327"/>
  <c r="O329"/>
  <c r="O357"/>
  <c r="O359"/>
  <c r="E227"/>
  <c r="E283"/>
  <c r="D22"/>
  <c r="D399"/>
  <c r="D400" s="1"/>
  <c r="D67"/>
  <c r="D444"/>
  <c r="D445" s="1"/>
  <c r="O18"/>
  <c r="O20"/>
  <c r="O63"/>
  <c r="O65"/>
  <c r="C449"/>
  <c r="C72"/>
  <c r="O71"/>
  <c r="O72" s="1"/>
  <c r="G396"/>
  <c r="G441"/>
  <c r="M93"/>
  <c r="M91"/>
  <c r="M481"/>
  <c r="O281" i="23"/>
  <c r="C280"/>
  <c r="J107"/>
  <c r="J187"/>
  <c r="J186" s="1"/>
  <c r="I393"/>
  <c r="I391"/>
  <c r="I461"/>
  <c r="I463"/>
  <c r="I92"/>
  <c r="I12"/>
  <c r="N371" i="43"/>
  <c r="N464"/>
  <c r="I107" i="23"/>
  <c r="I389" s="1"/>
  <c r="I187"/>
  <c r="I186" s="1"/>
  <c r="O284" i="41"/>
  <c r="O282"/>
  <c r="I390" i="43"/>
  <c r="I388"/>
  <c r="I57" i="23"/>
  <c r="K424"/>
  <c r="K425" s="1"/>
  <c r="K47"/>
  <c r="H67"/>
  <c r="C412" i="22"/>
  <c r="L437" i="23"/>
  <c r="L452"/>
  <c r="L402" i="22"/>
  <c r="L452"/>
  <c r="C407"/>
  <c r="L417" i="23"/>
  <c r="K432"/>
  <c r="K407"/>
  <c r="O409" i="41"/>
  <c r="N422" i="23"/>
  <c r="L397" i="22"/>
  <c r="L442"/>
  <c r="C452"/>
  <c r="K412" i="23"/>
  <c r="K437"/>
  <c r="H407"/>
  <c r="D360"/>
  <c r="D361" s="1"/>
  <c r="F427"/>
  <c r="F417"/>
  <c r="M442"/>
  <c r="M452"/>
  <c r="K402" i="22"/>
  <c r="K452"/>
  <c r="H402"/>
  <c r="H452"/>
  <c r="I397"/>
  <c r="I442"/>
  <c r="L417"/>
  <c r="O417" s="1"/>
  <c r="L447"/>
  <c r="G392" i="23"/>
  <c r="G402"/>
  <c r="C387" i="22"/>
  <c r="L407" i="23"/>
  <c r="L432"/>
  <c r="K427"/>
  <c r="K417"/>
  <c r="H437"/>
  <c r="H452"/>
  <c r="H427"/>
  <c r="F415" i="22" l="1"/>
  <c r="F413"/>
  <c r="G255" i="23"/>
  <c r="F256"/>
  <c r="J242"/>
  <c r="G354" i="22"/>
  <c r="F355"/>
  <c r="G349"/>
  <c r="F350"/>
  <c r="G354" i="23"/>
  <c r="F355"/>
  <c r="H270"/>
  <c r="G271"/>
  <c r="G272" s="1"/>
  <c r="G260" i="22"/>
  <c r="F261"/>
  <c r="L240"/>
  <c r="K241"/>
  <c r="K242" s="1"/>
  <c r="D443" i="23"/>
  <c r="H270" i="22"/>
  <c r="G271"/>
  <c r="G272" s="1"/>
  <c r="H364" i="23"/>
  <c r="G365"/>
  <c r="G260"/>
  <c r="F261"/>
  <c r="F272"/>
  <c r="J242" i="22"/>
  <c r="H475"/>
  <c r="H474" s="1"/>
  <c r="F470" i="23"/>
  <c r="F469" s="1"/>
  <c r="H364" i="22"/>
  <c r="G365"/>
  <c r="G210"/>
  <c r="F211"/>
  <c r="F212" s="1"/>
  <c r="F272"/>
  <c r="H334"/>
  <c r="G335"/>
  <c r="G210" i="23"/>
  <c r="F211"/>
  <c r="F212" s="1"/>
  <c r="G304"/>
  <c r="F305"/>
  <c r="G304" i="22"/>
  <c r="F305"/>
  <c r="H470" i="23"/>
  <c r="H469" s="1"/>
  <c r="N475"/>
  <c r="N474" s="1"/>
  <c r="E212" i="22"/>
  <c r="G255"/>
  <c r="F256"/>
  <c r="H334" i="23"/>
  <c r="G335"/>
  <c r="L240"/>
  <c r="K241"/>
  <c r="K242" s="1"/>
  <c r="G349"/>
  <c r="F350"/>
  <c r="E212"/>
  <c r="I475" i="22"/>
  <c r="I474" s="1"/>
  <c r="D475"/>
  <c r="D474" s="1"/>
  <c r="M475" i="23"/>
  <c r="M474" s="1"/>
  <c r="O416" i="22"/>
  <c r="I390" i="23"/>
  <c r="I388"/>
  <c r="K390"/>
  <c r="I478" i="41"/>
  <c r="I476"/>
  <c r="C460" i="22"/>
  <c r="D477"/>
  <c r="D390"/>
  <c r="D388"/>
  <c r="O431"/>
  <c r="O424"/>
  <c r="O425" s="1"/>
  <c r="C425"/>
  <c r="L406" i="23"/>
  <c r="L446" i="22"/>
  <c r="M451" i="23"/>
  <c r="O452" i="22"/>
  <c r="C451"/>
  <c r="C453"/>
  <c r="O410" i="41"/>
  <c r="O408"/>
  <c r="L436" i="23"/>
  <c r="E484" i="22"/>
  <c r="E284"/>
  <c r="E282"/>
  <c r="M316" i="43"/>
  <c r="O315"/>
  <c r="O154" i="23"/>
  <c r="E128"/>
  <c r="E409"/>
  <c r="E410" s="1"/>
  <c r="E133"/>
  <c r="E414"/>
  <c r="E415" s="1"/>
  <c r="M80" i="41"/>
  <c r="L81"/>
  <c r="N390" i="23"/>
  <c r="D481" i="22"/>
  <c r="D91"/>
  <c r="D93"/>
  <c r="H451" i="23"/>
  <c r="L431"/>
  <c r="G391"/>
  <c r="G393"/>
  <c r="I396" i="22"/>
  <c r="K401"/>
  <c r="K403"/>
  <c r="F428" i="23"/>
  <c r="F426"/>
  <c r="K411"/>
  <c r="N421"/>
  <c r="N423"/>
  <c r="L418"/>
  <c r="L416"/>
  <c r="L451"/>
  <c r="J189"/>
  <c r="J108"/>
  <c r="C450" i="22"/>
  <c r="H282" i="43"/>
  <c r="H284"/>
  <c r="H484"/>
  <c r="F481" i="23"/>
  <c r="F91"/>
  <c r="F93"/>
  <c r="J189" i="22"/>
  <c r="J108"/>
  <c r="C133" i="23"/>
  <c r="O132"/>
  <c r="O133" s="1"/>
  <c r="C414"/>
  <c r="O437"/>
  <c r="C436"/>
  <c r="O159"/>
  <c r="K359" i="43"/>
  <c r="J360"/>
  <c r="E406" i="23"/>
  <c r="E408"/>
  <c r="E413"/>
  <c r="E411"/>
  <c r="N230" i="43"/>
  <c r="N231" s="1"/>
  <c r="N232" s="1"/>
  <c r="M231"/>
  <c r="M232" s="1"/>
  <c r="K82" i="41"/>
  <c r="L481" i="23"/>
  <c r="L93"/>
  <c r="L91"/>
  <c r="E390" i="22"/>
  <c r="N121" i="41"/>
  <c r="N122" s="1"/>
  <c r="M122"/>
  <c r="M118" i="43"/>
  <c r="M399"/>
  <c r="M136"/>
  <c r="L137"/>
  <c r="C168" i="22"/>
  <c r="O167"/>
  <c r="O168" s="1"/>
  <c r="C153"/>
  <c r="O152"/>
  <c r="O153" s="1"/>
  <c r="L189"/>
  <c r="L108"/>
  <c r="O133" i="43"/>
  <c r="O131"/>
  <c r="N406" i="23"/>
  <c r="C426" i="22"/>
  <c r="C428"/>
  <c r="O427"/>
  <c r="D456"/>
  <c r="D458"/>
  <c r="F436" i="23"/>
  <c r="L426"/>
  <c r="I485" i="41"/>
  <c r="I381"/>
  <c r="I376"/>
  <c r="I378"/>
  <c r="J390" i="43"/>
  <c r="J388"/>
  <c r="C484" i="23"/>
  <c r="C284"/>
  <c r="C282"/>
  <c r="F227" i="22"/>
  <c r="I237" i="43"/>
  <c r="I424"/>
  <c r="I283"/>
  <c r="G488"/>
  <c r="G489"/>
  <c r="O119" i="23"/>
  <c r="O121"/>
  <c r="C113"/>
  <c r="O112"/>
  <c r="O113" s="1"/>
  <c r="C394"/>
  <c r="O422"/>
  <c r="C421"/>
  <c r="L127" i="43"/>
  <c r="M126"/>
  <c r="H481" i="22"/>
  <c r="H91"/>
  <c r="H93"/>
  <c r="K91"/>
  <c r="K481"/>
  <c r="K93"/>
  <c r="H189" i="23"/>
  <c r="H108"/>
  <c r="E113"/>
  <c r="E394"/>
  <c r="E395" s="1"/>
  <c r="E158"/>
  <c r="E439"/>
  <c r="E440" s="1"/>
  <c r="G91" i="22"/>
  <c r="G481"/>
  <c r="G93"/>
  <c r="I390"/>
  <c r="H344"/>
  <c r="G345"/>
  <c r="K319" i="43"/>
  <c r="J320"/>
  <c r="C138" i="22"/>
  <c r="O137"/>
  <c r="O138" s="1"/>
  <c r="O122"/>
  <c r="O123" s="1"/>
  <c r="C123"/>
  <c r="L339" i="43"/>
  <c r="K340"/>
  <c r="H461" i="23"/>
  <c r="H463"/>
  <c r="G423"/>
  <c r="G421"/>
  <c r="I446" i="22"/>
  <c r="M416" i="23"/>
  <c r="M418"/>
  <c r="H431"/>
  <c r="L441"/>
  <c r="N456"/>
  <c r="N458"/>
  <c r="M106" i="43"/>
  <c r="L107"/>
  <c r="H376"/>
  <c r="H378"/>
  <c r="H485"/>
  <c r="K430"/>
  <c r="K428"/>
  <c r="C406" i="23"/>
  <c r="O407"/>
  <c r="O114"/>
  <c r="O104"/>
  <c r="O177"/>
  <c r="O178" s="1"/>
  <c r="C178"/>
  <c r="C459"/>
  <c r="N483" i="22"/>
  <c r="N190"/>
  <c r="N188"/>
  <c r="N482"/>
  <c r="K220" i="43"/>
  <c r="J221"/>
  <c r="J481" i="23"/>
  <c r="J91"/>
  <c r="J93"/>
  <c r="E163"/>
  <c r="E444"/>
  <c r="E445" s="1"/>
  <c r="F341" i="22"/>
  <c r="O129"/>
  <c r="O104"/>
  <c r="H220" i="23"/>
  <c r="G221"/>
  <c r="D398" i="22"/>
  <c r="D396"/>
  <c r="N401" i="23"/>
  <c r="N403"/>
  <c r="L391"/>
  <c r="L393"/>
  <c r="D401" i="22"/>
  <c r="D403"/>
  <c r="F461" i="23"/>
  <c r="F463"/>
  <c r="C393" i="22"/>
  <c r="O392"/>
  <c r="C391"/>
  <c r="M465" i="43"/>
  <c r="M463"/>
  <c r="I366"/>
  <c r="I459"/>
  <c r="N146"/>
  <c r="N147" s="1"/>
  <c r="M147"/>
  <c r="F93" i="22"/>
  <c r="F481"/>
  <c r="F91"/>
  <c r="O169" i="23"/>
  <c r="C148"/>
  <c r="O147"/>
  <c r="O148" s="1"/>
  <c r="C429"/>
  <c r="C463"/>
  <c r="O462"/>
  <c r="C461"/>
  <c r="H250" i="22"/>
  <c r="G251"/>
  <c r="G252" s="1"/>
  <c r="H455" i="43"/>
  <c r="H453"/>
  <c r="K311" i="41"/>
  <c r="E426" i="23"/>
  <c r="E456"/>
  <c r="E458"/>
  <c r="K87" i="41"/>
  <c r="K464"/>
  <c r="L400" i="43"/>
  <c r="L398"/>
  <c r="M178"/>
  <c r="O109" i="22"/>
  <c r="O176"/>
  <c r="O174"/>
  <c r="I168" i="43"/>
  <c r="I449"/>
  <c r="I189"/>
  <c r="I470" i="22"/>
  <c r="I469" s="1"/>
  <c r="F434" i="23"/>
  <c r="O15" i="22"/>
  <c r="E283" i="23"/>
  <c r="E388" i="22"/>
  <c r="F393" i="23"/>
  <c r="O10"/>
  <c r="F428" i="22"/>
  <c r="H475" i="23"/>
  <c r="H474" s="1"/>
  <c r="N470"/>
  <c r="N469" s="1"/>
  <c r="L470"/>
  <c r="L469" s="1"/>
  <c r="O447" i="22"/>
  <c r="G470" i="23"/>
  <c r="G469" s="1"/>
  <c r="K426"/>
  <c r="G403"/>
  <c r="G401"/>
  <c r="K451" i="22"/>
  <c r="K436" i="23"/>
  <c r="K431"/>
  <c r="H425" i="43"/>
  <c r="H423"/>
  <c r="F390" i="23"/>
  <c r="O131"/>
  <c r="O129"/>
  <c r="O442"/>
  <c r="C441"/>
  <c r="N156" i="43"/>
  <c r="N157" s="1"/>
  <c r="M157"/>
  <c r="L390" i="23"/>
  <c r="M189"/>
  <c r="M108"/>
  <c r="L123" i="41"/>
  <c r="L189"/>
  <c r="O122"/>
  <c r="O123" s="1"/>
  <c r="N118" i="43"/>
  <c r="N399"/>
  <c r="K138"/>
  <c r="K419"/>
  <c r="O374" i="23"/>
  <c r="C395" i="22"/>
  <c r="O394"/>
  <c r="O395" s="1"/>
  <c r="L481"/>
  <c r="L91"/>
  <c r="L93"/>
  <c r="O280"/>
  <c r="O164"/>
  <c r="O166"/>
  <c r="O149"/>
  <c r="O151"/>
  <c r="O89" i="23"/>
  <c r="K403"/>
  <c r="K401"/>
  <c r="D461" i="22"/>
  <c r="D463"/>
  <c r="N416" i="23"/>
  <c r="N418"/>
  <c r="L421"/>
  <c r="L423"/>
  <c r="D426" i="22"/>
  <c r="D428"/>
  <c r="M461" i="23"/>
  <c r="M463"/>
  <c r="C485"/>
  <c r="C378"/>
  <c r="C376"/>
  <c r="M396"/>
  <c r="H245"/>
  <c r="G246"/>
  <c r="G247" s="1"/>
  <c r="C403"/>
  <c r="O402"/>
  <c r="C401"/>
  <c r="O111"/>
  <c r="O109"/>
  <c r="C153"/>
  <c r="O152"/>
  <c r="O153" s="1"/>
  <c r="C434"/>
  <c r="K128" i="43"/>
  <c r="M255"/>
  <c r="L256"/>
  <c r="H390" i="22"/>
  <c r="E393" i="23"/>
  <c r="E391"/>
  <c r="E436"/>
  <c r="E438"/>
  <c r="J93" i="22"/>
  <c r="J481"/>
  <c r="J91"/>
  <c r="H319" i="23"/>
  <c r="G320"/>
  <c r="C410" i="22"/>
  <c r="F346"/>
  <c r="I321" i="43"/>
  <c r="I414"/>
  <c r="O136" i="22"/>
  <c r="O134"/>
  <c r="O119"/>
  <c r="O121"/>
  <c r="J341" i="43"/>
  <c r="J434"/>
  <c r="J435" s="1"/>
  <c r="H411" i="23"/>
  <c r="M390" i="22"/>
  <c r="M388"/>
  <c r="L396" i="23"/>
  <c r="L391" i="22"/>
  <c r="L393"/>
  <c r="H426"/>
  <c r="F441" i="23"/>
  <c r="L421" i="22"/>
  <c r="L423"/>
  <c r="K396" i="23"/>
  <c r="L426" i="22"/>
  <c r="D189" i="23"/>
  <c r="D108"/>
  <c r="C400" i="22"/>
  <c r="H460" i="43"/>
  <c r="H458"/>
  <c r="K189" i="22"/>
  <c r="K108"/>
  <c r="O397" i="23"/>
  <c r="C396"/>
  <c r="O187"/>
  <c r="C186"/>
  <c r="O174"/>
  <c r="O176"/>
  <c r="I222" i="43"/>
  <c r="I409"/>
  <c r="J395"/>
  <c r="J393"/>
  <c r="J378" i="41"/>
  <c r="J485"/>
  <c r="J381"/>
  <c r="J376"/>
  <c r="E441" i="23"/>
  <c r="E443"/>
  <c r="E475"/>
  <c r="E474" s="1"/>
  <c r="E386"/>
  <c r="E470"/>
  <c r="E469" s="1"/>
  <c r="E173"/>
  <c r="E454"/>
  <c r="E455" s="1"/>
  <c r="G265" i="22"/>
  <c r="F266"/>
  <c r="F283" s="1"/>
  <c r="F189" i="23"/>
  <c r="F108"/>
  <c r="O267" i="43"/>
  <c r="O265"/>
  <c r="J481" i="41"/>
  <c r="J490" s="1"/>
  <c r="J93"/>
  <c r="J91"/>
  <c r="H440" i="43"/>
  <c r="H438"/>
  <c r="C415" i="22"/>
  <c r="L364" i="41"/>
  <c r="K365"/>
  <c r="M481" i="23"/>
  <c r="M93"/>
  <c r="M91"/>
  <c r="C118" i="22"/>
  <c r="O117"/>
  <c r="O118" s="1"/>
  <c r="C148"/>
  <c r="O147"/>
  <c r="O148" s="1"/>
  <c r="K423" i="23"/>
  <c r="K421"/>
  <c r="D441" i="22"/>
  <c r="D443"/>
  <c r="J426"/>
  <c r="L401" i="23"/>
  <c r="L403"/>
  <c r="D453" i="22"/>
  <c r="D451"/>
  <c r="F411" i="23"/>
  <c r="F413"/>
  <c r="G473" i="43"/>
  <c r="G471"/>
  <c r="G476"/>
  <c r="G478"/>
  <c r="K481" i="23"/>
  <c r="K91"/>
  <c r="K93"/>
  <c r="C390" i="22"/>
  <c r="K309" i="43"/>
  <c r="J310"/>
  <c r="F189" i="22"/>
  <c r="F108"/>
  <c r="H189"/>
  <c r="H108"/>
  <c r="C451" i="23"/>
  <c r="O452"/>
  <c r="O144"/>
  <c r="O146"/>
  <c r="C168"/>
  <c r="O167"/>
  <c r="O168" s="1"/>
  <c r="C449"/>
  <c r="E123"/>
  <c r="E404"/>
  <c r="E405" s="1"/>
  <c r="E153"/>
  <c r="E434"/>
  <c r="E435" s="1"/>
  <c r="H314" i="22"/>
  <c r="G315"/>
  <c r="N205" i="43"/>
  <c r="N206" s="1"/>
  <c r="M206"/>
  <c r="K403" i="41"/>
  <c r="K405"/>
  <c r="H319" i="22"/>
  <c r="G320"/>
  <c r="K250" i="43"/>
  <c r="J251"/>
  <c r="M299"/>
  <c r="L300"/>
  <c r="L245"/>
  <c r="K246"/>
  <c r="C128" i="22"/>
  <c r="O127"/>
  <c r="O128" s="1"/>
  <c r="O162"/>
  <c r="O163" s="1"/>
  <c r="C163"/>
  <c r="J72" i="41"/>
  <c r="J449"/>
  <c r="I450"/>
  <c r="I448"/>
  <c r="D377" i="23"/>
  <c r="J389"/>
  <c r="C404" i="22"/>
  <c r="F389"/>
  <c r="O75"/>
  <c r="E408"/>
  <c r="K470"/>
  <c r="K469" s="1"/>
  <c r="J459" i="41"/>
  <c r="F418" i="22"/>
  <c r="O55"/>
  <c r="H393"/>
  <c r="O117" i="43"/>
  <c r="O40" i="23"/>
  <c r="F388"/>
  <c r="N388"/>
  <c r="L388"/>
  <c r="L475" i="22"/>
  <c r="L474" s="1"/>
  <c r="H426" i="23"/>
  <c r="I441" i="22"/>
  <c r="F416" i="23"/>
  <c r="F418"/>
  <c r="L396" i="22"/>
  <c r="L401"/>
  <c r="L403"/>
  <c r="O137" i="23"/>
  <c r="O138" s="1"/>
  <c r="C138"/>
  <c r="C419"/>
  <c r="I361" i="43"/>
  <c r="I454"/>
  <c r="D189" i="22"/>
  <c r="D108"/>
  <c r="E118" i="23"/>
  <c r="E399"/>
  <c r="E400" s="1"/>
  <c r="E168"/>
  <c r="E449"/>
  <c r="E450" s="1"/>
  <c r="H225"/>
  <c r="G226"/>
  <c r="K416"/>
  <c r="K418"/>
  <c r="O387" i="22"/>
  <c r="C386"/>
  <c r="C475"/>
  <c r="C470"/>
  <c r="C388"/>
  <c r="L416"/>
  <c r="L418"/>
  <c r="H401"/>
  <c r="H403"/>
  <c r="M441" i="23"/>
  <c r="H406"/>
  <c r="L441" i="22"/>
  <c r="K406" i="23"/>
  <c r="L451" i="22"/>
  <c r="O412"/>
  <c r="C411"/>
  <c r="C413"/>
  <c r="N465" i="43"/>
  <c r="N463"/>
  <c r="I481" i="23"/>
  <c r="I93"/>
  <c r="I91"/>
  <c r="O280"/>
  <c r="O282"/>
  <c r="C411"/>
  <c r="C413"/>
  <c r="O412"/>
  <c r="O134"/>
  <c r="O157"/>
  <c r="O158" s="1"/>
  <c r="C158"/>
  <c r="C439"/>
  <c r="C438" s="1"/>
  <c r="C420" i="22"/>
  <c r="O419"/>
  <c r="O420" s="1"/>
  <c r="J445" i="43"/>
  <c r="J443"/>
  <c r="L158"/>
  <c r="E396" i="23"/>
  <c r="E398"/>
  <c r="E446"/>
  <c r="E448"/>
  <c r="F227"/>
  <c r="N481"/>
  <c r="N91"/>
  <c r="N93"/>
  <c r="E485"/>
  <c r="E376"/>
  <c r="E378"/>
  <c r="C435" i="22"/>
  <c r="E93"/>
  <c r="E91"/>
  <c r="E481"/>
  <c r="L390"/>
  <c r="O182"/>
  <c r="O183" s="1"/>
  <c r="C183"/>
  <c r="C173"/>
  <c r="O172"/>
  <c r="O173" s="1"/>
  <c r="L189" i="23"/>
  <c r="L108"/>
  <c r="K456"/>
  <c r="K458"/>
  <c r="D421" i="22"/>
  <c r="D423"/>
  <c r="J403"/>
  <c r="J401"/>
  <c r="L458" i="23"/>
  <c r="L456"/>
  <c r="G441"/>
  <c r="M393"/>
  <c r="M391"/>
  <c r="N426"/>
  <c r="G411"/>
  <c r="L411" i="22"/>
  <c r="E189"/>
  <c r="E108"/>
  <c r="C391" i="23"/>
  <c r="C393"/>
  <c r="O392"/>
  <c r="O151"/>
  <c r="O149"/>
  <c r="C143"/>
  <c r="O142"/>
  <c r="O143" s="1"/>
  <c r="C424"/>
  <c r="K257" i="43"/>
  <c r="K444"/>
  <c r="K390" i="22"/>
  <c r="M111" i="43"/>
  <c r="L112"/>
  <c r="E183" i="23"/>
  <c r="E464"/>
  <c r="E465" s="1"/>
  <c r="E138"/>
  <c r="E419"/>
  <c r="E420" s="1"/>
  <c r="F321"/>
  <c r="G390" i="22"/>
  <c r="I93"/>
  <c r="I91"/>
  <c r="I481"/>
  <c r="N121" i="43"/>
  <c r="N122" s="1"/>
  <c r="M122"/>
  <c r="C484" i="22"/>
  <c r="C284"/>
  <c r="C282"/>
  <c r="O142"/>
  <c r="O143" s="1"/>
  <c r="C143"/>
  <c r="C158"/>
  <c r="O157"/>
  <c r="O158" s="1"/>
  <c r="G359" i="23"/>
  <c r="F360"/>
  <c r="D481"/>
  <c r="D93"/>
  <c r="D91"/>
  <c r="O92"/>
  <c r="O93" s="1"/>
  <c r="K386"/>
  <c r="K470"/>
  <c r="K469" s="1"/>
  <c r="K388"/>
  <c r="K475"/>
  <c r="K474" s="1"/>
  <c r="L446"/>
  <c r="L436" i="22"/>
  <c r="H406"/>
  <c r="K426"/>
  <c r="K463" i="23"/>
  <c r="K461"/>
  <c r="L461" i="22"/>
  <c r="L463"/>
  <c r="K446" i="23"/>
  <c r="L406" i="22"/>
  <c r="L461" i="23"/>
  <c r="L463"/>
  <c r="M336" i="43"/>
  <c r="O335"/>
  <c r="O89" i="22"/>
  <c r="C128" i="23"/>
  <c r="O127"/>
  <c r="O128" s="1"/>
  <c r="C409"/>
  <c r="C408" s="1"/>
  <c r="C386"/>
  <c r="C470"/>
  <c r="C475"/>
  <c r="O387"/>
  <c r="O457"/>
  <c r="C456"/>
  <c r="C458"/>
  <c r="G481"/>
  <c r="G91"/>
  <c r="G93"/>
  <c r="H250"/>
  <c r="G251"/>
  <c r="G252" s="1"/>
  <c r="E143"/>
  <c r="E424"/>
  <c r="E425" s="1"/>
  <c r="E453"/>
  <c r="E451"/>
  <c r="O374" i="22"/>
  <c r="O116"/>
  <c r="O114"/>
  <c r="O144"/>
  <c r="O146"/>
  <c r="C189"/>
  <c r="C108"/>
  <c r="O107"/>
  <c r="O108" s="1"/>
  <c r="H441" i="23"/>
  <c r="C441" i="22"/>
  <c r="C443"/>
  <c r="O442"/>
  <c r="J406"/>
  <c r="H471" i="41"/>
  <c r="H473"/>
  <c r="M431" i="23"/>
  <c r="G451"/>
  <c r="I481" i="41"/>
  <c r="I91"/>
  <c r="I93"/>
  <c r="I483"/>
  <c r="H481" i="23"/>
  <c r="H93"/>
  <c r="H91"/>
  <c r="I311" i="43"/>
  <c r="I404"/>
  <c r="I377"/>
  <c r="C426" i="23"/>
  <c r="C428"/>
  <c r="O427"/>
  <c r="O164"/>
  <c r="O166"/>
  <c r="C183"/>
  <c r="O182"/>
  <c r="O183" s="1"/>
  <c r="C464"/>
  <c r="I189" i="22"/>
  <c r="I108"/>
  <c r="E401" i="23"/>
  <c r="E403"/>
  <c r="E433"/>
  <c r="E431"/>
  <c r="L207" i="43"/>
  <c r="O206"/>
  <c r="K190" i="41"/>
  <c r="K193"/>
  <c r="K188"/>
  <c r="K482"/>
  <c r="F321" i="22"/>
  <c r="I252" i="43"/>
  <c r="I439"/>
  <c r="K301"/>
  <c r="O124" i="22"/>
  <c r="O126"/>
  <c r="O159"/>
  <c r="O161"/>
  <c r="H450" i="43"/>
  <c r="H448"/>
  <c r="K71" i="41"/>
  <c r="L70"/>
  <c r="H470" i="22"/>
  <c r="H469" s="1"/>
  <c r="D454" i="23"/>
  <c r="C464" i="22"/>
  <c r="M470" i="23"/>
  <c r="M469" s="1"/>
  <c r="E454" i="22"/>
  <c r="E472" s="1"/>
  <c r="O20" i="23"/>
  <c r="E377" i="22"/>
  <c r="O437"/>
  <c r="M389" i="23"/>
  <c r="O241" i="43"/>
  <c r="O329" i="23"/>
  <c r="O75"/>
  <c r="K475" i="22"/>
  <c r="K474" s="1"/>
  <c r="O231" i="43"/>
  <c r="O55" i="23"/>
  <c r="G388" i="22"/>
  <c r="O30"/>
  <c r="D433"/>
  <c r="E433"/>
  <c r="O294" i="23"/>
  <c r="O324"/>
  <c r="O50"/>
  <c r="I472" i="41"/>
  <c r="F475" i="23"/>
  <c r="F474" s="1"/>
  <c r="L475"/>
  <c r="L474" s="1"/>
  <c r="G475"/>
  <c r="G474" s="1"/>
  <c r="L470" i="22"/>
  <c r="L469" s="1"/>
  <c r="H436" i="23"/>
  <c r="H451" i="22"/>
  <c r="C406"/>
  <c r="C408"/>
  <c r="O407"/>
  <c r="I189" i="23"/>
  <c r="I108"/>
  <c r="O417"/>
  <c r="C416"/>
  <c r="C418"/>
  <c r="C163"/>
  <c r="O162"/>
  <c r="O163" s="1"/>
  <c r="C444"/>
  <c r="G189"/>
  <c r="G108"/>
  <c r="H415" i="43"/>
  <c r="H413"/>
  <c r="O179" i="22"/>
  <c r="O181"/>
  <c r="O169"/>
  <c r="O171"/>
  <c r="C398"/>
  <c r="C396"/>
  <c r="O397"/>
  <c r="J451"/>
  <c r="C421"/>
  <c r="C423"/>
  <c r="O422"/>
  <c r="D484"/>
  <c r="D284"/>
  <c r="D282"/>
  <c r="F451" i="23"/>
  <c r="C401" i="22"/>
  <c r="C403"/>
  <c r="O402"/>
  <c r="L456"/>
  <c r="L458"/>
  <c r="C445"/>
  <c r="H225"/>
  <c r="G226"/>
  <c r="K235" i="43"/>
  <c r="J236"/>
  <c r="C123" i="23"/>
  <c r="O122"/>
  <c r="O123" s="1"/>
  <c r="C404"/>
  <c r="C431"/>
  <c r="C433"/>
  <c r="O432"/>
  <c r="O139"/>
  <c r="O141"/>
  <c r="C455" i="22"/>
  <c r="H410" i="43"/>
  <c r="H408"/>
  <c r="K113"/>
  <c r="K394"/>
  <c r="E461" i="23"/>
  <c r="E463"/>
  <c r="E416"/>
  <c r="E418"/>
  <c r="J420" i="43"/>
  <c r="J418"/>
  <c r="H245" i="22"/>
  <c r="G246"/>
  <c r="G247" s="1"/>
  <c r="L123" i="43"/>
  <c r="O139" i="22"/>
  <c r="O141"/>
  <c r="O156"/>
  <c r="O154"/>
  <c r="O143" i="43"/>
  <c r="O141"/>
  <c r="D390" i="23"/>
  <c r="D477"/>
  <c r="D472"/>
  <c r="K441"/>
  <c r="G456"/>
  <c r="G458"/>
  <c r="I421" i="22"/>
  <c r="I423"/>
  <c r="K406"/>
  <c r="M411" i="23"/>
  <c r="H396"/>
  <c r="G416"/>
  <c r="G418"/>
  <c r="K451"/>
  <c r="C458" i="22"/>
  <c r="O457"/>
  <c r="C456"/>
  <c r="L411" i="23"/>
  <c r="K389" i="43"/>
  <c r="K108"/>
  <c r="G189" i="22"/>
  <c r="G108"/>
  <c r="H403" i="43"/>
  <c r="H405"/>
  <c r="H472"/>
  <c r="H477"/>
  <c r="G265" i="23"/>
  <c r="F266"/>
  <c r="F283" s="1"/>
  <c r="G359" i="22"/>
  <c r="F360"/>
  <c r="O124" i="23"/>
  <c r="O126"/>
  <c r="O117"/>
  <c r="O118" s="1"/>
  <c r="C118"/>
  <c r="C399"/>
  <c r="C398" s="1"/>
  <c r="C189"/>
  <c r="C108"/>
  <c r="O107"/>
  <c r="O108" s="1"/>
  <c r="C389"/>
  <c r="C430" i="22"/>
  <c r="H314" i="23"/>
  <c r="G315"/>
  <c r="E421"/>
  <c r="E423"/>
  <c r="E189"/>
  <c r="E108"/>
  <c r="E389"/>
  <c r="H339" i="22"/>
  <c r="G340"/>
  <c r="J465" i="41"/>
  <c r="J463"/>
  <c r="K189" i="23"/>
  <c r="K108"/>
  <c r="N189"/>
  <c r="N108"/>
  <c r="C133" i="22"/>
  <c r="O132"/>
  <c r="O133" s="1"/>
  <c r="O187"/>
  <c r="C186"/>
  <c r="I431" i="23"/>
  <c r="I460" i="41"/>
  <c r="I458"/>
  <c r="N396" i="23"/>
  <c r="G426"/>
  <c r="M436"/>
  <c r="N446"/>
  <c r="L431" i="22"/>
  <c r="C91"/>
  <c r="C481"/>
  <c r="O481" s="1"/>
  <c r="C93"/>
  <c r="O92"/>
  <c r="O93" s="1"/>
  <c r="K364" i="43"/>
  <c r="J365"/>
  <c r="L148"/>
  <c r="L429"/>
  <c r="C173" i="23"/>
  <c r="O172"/>
  <c r="O173" s="1"/>
  <c r="C454"/>
  <c r="C446"/>
  <c r="C448"/>
  <c r="O447"/>
  <c r="O179"/>
  <c r="O181"/>
  <c r="L310" i="41"/>
  <c r="L404" s="1"/>
  <c r="M309"/>
  <c r="E148" i="23"/>
  <c r="E429"/>
  <c r="E430" s="1"/>
  <c r="E178"/>
  <c r="E459"/>
  <c r="E460" s="1"/>
  <c r="H344"/>
  <c r="G345"/>
  <c r="N369" i="41"/>
  <c r="N370" s="1"/>
  <c r="M370"/>
  <c r="M371" s="1"/>
  <c r="M85"/>
  <c r="L86"/>
  <c r="N270" i="43"/>
  <c r="N271" s="1"/>
  <c r="N272" s="1"/>
  <c r="M271"/>
  <c r="H339" i="23"/>
  <c r="G340"/>
  <c r="M483" i="22"/>
  <c r="M482"/>
  <c r="M188"/>
  <c r="M190"/>
  <c r="N178" i="43"/>
  <c r="O177"/>
  <c r="O178" s="1"/>
  <c r="H220" i="22"/>
  <c r="G221"/>
  <c r="C113"/>
  <c r="O112"/>
  <c r="O113" s="1"/>
  <c r="C178"/>
  <c r="O177"/>
  <c r="O178" s="1"/>
  <c r="H188" i="43"/>
  <c r="H190"/>
  <c r="H483"/>
  <c r="H482"/>
  <c r="K166"/>
  <c r="J167"/>
  <c r="J389" i="22"/>
  <c r="O216" i="43"/>
  <c r="O464"/>
  <c r="O40" i="22"/>
  <c r="G389" i="23"/>
  <c r="F439"/>
  <c r="F440" s="1"/>
  <c r="F439" i="22"/>
  <c r="D470"/>
  <c r="D469" s="1"/>
  <c r="J483" i="41"/>
  <c r="H389" i="23"/>
  <c r="I475"/>
  <c r="I474" s="1"/>
  <c r="F434" i="22"/>
  <c r="E428"/>
  <c r="F458"/>
  <c r="D398" i="23"/>
  <c r="D377" i="22"/>
  <c r="D472" s="1"/>
  <c r="O15" i="23"/>
  <c r="C439" i="22"/>
  <c r="D428" i="23"/>
  <c r="O462" i="22"/>
  <c r="C448"/>
  <c r="C418"/>
  <c r="L388"/>
  <c r="F351" i="23" l="1"/>
  <c r="F444"/>
  <c r="G336"/>
  <c r="G429"/>
  <c r="F306" i="22"/>
  <c r="F399"/>
  <c r="G366"/>
  <c r="G459"/>
  <c r="F262" i="23"/>
  <c r="M240" i="22"/>
  <c r="L241"/>
  <c r="L242" s="1"/>
  <c r="I270" i="23"/>
  <c r="H271"/>
  <c r="H272" s="1"/>
  <c r="H349" i="22"/>
  <c r="G350"/>
  <c r="C477"/>
  <c r="M240" i="23"/>
  <c r="L241"/>
  <c r="L242" s="1"/>
  <c r="H255" i="22"/>
  <c r="G256"/>
  <c r="G257" s="1"/>
  <c r="H304" i="23"/>
  <c r="G305"/>
  <c r="I334" i="22"/>
  <c r="H335"/>
  <c r="H210"/>
  <c r="G211"/>
  <c r="G212" s="1"/>
  <c r="I364" i="23"/>
  <c r="H365"/>
  <c r="F351" i="22"/>
  <c r="F444"/>
  <c r="F257"/>
  <c r="F306" i="23"/>
  <c r="F399"/>
  <c r="G336" i="22"/>
  <c r="G429"/>
  <c r="G366" i="23"/>
  <c r="G459"/>
  <c r="G460" s="1"/>
  <c r="H260" i="22"/>
  <c r="G261"/>
  <c r="G262" s="1"/>
  <c r="H354" i="23"/>
  <c r="G355"/>
  <c r="H354" i="22"/>
  <c r="G355"/>
  <c r="H255" i="23"/>
  <c r="G256"/>
  <c r="G257" s="1"/>
  <c r="H349"/>
  <c r="G350"/>
  <c r="I334"/>
  <c r="H335"/>
  <c r="H304" i="22"/>
  <c r="G305"/>
  <c r="H210" i="23"/>
  <c r="G211"/>
  <c r="I364" i="22"/>
  <c r="H365"/>
  <c r="H260" i="23"/>
  <c r="G261"/>
  <c r="G262" s="1"/>
  <c r="I270" i="22"/>
  <c r="H271"/>
  <c r="F262"/>
  <c r="F356" i="23"/>
  <c r="F449"/>
  <c r="F356" i="22"/>
  <c r="F449"/>
  <c r="F257" i="23"/>
  <c r="E473" i="22"/>
  <c r="E471"/>
  <c r="L405" i="41"/>
  <c r="F484" i="23"/>
  <c r="F284"/>
  <c r="F282"/>
  <c r="F484" i="22"/>
  <c r="F284"/>
  <c r="F282"/>
  <c r="D473"/>
  <c r="D471"/>
  <c r="C478"/>
  <c r="C476"/>
  <c r="L166" i="43"/>
  <c r="K167"/>
  <c r="M86" i="41"/>
  <c r="N85"/>
  <c r="N86" s="1"/>
  <c r="I344" i="23"/>
  <c r="H345"/>
  <c r="O461" i="22"/>
  <c r="C440"/>
  <c r="C438"/>
  <c r="J168" i="43"/>
  <c r="J449"/>
  <c r="J450" s="1"/>
  <c r="J189"/>
  <c r="H489"/>
  <c r="H488"/>
  <c r="I220" i="22"/>
  <c r="H221"/>
  <c r="H222" s="1"/>
  <c r="G341" i="23"/>
  <c r="G434"/>
  <c r="L87" i="41"/>
  <c r="L464"/>
  <c r="G346" i="23"/>
  <c r="G439"/>
  <c r="L430" i="43"/>
  <c r="L428"/>
  <c r="G341" i="22"/>
  <c r="G434"/>
  <c r="E483" i="23"/>
  <c r="E482"/>
  <c r="E190"/>
  <c r="E188"/>
  <c r="I314"/>
  <c r="H315"/>
  <c r="F361" i="22"/>
  <c r="F454"/>
  <c r="H476" i="43"/>
  <c r="H478"/>
  <c r="K390"/>
  <c r="K388"/>
  <c r="D478" i="23"/>
  <c r="D476"/>
  <c r="O431"/>
  <c r="G227" i="22"/>
  <c r="O230" i="43"/>
  <c r="O232"/>
  <c r="O436" i="22"/>
  <c r="K72" i="41"/>
  <c r="K449"/>
  <c r="C465" i="23"/>
  <c r="O464"/>
  <c r="O465" s="1"/>
  <c r="I378" i="43"/>
  <c r="I376"/>
  <c r="I485"/>
  <c r="O456" i="23"/>
  <c r="O458"/>
  <c r="C469"/>
  <c r="O470"/>
  <c r="H359"/>
  <c r="G360"/>
  <c r="N111" i="43"/>
  <c r="N112" s="1"/>
  <c r="M112"/>
  <c r="O391" i="23"/>
  <c r="E483" i="22"/>
  <c r="E482"/>
  <c r="E188"/>
  <c r="E190"/>
  <c r="L483" i="23"/>
  <c r="L482"/>
  <c r="L188"/>
  <c r="L190"/>
  <c r="O411"/>
  <c r="O411" i="22"/>
  <c r="C469"/>
  <c r="O470"/>
  <c r="O118" i="43"/>
  <c r="O116"/>
  <c r="J458" i="41"/>
  <c r="J460"/>
  <c r="F477" i="22"/>
  <c r="F390"/>
  <c r="F388"/>
  <c r="D485" i="23"/>
  <c r="D378"/>
  <c r="D376"/>
  <c r="M245" i="43"/>
  <c r="L246"/>
  <c r="L247" s="1"/>
  <c r="K251"/>
  <c r="L250"/>
  <c r="N207"/>
  <c r="O451" i="23"/>
  <c r="H483" i="22"/>
  <c r="H188"/>
  <c r="H482"/>
  <c r="H190"/>
  <c r="L309" i="43"/>
  <c r="K310"/>
  <c r="K366" i="41"/>
  <c r="F483" i="23"/>
  <c r="F482"/>
  <c r="F190"/>
  <c r="F188"/>
  <c r="K483" i="22"/>
  <c r="K190"/>
  <c r="K482"/>
  <c r="K188"/>
  <c r="E484" i="23"/>
  <c r="E282"/>
  <c r="E284"/>
  <c r="I460" i="43"/>
  <c r="I458"/>
  <c r="C460" i="23"/>
  <c r="L319" i="43"/>
  <c r="K320"/>
  <c r="O421" i="23"/>
  <c r="I425" i="43"/>
  <c r="I423"/>
  <c r="L138"/>
  <c r="L419"/>
  <c r="M123" i="41"/>
  <c r="M189"/>
  <c r="J361" i="43"/>
  <c r="J454"/>
  <c r="L82" i="41"/>
  <c r="O316" i="43"/>
  <c r="O314"/>
  <c r="F377" i="22"/>
  <c r="F472" s="1"/>
  <c r="K92" i="41"/>
  <c r="O418" i="22"/>
  <c r="F435"/>
  <c r="F433"/>
  <c r="H390" i="23"/>
  <c r="H388"/>
  <c r="G390"/>
  <c r="G388"/>
  <c r="N371" i="41"/>
  <c r="O370"/>
  <c r="O371" s="1"/>
  <c r="N483" i="23"/>
  <c r="N482"/>
  <c r="N190"/>
  <c r="N188"/>
  <c r="G316"/>
  <c r="G409"/>
  <c r="C477"/>
  <c r="O389"/>
  <c r="O390" s="1"/>
  <c r="C472"/>
  <c r="C390"/>
  <c r="C400"/>
  <c r="H265"/>
  <c r="G266"/>
  <c r="G267" s="1"/>
  <c r="D473"/>
  <c r="D471"/>
  <c r="I245" i="22"/>
  <c r="H246"/>
  <c r="K395" i="43"/>
  <c r="K393"/>
  <c r="C405" i="23"/>
  <c r="O404"/>
  <c r="O405" s="1"/>
  <c r="L235" i="43"/>
  <c r="K236"/>
  <c r="O396" i="22"/>
  <c r="O416" i="23"/>
  <c r="M390"/>
  <c r="M388"/>
  <c r="E455" i="22"/>
  <c r="E453"/>
  <c r="D455" i="23"/>
  <c r="D453"/>
  <c r="L71" i="41"/>
  <c r="M70"/>
  <c r="O207" i="43"/>
  <c r="O205"/>
  <c r="I483" i="22"/>
  <c r="I482"/>
  <c r="I188"/>
  <c r="I190"/>
  <c r="O441"/>
  <c r="O336" i="43"/>
  <c r="O334"/>
  <c r="F361" i="23"/>
  <c r="F454"/>
  <c r="L113" i="43"/>
  <c r="L394"/>
  <c r="C425" i="23"/>
  <c r="O424"/>
  <c r="O425" s="1"/>
  <c r="C440"/>
  <c r="O386" i="22"/>
  <c r="I225" i="23"/>
  <c r="H226"/>
  <c r="I455" i="43"/>
  <c r="I453"/>
  <c r="K247"/>
  <c r="J252"/>
  <c r="J439"/>
  <c r="M207"/>
  <c r="C450" i="23"/>
  <c r="J311" i="43"/>
  <c r="J404"/>
  <c r="J377"/>
  <c r="O186" i="23"/>
  <c r="D483"/>
  <c r="D482"/>
  <c r="D188"/>
  <c r="D190"/>
  <c r="I415" i="43"/>
  <c r="I413"/>
  <c r="O403" i="23"/>
  <c r="O401"/>
  <c r="N400" i="43"/>
  <c r="N398"/>
  <c r="O399"/>
  <c r="N158"/>
  <c r="F435" i="23"/>
  <c r="F433"/>
  <c r="O463"/>
  <c r="O461"/>
  <c r="L220" i="43"/>
  <c r="K221"/>
  <c r="O406" i="23"/>
  <c r="J321" i="43"/>
  <c r="J414"/>
  <c r="I284"/>
  <c r="I484"/>
  <c r="I282"/>
  <c r="O426" i="22"/>
  <c r="L483"/>
  <c r="L188"/>
  <c r="L482"/>
  <c r="L190"/>
  <c r="C415" i="23"/>
  <c r="J483" i="22"/>
  <c r="J190"/>
  <c r="J188"/>
  <c r="J482"/>
  <c r="O451"/>
  <c r="C388" i="23"/>
  <c r="K377" i="41"/>
  <c r="O106" i="22"/>
  <c r="O106" i="23"/>
  <c r="F438"/>
  <c r="E477" i="22"/>
  <c r="O157" i="43"/>
  <c r="J488" i="41"/>
  <c r="J489"/>
  <c r="D485" i="22"/>
  <c r="D376"/>
  <c r="D378"/>
  <c r="F440"/>
  <c r="F438"/>
  <c r="J390"/>
  <c r="J388"/>
  <c r="G222"/>
  <c r="L311" i="41"/>
  <c r="L364" i="43"/>
  <c r="K365"/>
  <c r="O186" i="22"/>
  <c r="O217" i="43"/>
  <c r="O215"/>
  <c r="M272"/>
  <c r="O271"/>
  <c r="N309" i="41"/>
  <c r="N310" s="1"/>
  <c r="M310"/>
  <c r="O446" i="23"/>
  <c r="J366" i="43"/>
  <c r="J459"/>
  <c r="E477" i="23"/>
  <c r="E472"/>
  <c r="E390"/>
  <c r="C483"/>
  <c r="C482"/>
  <c r="O189"/>
  <c r="O190" s="1"/>
  <c r="C188"/>
  <c r="C190"/>
  <c r="F267"/>
  <c r="J237" i="43"/>
  <c r="J424"/>
  <c r="J283"/>
  <c r="O401" i="22"/>
  <c r="O421"/>
  <c r="O423"/>
  <c r="C445" i="23"/>
  <c r="O406" i="22"/>
  <c r="O242" i="43"/>
  <c r="O240"/>
  <c r="I488" i="41"/>
  <c r="I489"/>
  <c r="I490"/>
  <c r="C483" i="22"/>
  <c r="C190"/>
  <c r="C482"/>
  <c r="O189"/>
  <c r="O190" s="1"/>
  <c r="C188"/>
  <c r="I250" i="23"/>
  <c r="H251"/>
  <c r="H252" s="1"/>
  <c r="C474"/>
  <c r="O475"/>
  <c r="C410"/>
  <c r="N123" i="43"/>
  <c r="O122"/>
  <c r="O123" s="1"/>
  <c r="G227" i="23"/>
  <c r="G283"/>
  <c r="J390"/>
  <c r="J388"/>
  <c r="N299" i="43"/>
  <c r="N300" s="1"/>
  <c r="M300"/>
  <c r="I319" i="22"/>
  <c r="H320"/>
  <c r="I314"/>
  <c r="H315"/>
  <c r="F483"/>
  <c r="F190"/>
  <c r="F188"/>
  <c r="F482"/>
  <c r="H265"/>
  <c r="G266"/>
  <c r="G267" s="1"/>
  <c r="I410" i="43"/>
  <c r="I408"/>
  <c r="O396" i="23"/>
  <c r="I319"/>
  <c r="H320"/>
  <c r="N255" i="43"/>
  <c r="N256" s="1"/>
  <c r="M256"/>
  <c r="I245" i="23"/>
  <c r="H246"/>
  <c r="L482" i="41"/>
  <c r="L190"/>
  <c r="L193"/>
  <c r="L188"/>
  <c r="M483" i="23"/>
  <c r="M482"/>
  <c r="M190"/>
  <c r="M188"/>
  <c r="M158" i="43"/>
  <c r="I450"/>
  <c r="N148"/>
  <c r="N429"/>
  <c r="I220" i="23"/>
  <c r="H221"/>
  <c r="H222" s="1"/>
  <c r="J222" i="43"/>
  <c r="J409"/>
  <c r="N106"/>
  <c r="N107" s="1"/>
  <c r="M107"/>
  <c r="M339"/>
  <c r="L340"/>
  <c r="I344" i="22"/>
  <c r="H345"/>
  <c r="H483" i="23"/>
  <c r="H482"/>
  <c r="H188"/>
  <c r="H190"/>
  <c r="L128" i="43"/>
  <c r="C395" i="23"/>
  <c r="O394"/>
  <c r="O395" s="1"/>
  <c r="M400" i="43"/>
  <c r="M398"/>
  <c r="O436" i="23"/>
  <c r="O91" i="22"/>
  <c r="O481" i="23"/>
  <c r="O136"/>
  <c r="O389" i="22"/>
  <c r="O390" s="1"/>
  <c r="C443" i="23"/>
  <c r="F477"/>
  <c r="O111" i="22"/>
  <c r="O161" i="23"/>
  <c r="O156"/>
  <c r="O465" i="43"/>
  <c r="O463"/>
  <c r="I339" i="23"/>
  <c r="H340"/>
  <c r="C455"/>
  <c r="K483"/>
  <c r="K482"/>
  <c r="K188"/>
  <c r="K190"/>
  <c r="I339" i="22"/>
  <c r="H340"/>
  <c r="H359"/>
  <c r="G360"/>
  <c r="G377" s="1"/>
  <c r="H473" i="43"/>
  <c r="H471"/>
  <c r="G483" i="22"/>
  <c r="G190"/>
  <c r="G482"/>
  <c r="G188"/>
  <c r="O456"/>
  <c r="I225"/>
  <c r="H226"/>
  <c r="G483" i="23"/>
  <c r="G482"/>
  <c r="G188"/>
  <c r="G190"/>
  <c r="I483"/>
  <c r="I482"/>
  <c r="I190"/>
  <c r="I188"/>
  <c r="I473" i="41"/>
  <c r="I471"/>
  <c r="E485" i="22"/>
  <c r="E378"/>
  <c r="E376"/>
  <c r="O464"/>
  <c r="O465" s="1"/>
  <c r="C465"/>
  <c r="C463"/>
  <c r="I440" i="43"/>
  <c r="I438"/>
  <c r="O426" i="23"/>
  <c r="I405" i="43"/>
  <c r="I403"/>
  <c r="I477"/>
  <c r="I472"/>
  <c r="O386" i="23"/>
  <c r="M123" i="43"/>
  <c r="K445"/>
  <c r="K443"/>
  <c r="C474" i="22"/>
  <c r="O475"/>
  <c r="D483"/>
  <c r="D188"/>
  <c r="D482"/>
  <c r="D190"/>
  <c r="C420" i="23"/>
  <c r="O419"/>
  <c r="O420" s="1"/>
  <c r="O404" i="22"/>
  <c r="O405" s="1"/>
  <c r="C405"/>
  <c r="J450" i="41"/>
  <c r="J448"/>
  <c r="J477"/>
  <c r="J472"/>
  <c r="L301" i="43"/>
  <c r="G321" i="22"/>
  <c r="G414"/>
  <c r="G316"/>
  <c r="G409"/>
  <c r="M364" i="41"/>
  <c r="L365"/>
  <c r="L366" s="1"/>
  <c r="F267" i="22"/>
  <c r="G321" i="23"/>
  <c r="G377"/>
  <c r="G414"/>
  <c r="L257" i="43"/>
  <c r="L444"/>
  <c r="C435" i="23"/>
  <c r="K420" i="43"/>
  <c r="K418"/>
  <c r="O441" i="23"/>
  <c r="O446" i="22"/>
  <c r="I190" i="43"/>
  <c r="I188"/>
  <c r="I482"/>
  <c r="I483"/>
  <c r="K465" i="41"/>
  <c r="K463"/>
  <c r="I250" i="22"/>
  <c r="H251"/>
  <c r="C430" i="23"/>
  <c r="M148" i="43"/>
  <c r="M429"/>
  <c r="O429" s="1"/>
  <c r="O147"/>
  <c r="O393" i="22"/>
  <c r="O391"/>
  <c r="G222" i="23"/>
  <c r="L108" i="43"/>
  <c r="L389"/>
  <c r="K341"/>
  <c r="K434"/>
  <c r="K435" s="1"/>
  <c r="G346" i="22"/>
  <c r="G439"/>
  <c r="N126" i="43"/>
  <c r="N127" s="1"/>
  <c r="M127"/>
  <c r="N136"/>
  <c r="N137" s="1"/>
  <c r="M137"/>
  <c r="N404" i="41"/>
  <c r="N123"/>
  <c r="N189"/>
  <c r="L359" i="43"/>
  <c r="K360"/>
  <c r="J483" i="23"/>
  <c r="J482"/>
  <c r="J190"/>
  <c r="J188"/>
  <c r="M81" i="41"/>
  <c r="N80"/>
  <c r="N81" s="1"/>
  <c r="D478" i="22"/>
  <c r="D476"/>
  <c r="F377" i="23"/>
  <c r="C453"/>
  <c r="C472" i="22"/>
  <c r="E388" i="23"/>
  <c r="O91"/>
  <c r="E428"/>
  <c r="O171"/>
  <c r="O131" i="22"/>
  <c r="O116" i="23"/>
  <c r="C423"/>
  <c r="K459" i="41"/>
  <c r="F450" i="23" l="1"/>
  <c r="F448"/>
  <c r="H272" i="22"/>
  <c r="H366"/>
  <c r="H459"/>
  <c r="G306"/>
  <c r="G399"/>
  <c r="G351" i="23"/>
  <c r="G444"/>
  <c r="I255"/>
  <c r="H256"/>
  <c r="H257" s="1"/>
  <c r="I354"/>
  <c r="H355"/>
  <c r="F445" i="22"/>
  <c r="F443"/>
  <c r="G306" i="23"/>
  <c r="G399"/>
  <c r="J270"/>
  <c r="I271"/>
  <c r="I272" s="1"/>
  <c r="F400" i="22"/>
  <c r="F398"/>
  <c r="G430" i="23"/>
  <c r="G428"/>
  <c r="O388"/>
  <c r="O188" i="22"/>
  <c r="I260" i="23"/>
  <c r="H261"/>
  <c r="I210"/>
  <c r="H211"/>
  <c r="H212" s="1"/>
  <c r="J334"/>
  <c r="I335"/>
  <c r="G356"/>
  <c r="G449"/>
  <c r="G430" i="22"/>
  <c r="G428"/>
  <c r="J364" i="23"/>
  <c r="I365"/>
  <c r="J334" i="22"/>
  <c r="I335"/>
  <c r="I255"/>
  <c r="H256"/>
  <c r="F445" i="23"/>
  <c r="F443"/>
  <c r="G212"/>
  <c r="H336"/>
  <c r="H429"/>
  <c r="I354" i="22"/>
  <c r="H355"/>
  <c r="I260"/>
  <c r="H261"/>
  <c r="H262" s="1"/>
  <c r="H366" i="23"/>
  <c r="H459"/>
  <c r="H336" i="22"/>
  <c r="H429"/>
  <c r="I349"/>
  <c r="H350"/>
  <c r="N240"/>
  <c r="N241" s="1"/>
  <c r="N242" s="1"/>
  <c r="M241"/>
  <c r="M242" s="1"/>
  <c r="G460"/>
  <c r="G458"/>
  <c r="F450"/>
  <c r="F448"/>
  <c r="J270"/>
  <c r="I271"/>
  <c r="I272" s="1"/>
  <c r="J364"/>
  <c r="I365"/>
  <c r="I304"/>
  <c r="H305"/>
  <c r="I349" i="23"/>
  <c r="H350"/>
  <c r="G356" i="22"/>
  <c r="G449"/>
  <c r="F400" i="23"/>
  <c r="F398"/>
  <c r="I210" i="22"/>
  <c r="H211"/>
  <c r="I304" i="23"/>
  <c r="H305"/>
  <c r="N240"/>
  <c r="N241" s="1"/>
  <c r="N242" s="1"/>
  <c r="M241"/>
  <c r="G351" i="22"/>
  <c r="G444"/>
  <c r="O430" i="43"/>
  <c r="O428"/>
  <c r="F473" i="22"/>
  <c r="F471"/>
  <c r="F485" i="23"/>
  <c r="F376"/>
  <c r="F378"/>
  <c r="J473" i="41"/>
  <c r="J471"/>
  <c r="N82"/>
  <c r="N193"/>
  <c r="N188"/>
  <c r="N482"/>
  <c r="N190"/>
  <c r="O189"/>
  <c r="N138" i="43"/>
  <c r="N419"/>
  <c r="J250" i="22"/>
  <c r="I251"/>
  <c r="I252" s="1"/>
  <c r="I488" i="43"/>
  <c r="I489"/>
  <c r="L445"/>
  <c r="L443"/>
  <c r="N364" i="41"/>
  <c r="N365" s="1"/>
  <c r="M365"/>
  <c r="M366" s="1"/>
  <c r="G415" i="22"/>
  <c r="G413"/>
  <c r="D489"/>
  <c r="D488"/>
  <c r="J225"/>
  <c r="I226"/>
  <c r="J339"/>
  <c r="I340"/>
  <c r="J339" i="23"/>
  <c r="I340"/>
  <c r="N339" i="43"/>
  <c r="N340" s="1"/>
  <c r="M340"/>
  <c r="M257"/>
  <c r="M444"/>
  <c r="H321" i="22"/>
  <c r="H414"/>
  <c r="G484" i="23"/>
  <c r="G284"/>
  <c r="G282"/>
  <c r="N311" i="41"/>
  <c r="O310"/>
  <c r="O311" s="1"/>
  <c r="M364" i="43"/>
  <c r="L365"/>
  <c r="E478" i="22"/>
  <c r="E476"/>
  <c r="K222" i="43"/>
  <c r="K409"/>
  <c r="O400"/>
  <c r="O398"/>
  <c r="H227" i="23"/>
  <c r="L395" i="43"/>
  <c r="L393"/>
  <c r="K237"/>
  <c r="K424"/>
  <c r="K283"/>
  <c r="L420"/>
  <c r="L418"/>
  <c r="K252"/>
  <c r="K439"/>
  <c r="E489" i="22"/>
  <c r="E488"/>
  <c r="N394" i="43"/>
  <c r="N113"/>
  <c r="O112"/>
  <c r="K448" i="41"/>
  <c r="K450"/>
  <c r="K477"/>
  <c r="K472"/>
  <c r="F455" i="22"/>
  <c r="F453"/>
  <c r="G435"/>
  <c r="G433"/>
  <c r="L465" i="41"/>
  <c r="L463"/>
  <c r="N464"/>
  <c r="N87"/>
  <c r="O86"/>
  <c r="O87" s="1"/>
  <c r="O403" i="22"/>
  <c r="O188" i="23"/>
  <c r="O418"/>
  <c r="O463" i="22"/>
  <c r="G440"/>
  <c r="G438"/>
  <c r="H252"/>
  <c r="I476" i="43"/>
  <c r="I478"/>
  <c r="H227" i="22"/>
  <c r="H341"/>
  <c r="H434"/>
  <c r="H341" i="23"/>
  <c r="H434"/>
  <c r="L341" i="43"/>
  <c r="L434"/>
  <c r="L435" s="1"/>
  <c r="J410"/>
  <c r="J408"/>
  <c r="N430"/>
  <c r="N428"/>
  <c r="J245" i="23"/>
  <c r="I246"/>
  <c r="I247" s="1"/>
  <c r="J319"/>
  <c r="I320"/>
  <c r="J314" i="22"/>
  <c r="I315"/>
  <c r="N301" i="43"/>
  <c r="O300"/>
  <c r="O301" s="1"/>
  <c r="O474" i="23"/>
  <c r="C489" i="22"/>
  <c r="O483"/>
  <c r="C488"/>
  <c r="J425" i="43"/>
  <c r="J423"/>
  <c r="C489" i="23"/>
  <c r="O483"/>
  <c r="C488"/>
  <c r="J460" i="43"/>
  <c r="J458"/>
  <c r="M311" i="41"/>
  <c r="M377"/>
  <c r="K366" i="43"/>
  <c r="K459"/>
  <c r="O158"/>
  <c r="O156"/>
  <c r="K378" i="41"/>
  <c r="K381"/>
  <c r="K485"/>
  <c r="K376"/>
  <c r="J403" i="43"/>
  <c r="J405"/>
  <c r="J477"/>
  <c r="J472"/>
  <c r="L449" i="41"/>
  <c r="L477" s="1"/>
  <c r="L72"/>
  <c r="J245" i="22"/>
  <c r="I246"/>
  <c r="I247" s="1"/>
  <c r="I265" i="23"/>
  <c r="H266"/>
  <c r="C473"/>
  <c r="C471"/>
  <c r="J455" i="43"/>
  <c r="J453"/>
  <c r="M319"/>
  <c r="L320"/>
  <c r="M250"/>
  <c r="L251"/>
  <c r="O469" i="22"/>
  <c r="M113" i="43"/>
  <c r="M394"/>
  <c r="O469" i="23"/>
  <c r="J314"/>
  <c r="I315"/>
  <c r="E489"/>
  <c r="E488"/>
  <c r="G435"/>
  <c r="G433"/>
  <c r="J344"/>
  <c r="I345"/>
  <c r="M166" i="43"/>
  <c r="L167"/>
  <c r="M404" i="41"/>
  <c r="L92"/>
  <c r="C473" i="22"/>
  <c r="C471"/>
  <c r="M359" i="43"/>
  <c r="L360"/>
  <c r="M138"/>
  <c r="M419"/>
  <c r="O137"/>
  <c r="L390"/>
  <c r="L388"/>
  <c r="M430"/>
  <c r="M428"/>
  <c r="G485" i="23"/>
  <c r="G488" s="1"/>
  <c r="G378"/>
  <c r="G376"/>
  <c r="K361" i="43"/>
  <c r="K454"/>
  <c r="N405" i="41"/>
  <c r="O404"/>
  <c r="N128" i="43"/>
  <c r="O127"/>
  <c r="O148"/>
  <c r="O146"/>
  <c r="G415" i="23"/>
  <c r="G413"/>
  <c r="G410" i="22"/>
  <c r="G408"/>
  <c r="J478" i="41"/>
  <c r="J476"/>
  <c r="I359" i="22"/>
  <c r="H360"/>
  <c r="F476" i="23"/>
  <c r="F478"/>
  <c r="J344" i="22"/>
  <c r="I345"/>
  <c r="N389" i="43"/>
  <c r="N108"/>
  <c r="J220" i="23"/>
  <c r="I221"/>
  <c r="H247"/>
  <c r="H321"/>
  <c r="H414"/>
  <c r="H316" i="22"/>
  <c r="H409"/>
  <c r="M301" i="43"/>
  <c r="J250" i="23"/>
  <c r="I251"/>
  <c r="I252" s="1"/>
  <c r="J282" i="43"/>
  <c r="J284"/>
  <c r="J484"/>
  <c r="E478" i="23"/>
  <c r="E476"/>
  <c r="J415" i="43"/>
  <c r="J413"/>
  <c r="D489" i="23"/>
  <c r="D488"/>
  <c r="J376" i="43"/>
  <c r="J378"/>
  <c r="J485"/>
  <c r="J440"/>
  <c r="J438"/>
  <c r="F455" i="23"/>
  <c r="F453"/>
  <c r="N70" i="41"/>
  <c r="N71" s="1"/>
  <c r="N92" s="1"/>
  <c r="M71"/>
  <c r="H247" i="22"/>
  <c r="G410" i="23"/>
  <c r="G408"/>
  <c r="K481" i="41"/>
  <c r="K93"/>
  <c r="K91"/>
  <c r="K483"/>
  <c r="K321" i="43"/>
  <c r="K414"/>
  <c r="F489" i="23"/>
  <c r="F488"/>
  <c r="M309" i="43"/>
  <c r="L310"/>
  <c r="N245"/>
  <c r="N246" s="1"/>
  <c r="M246"/>
  <c r="M247" s="1"/>
  <c r="I359" i="23"/>
  <c r="H360"/>
  <c r="H316"/>
  <c r="H409"/>
  <c r="J220" i="22"/>
  <c r="I221"/>
  <c r="J188" i="43"/>
  <c r="J483"/>
  <c r="J190"/>
  <c r="J482"/>
  <c r="H346" i="23"/>
  <c r="H439"/>
  <c r="K449" i="43"/>
  <c r="K450" s="1"/>
  <c r="K168"/>
  <c r="K189"/>
  <c r="O482" i="23"/>
  <c r="O388" i="22"/>
  <c r="G283"/>
  <c r="K458" i="41"/>
  <c r="K460"/>
  <c r="M459"/>
  <c r="M82"/>
  <c r="O81"/>
  <c r="O82" s="1"/>
  <c r="M128" i="43"/>
  <c r="G485" i="22"/>
  <c r="G376"/>
  <c r="G378"/>
  <c r="O474"/>
  <c r="I473" i="43"/>
  <c r="I471"/>
  <c r="G361" i="22"/>
  <c r="G454"/>
  <c r="H346"/>
  <c r="H439"/>
  <c r="M108" i="43"/>
  <c r="M389"/>
  <c r="O107"/>
  <c r="N257"/>
  <c r="N444"/>
  <c r="O444" s="1"/>
  <c r="O256"/>
  <c r="O257" s="1"/>
  <c r="I265" i="22"/>
  <c r="H266"/>
  <c r="F489"/>
  <c r="J319"/>
  <c r="I320"/>
  <c r="E471" i="23"/>
  <c r="E473"/>
  <c r="O272" i="43"/>
  <c r="O270"/>
  <c r="M220"/>
  <c r="L221"/>
  <c r="J225" i="23"/>
  <c r="I226"/>
  <c r="M235" i="43"/>
  <c r="L236"/>
  <c r="C476" i="23"/>
  <c r="C478"/>
  <c r="F485" i="22"/>
  <c r="F378"/>
  <c r="F376"/>
  <c r="M193" i="41"/>
  <c r="M188"/>
  <c r="M190"/>
  <c r="M482"/>
  <c r="K311" i="43"/>
  <c r="K404"/>
  <c r="K377"/>
  <c r="F478" i="22"/>
  <c r="F476"/>
  <c r="G361" i="23"/>
  <c r="G454"/>
  <c r="G477" s="1"/>
  <c r="G440"/>
  <c r="G438"/>
  <c r="M464" i="41"/>
  <c r="M87"/>
  <c r="M92"/>
  <c r="O482" i="22"/>
  <c r="L377" i="41"/>
  <c r="F472" i="23"/>
  <c r="L459" i="41"/>
  <c r="O423" i="23"/>
  <c r="O393"/>
  <c r="L472" i="41"/>
  <c r="M242" i="23" l="1"/>
  <c r="O241"/>
  <c r="O242" s="1"/>
  <c r="H212" i="22"/>
  <c r="G450"/>
  <c r="G448"/>
  <c r="H306"/>
  <c r="H399"/>
  <c r="H477" s="1"/>
  <c r="J349"/>
  <c r="I350"/>
  <c r="J354"/>
  <c r="I355"/>
  <c r="J255"/>
  <c r="I256"/>
  <c r="I257" s="1"/>
  <c r="K364" i="23"/>
  <c r="J365"/>
  <c r="G450"/>
  <c r="G448"/>
  <c r="K270"/>
  <c r="J271"/>
  <c r="G400" i="22"/>
  <c r="G398"/>
  <c r="G489" i="23"/>
  <c r="J304"/>
  <c r="I305"/>
  <c r="J349"/>
  <c r="I350"/>
  <c r="K364" i="22"/>
  <c r="J365"/>
  <c r="H351"/>
  <c r="H444"/>
  <c r="H460" i="23"/>
  <c r="H356" i="22"/>
  <c r="H449"/>
  <c r="H257"/>
  <c r="I366" i="23"/>
  <c r="I459"/>
  <c r="I460" s="1"/>
  <c r="K334"/>
  <c r="J335"/>
  <c r="J260"/>
  <c r="I261"/>
  <c r="I262" s="1"/>
  <c r="J354"/>
  <c r="I355"/>
  <c r="G445" i="22"/>
  <c r="G443"/>
  <c r="H306" i="23"/>
  <c r="H399"/>
  <c r="H351"/>
  <c r="H444"/>
  <c r="H477" s="1"/>
  <c r="I366" i="22"/>
  <c r="I459"/>
  <c r="J260"/>
  <c r="I261"/>
  <c r="I262" s="1"/>
  <c r="K334"/>
  <c r="J335"/>
  <c r="I336" i="23"/>
  <c r="I429"/>
  <c r="H262"/>
  <c r="H356"/>
  <c r="H449"/>
  <c r="G445"/>
  <c r="G443"/>
  <c r="H460" i="22"/>
  <c r="H458"/>
  <c r="O241"/>
  <c r="J210"/>
  <c r="I211"/>
  <c r="I212" s="1"/>
  <c r="J304"/>
  <c r="I305"/>
  <c r="K270"/>
  <c r="J271"/>
  <c r="J272" s="1"/>
  <c r="H430"/>
  <c r="H428"/>
  <c r="H430" i="23"/>
  <c r="H428"/>
  <c r="I336" i="22"/>
  <c r="I429"/>
  <c r="J210" i="23"/>
  <c r="I211"/>
  <c r="G400"/>
  <c r="G398"/>
  <c r="J255"/>
  <c r="I256"/>
  <c r="L478" i="41"/>
  <c r="L476"/>
  <c r="O445" i="43"/>
  <c r="O443"/>
  <c r="N481" i="41"/>
  <c r="N490" s="1"/>
  <c r="N93"/>
  <c r="N91"/>
  <c r="O92"/>
  <c r="N483"/>
  <c r="G476" i="23"/>
  <c r="G478"/>
  <c r="M463" i="41"/>
  <c r="M465"/>
  <c r="O464"/>
  <c r="J265" i="22"/>
  <c r="I266"/>
  <c r="I267" s="1"/>
  <c r="O108" i="43"/>
  <c r="O106"/>
  <c r="H361" i="23"/>
  <c r="H454"/>
  <c r="K250"/>
  <c r="J251"/>
  <c r="J252" s="1"/>
  <c r="K344" i="22"/>
  <c r="J345"/>
  <c r="O128" i="43"/>
  <c r="O126"/>
  <c r="L460" i="41"/>
  <c r="L458"/>
  <c r="G455" i="23"/>
  <c r="G453"/>
  <c r="K378" i="43"/>
  <c r="K376"/>
  <c r="K485"/>
  <c r="I227" i="23"/>
  <c r="I283"/>
  <c r="I321" i="22"/>
  <c r="I414"/>
  <c r="H267"/>
  <c r="G455"/>
  <c r="G453"/>
  <c r="I222"/>
  <c r="N247" i="43"/>
  <c r="O246"/>
  <c r="O247" s="1"/>
  <c r="N309"/>
  <c r="N310" s="1"/>
  <c r="M310"/>
  <c r="K488" i="41"/>
  <c r="K489"/>
  <c r="M449"/>
  <c r="M72"/>
  <c r="H410" i="22"/>
  <c r="H408"/>
  <c r="K220" i="23"/>
  <c r="J221"/>
  <c r="J222" s="1"/>
  <c r="I346" i="22"/>
  <c r="I439"/>
  <c r="H361"/>
  <c r="H454"/>
  <c r="O405" i="41"/>
  <c r="O403"/>
  <c r="O138" i="43"/>
  <c r="O136"/>
  <c r="N359"/>
  <c r="N360" s="1"/>
  <c r="M360"/>
  <c r="L449"/>
  <c r="L168"/>
  <c r="L189"/>
  <c r="I316" i="23"/>
  <c r="I409"/>
  <c r="M395" i="43"/>
  <c r="M393"/>
  <c r="L252"/>
  <c r="L439"/>
  <c r="J265" i="23"/>
  <c r="I266"/>
  <c r="I267" s="1"/>
  <c r="J473" i="43"/>
  <c r="J471"/>
  <c r="I321" i="23"/>
  <c r="I414"/>
  <c r="H435" i="22"/>
  <c r="H433"/>
  <c r="N463" i="41"/>
  <c r="N465"/>
  <c r="K471"/>
  <c r="K473"/>
  <c r="O113" i="43"/>
  <c r="O111"/>
  <c r="K284"/>
  <c r="K282"/>
  <c r="K484"/>
  <c r="N364"/>
  <c r="N365" s="1"/>
  <c r="M365"/>
  <c r="H415" i="22"/>
  <c r="H413"/>
  <c r="N341" i="43"/>
  <c r="N434"/>
  <c r="O340"/>
  <c r="O341" s="1"/>
  <c r="K339" i="23"/>
  <c r="J340"/>
  <c r="K339" i="22"/>
  <c r="J340"/>
  <c r="L471" i="41"/>
  <c r="L473"/>
  <c r="N235" i="43"/>
  <c r="N236" s="1"/>
  <c r="M236"/>
  <c r="N445"/>
  <c r="N443"/>
  <c r="H410" i="23"/>
  <c r="H408"/>
  <c r="K490" i="41"/>
  <c r="L361" i="43"/>
  <c r="L454"/>
  <c r="K344" i="23"/>
  <c r="J345"/>
  <c r="N319" i="43"/>
  <c r="N320" s="1"/>
  <c r="M320"/>
  <c r="H267" i="23"/>
  <c r="K460" i="43"/>
  <c r="K458"/>
  <c r="K314" i="22"/>
  <c r="J315"/>
  <c r="K245" i="23"/>
  <c r="J246"/>
  <c r="K440" i="43"/>
  <c r="K438"/>
  <c r="L366"/>
  <c r="L459"/>
  <c r="M445"/>
  <c r="M443"/>
  <c r="M341"/>
  <c r="M434"/>
  <c r="M435" s="1"/>
  <c r="I341" i="23"/>
  <c r="I434"/>
  <c r="I341" i="22"/>
  <c r="I434"/>
  <c r="N366" i="41"/>
  <c r="O365"/>
  <c r="O366" s="1"/>
  <c r="N420" i="43"/>
  <c r="N418"/>
  <c r="O71" i="41"/>
  <c r="O72" s="1"/>
  <c r="H283" i="22"/>
  <c r="O482" i="41"/>
  <c r="N459"/>
  <c r="M481"/>
  <c r="M490" s="1"/>
  <c r="M91"/>
  <c r="M93"/>
  <c r="N220" i="43"/>
  <c r="N221" s="1"/>
  <c r="M221"/>
  <c r="L311"/>
  <c r="L404"/>
  <c r="O310"/>
  <c r="O311" s="1"/>
  <c r="L377"/>
  <c r="I222" i="23"/>
  <c r="F471"/>
  <c r="F473"/>
  <c r="L237" i="43"/>
  <c r="L424"/>
  <c r="L283"/>
  <c r="L222"/>
  <c r="L409"/>
  <c r="M390"/>
  <c r="M388"/>
  <c r="H440" i="22"/>
  <c r="H438"/>
  <c r="G484"/>
  <c r="G282"/>
  <c r="G284"/>
  <c r="K482" i="43"/>
  <c r="K190"/>
  <c r="K188"/>
  <c r="K483"/>
  <c r="J489"/>
  <c r="J488"/>
  <c r="J359" i="23"/>
  <c r="I360"/>
  <c r="K415" i="43"/>
  <c r="K413"/>
  <c r="H415" i="23"/>
  <c r="H413"/>
  <c r="N390" i="43"/>
  <c r="N388"/>
  <c r="M405" i="41"/>
  <c r="M477"/>
  <c r="M472"/>
  <c r="I346" i="23"/>
  <c r="I439"/>
  <c r="L321" i="43"/>
  <c r="L414"/>
  <c r="K245" i="22"/>
  <c r="J246"/>
  <c r="J247" s="1"/>
  <c r="I316"/>
  <c r="I409"/>
  <c r="H435" i="23"/>
  <c r="H433"/>
  <c r="N395" i="43"/>
  <c r="N393"/>
  <c r="O394"/>
  <c r="K225" i="22"/>
  <c r="J226"/>
  <c r="K250"/>
  <c r="J251"/>
  <c r="M483" i="41"/>
  <c r="H377" i="23"/>
  <c r="F488" i="22"/>
  <c r="N377" i="41"/>
  <c r="G472" i="22"/>
  <c r="O389" i="43"/>
  <c r="L376" i="41"/>
  <c r="L378"/>
  <c r="L485"/>
  <c r="L381"/>
  <c r="K405" i="43"/>
  <c r="K403"/>
  <c r="K477"/>
  <c r="K472"/>
  <c r="K225" i="23"/>
  <c r="J226"/>
  <c r="K319" i="22"/>
  <c r="J320"/>
  <c r="M460" i="41"/>
  <c r="M458"/>
  <c r="H440" i="23"/>
  <c r="H438"/>
  <c r="K220" i="22"/>
  <c r="J221"/>
  <c r="J222" s="1"/>
  <c r="N72" i="41"/>
  <c r="N449"/>
  <c r="J359" i="22"/>
  <c r="I360"/>
  <c r="I377" s="1"/>
  <c r="K455" i="43"/>
  <c r="K453"/>
  <c r="M420"/>
  <c r="M418"/>
  <c r="L481" i="41"/>
  <c r="L490" s="1"/>
  <c r="L91"/>
  <c r="L93"/>
  <c r="L483"/>
  <c r="N166" i="43"/>
  <c r="N167" s="1"/>
  <c r="M167"/>
  <c r="K314" i="23"/>
  <c r="J315"/>
  <c r="N250" i="43"/>
  <c r="N251" s="1"/>
  <c r="M251"/>
  <c r="L448" i="41"/>
  <c r="L450"/>
  <c r="J478" i="43"/>
  <c r="J476"/>
  <c r="M381" i="41"/>
  <c r="M376"/>
  <c r="M485"/>
  <c r="M378"/>
  <c r="K319" i="23"/>
  <c r="J320"/>
  <c r="K478" i="41"/>
  <c r="K476"/>
  <c r="K425" i="43"/>
  <c r="K423"/>
  <c r="K410"/>
  <c r="K408"/>
  <c r="I227" i="22"/>
  <c r="I283"/>
  <c r="O190" i="41"/>
  <c r="O188"/>
  <c r="G472" i="23"/>
  <c r="O419" i="43"/>
  <c r="H283" i="23"/>
  <c r="H377" i="22"/>
  <c r="G477"/>
  <c r="K210" i="23" l="1"/>
  <c r="J211"/>
  <c r="J212" s="1"/>
  <c r="K260" i="22"/>
  <c r="J261"/>
  <c r="K255" i="23"/>
  <c r="J256"/>
  <c r="J257" s="1"/>
  <c r="I212"/>
  <c r="I306" i="22"/>
  <c r="I399"/>
  <c r="O242"/>
  <c r="O240"/>
  <c r="I430" i="23"/>
  <c r="I428"/>
  <c r="H400"/>
  <c r="H398"/>
  <c r="I356"/>
  <c r="I449"/>
  <c r="J336"/>
  <c r="J429"/>
  <c r="H445" i="22"/>
  <c r="H443"/>
  <c r="I351" i="23"/>
  <c r="I444"/>
  <c r="I351" i="22"/>
  <c r="I444"/>
  <c r="I257" i="23"/>
  <c r="I430" i="22"/>
  <c r="I428"/>
  <c r="L270"/>
  <c r="K271"/>
  <c r="K272" s="1"/>
  <c r="K210"/>
  <c r="J211"/>
  <c r="H450" i="23"/>
  <c r="H448"/>
  <c r="L334" i="22"/>
  <c r="K335"/>
  <c r="I460"/>
  <c r="I458"/>
  <c r="H450"/>
  <c r="H448"/>
  <c r="L364"/>
  <c r="K365"/>
  <c r="K304" i="23"/>
  <c r="J305"/>
  <c r="L364"/>
  <c r="K365"/>
  <c r="K354" i="22"/>
  <c r="J355"/>
  <c r="H400"/>
  <c r="H398"/>
  <c r="K260" i="23"/>
  <c r="J261"/>
  <c r="J336" i="22"/>
  <c r="J429"/>
  <c r="J366"/>
  <c r="J459"/>
  <c r="I306" i="23"/>
  <c r="I399"/>
  <c r="L270"/>
  <c r="K271"/>
  <c r="K272" s="1"/>
  <c r="J366"/>
  <c r="J459"/>
  <c r="J460" s="1"/>
  <c r="I356" i="22"/>
  <c r="I449"/>
  <c r="K304"/>
  <c r="J305"/>
  <c r="H445" i="23"/>
  <c r="H443"/>
  <c r="K354"/>
  <c r="J355"/>
  <c r="L334"/>
  <c r="K335"/>
  <c r="K349"/>
  <c r="J350"/>
  <c r="J272"/>
  <c r="K255" i="22"/>
  <c r="J256"/>
  <c r="K349"/>
  <c r="J350"/>
  <c r="H472"/>
  <c r="H473" s="1"/>
  <c r="H471"/>
  <c r="I485"/>
  <c r="I378"/>
  <c r="I376"/>
  <c r="N252" i="43"/>
  <c r="O251"/>
  <c r="N439"/>
  <c r="L225" i="23"/>
  <c r="K226"/>
  <c r="I410" i="22"/>
  <c r="I408"/>
  <c r="H484" i="23"/>
  <c r="H282"/>
  <c r="H284"/>
  <c r="M252" i="43"/>
  <c r="M439"/>
  <c r="M168"/>
  <c r="M449"/>
  <c r="M189"/>
  <c r="K359" i="22"/>
  <c r="J360"/>
  <c r="L220"/>
  <c r="K221"/>
  <c r="K222" s="1"/>
  <c r="J227" i="23"/>
  <c r="K476" i="43"/>
  <c r="K478"/>
  <c r="H485" i="23"/>
  <c r="H378"/>
  <c r="H376"/>
  <c r="J227" i="22"/>
  <c r="L245"/>
  <c r="K246"/>
  <c r="K247" s="1"/>
  <c r="H478" i="23"/>
  <c r="H476"/>
  <c r="L410" i="43"/>
  <c r="L408"/>
  <c r="I435" i="23"/>
  <c r="I433"/>
  <c r="J316" i="22"/>
  <c r="J409"/>
  <c r="J346" i="23"/>
  <c r="J439"/>
  <c r="N237" i="43"/>
  <c r="N424"/>
  <c r="N283"/>
  <c r="O236"/>
  <c r="O237" s="1"/>
  <c r="J341" i="23"/>
  <c r="J434"/>
  <c r="L188" i="43"/>
  <c r="L190"/>
  <c r="L483"/>
  <c r="L482"/>
  <c r="N361"/>
  <c r="N454"/>
  <c r="O360"/>
  <c r="O361" s="1"/>
  <c r="L344" i="22"/>
  <c r="K345"/>
  <c r="H455" i="23"/>
  <c r="H453"/>
  <c r="O483" i="41"/>
  <c r="O481"/>
  <c r="I377" i="23"/>
  <c r="G473"/>
  <c r="G471"/>
  <c r="L319"/>
  <c r="K320"/>
  <c r="L314"/>
  <c r="K315"/>
  <c r="I361" i="22"/>
  <c r="I454"/>
  <c r="O390" i="43"/>
  <c r="O388"/>
  <c r="N378" i="41"/>
  <c r="N381"/>
  <c r="N376"/>
  <c r="N485"/>
  <c r="O485" s="1"/>
  <c r="L250" i="22"/>
  <c r="K251"/>
  <c r="K252" s="1"/>
  <c r="I440" i="23"/>
  <c r="I438"/>
  <c r="K359"/>
  <c r="J360"/>
  <c r="J377" s="1"/>
  <c r="L425" i="43"/>
  <c r="L423"/>
  <c r="L403"/>
  <c r="L405"/>
  <c r="L477"/>
  <c r="L472"/>
  <c r="N458" i="41"/>
  <c r="N460"/>
  <c r="O459"/>
  <c r="L245" i="23"/>
  <c r="K246"/>
  <c r="K247" s="1"/>
  <c r="N321" i="43"/>
  <c r="N414"/>
  <c r="O320"/>
  <c r="O321" s="1"/>
  <c r="M237"/>
  <c r="M424"/>
  <c r="M283"/>
  <c r="L339" i="22"/>
  <c r="K340"/>
  <c r="N435" i="43"/>
  <c r="O434"/>
  <c r="I415" i="23"/>
  <c r="I413"/>
  <c r="M361" i="43"/>
  <c r="M454"/>
  <c r="M455" s="1"/>
  <c r="I440" i="22"/>
  <c r="I438"/>
  <c r="I415"/>
  <c r="I413"/>
  <c r="I472"/>
  <c r="I484" i="23"/>
  <c r="I282"/>
  <c r="I284"/>
  <c r="J346" i="22"/>
  <c r="J439"/>
  <c r="H485"/>
  <c r="H376"/>
  <c r="H378"/>
  <c r="L319"/>
  <c r="K320"/>
  <c r="G478"/>
  <c r="G476"/>
  <c r="I484"/>
  <c r="I284"/>
  <c r="I282"/>
  <c r="J321" i="23"/>
  <c r="J414"/>
  <c r="J316"/>
  <c r="J409"/>
  <c r="L489" i="41"/>
  <c r="L488"/>
  <c r="J321" i="22"/>
  <c r="J377"/>
  <c r="J414"/>
  <c r="K473" i="43"/>
  <c r="K471"/>
  <c r="J252" i="22"/>
  <c r="O395" i="43"/>
  <c r="O393"/>
  <c r="M478" i="41"/>
  <c r="M476"/>
  <c r="I361" i="23"/>
  <c r="I454"/>
  <c r="K488" i="43"/>
  <c r="K489"/>
  <c r="L282"/>
  <c r="L284"/>
  <c r="L484"/>
  <c r="N222"/>
  <c r="O221"/>
  <c r="O222" s="1"/>
  <c r="N409"/>
  <c r="H484" i="22"/>
  <c r="H282"/>
  <c r="H284"/>
  <c r="I435"/>
  <c r="I433"/>
  <c r="L460" i="43"/>
  <c r="L458"/>
  <c r="J247" i="23"/>
  <c r="M321" i="43"/>
  <c r="M414"/>
  <c r="L455"/>
  <c r="L453"/>
  <c r="J341" i="22"/>
  <c r="J434"/>
  <c r="N366" i="43"/>
  <c r="N459"/>
  <c r="O365"/>
  <c r="O366" s="1"/>
  <c r="L440"/>
  <c r="L438"/>
  <c r="I410" i="23"/>
  <c r="I408"/>
  <c r="L450" i="43"/>
  <c r="L448"/>
  <c r="L220" i="23"/>
  <c r="K221"/>
  <c r="M450" i="41"/>
  <c r="M448"/>
  <c r="N311" i="43"/>
  <c r="N404"/>
  <c r="N377"/>
  <c r="L250" i="23"/>
  <c r="K251"/>
  <c r="K252" s="1"/>
  <c r="O465" i="41"/>
  <c r="O463"/>
  <c r="O420" i="43"/>
  <c r="O418"/>
  <c r="N168"/>
  <c r="N449"/>
  <c r="O167"/>
  <c r="O168" s="1"/>
  <c r="N189"/>
  <c r="N450" i="41"/>
  <c r="N448"/>
  <c r="O449"/>
  <c r="N477"/>
  <c r="N472"/>
  <c r="G473" i="22"/>
  <c r="G471"/>
  <c r="M488" i="41"/>
  <c r="M489"/>
  <c r="L225" i="22"/>
  <c r="K226"/>
  <c r="L415" i="43"/>
  <c r="L413"/>
  <c r="M473" i="41"/>
  <c r="M471"/>
  <c r="G488" i="22"/>
  <c r="G489"/>
  <c r="L376" i="43"/>
  <c r="L378"/>
  <c r="L485"/>
  <c r="M222"/>
  <c r="M409"/>
  <c r="L314" i="22"/>
  <c r="K315"/>
  <c r="L344" i="23"/>
  <c r="K345"/>
  <c r="L339"/>
  <c r="K340"/>
  <c r="H476" i="22"/>
  <c r="H478"/>
  <c r="M366" i="43"/>
  <c r="M459"/>
  <c r="K265" i="23"/>
  <c r="J266"/>
  <c r="J283" s="1"/>
  <c r="H455" i="22"/>
  <c r="H453"/>
  <c r="M311" i="43"/>
  <c r="M404"/>
  <c r="M377"/>
  <c r="K265" i="22"/>
  <c r="J266"/>
  <c r="O93" i="41"/>
  <c r="O91"/>
  <c r="H472" i="23"/>
  <c r="O377" i="41"/>
  <c r="L349" i="22" l="1"/>
  <c r="K350"/>
  <c r="M334" i="23"/>
  <c r="L335"/>
  <c r="L354" i="22"/>
  <c r="K355"/>
  <c r="L304" i="23"/>
  <c r="K305"/>
  <c r="M270" i="22"/>
  <c r="L271"/>
  <c r="L272" s="1"/>
  <c r="L255" i="23"/>
  <c r="K256"/>
  <c r="L210"/>
  <c r="K211"/>
  <c r="K212" s="1"/>
  <c r="J351" i="22"/>
  <c r="J444"/>
  <c r="K336" i="23"/>
  <c r="K429"/>
  <c r="I400"/>
  <c r="I398"/>
  <c r="J430" i="22"/>
  <c r="J428"/>
  <c r="J356"/>
  <c r="J449"/>
  <c r="J306" i="23"/>
  <c r="J399"/>
  <c r="I450"/>
  <c r="I448"/>
  <c r="I400" i="22"/>
  <c r="I398"/>
  <c r="L255"/>
  <c r="K256"/>
  <c r="K257" s="1"/>
  <c r="L349" i="23"/>
  <c r="K350"/>
  <c r="L354"/>
  <c r="K355"/>
  <c r="L304" i="22"/>
  <c r="K305"/>
  <c r="M270" i="23"/>
  <c r="L271"/>
  <c r="L260"/>
  <c r="K261"/>
  <c r="K262" s="1"/>
  <c r="M364"/>
  <c r="L365"/>
  <c r="M364" i="22"/>
  <c r="L365"/>
  <c r="M334"/>
  <c r="L335"/>
  <c r="L210"/>
  <c r="K211"/>
  <c r="K212" s="1"/>
  <c r="I445"/>
  <c r="I443"/>
  <c r="L260"/>
  <c r="K261"/>
  <c r="K262" s="1"/>
  <c r="J257"/>
  <c r="J351" i="23"/>
  <c r="J444"/>
  <c r="J356"/>
  <c r="J449"/>
  <c r="J306" i="22"/>
  <c r="J399"/>
  <c r="I450"/>
  <c r="I448"/>
  <c r="J460"/>
  <c r="J458"/>
  <c r="J262" i="23"/>
  <c r="K366"/>
  <c r="K459"/>
  <c r="K366" i="22"/>
  <c r="K459"/>
  <c r="K460" s="1"/>
  <c r="K336"/>
  <c r="K429"/>
  <c r="J212"/>
  <c r="I445" i="23"/>
  <c r="I443"/>
  <c r="J430"/>
  <c r="J428"/>
  <c r="J262" i="22"/>
  <c r="J484" i="23"/>
  <c r="J284"/>
  <c r="J282"/>
  <c r="J485"/>
  <c r="J376"/>
  <c r="J378"/>
  <c r="O378" i="41"/>
  <c r="O376"/>
  <c r="L265" i="22"/>
  <c r="K266"/>
  <c r="K267" s="1"/>
  <c r="M460" i="43"/>
  <c r="M458"/>
  <c r="K316" i="22"/>
  <c r="K409"/>
  <c r="K222" i="23"/>
  <c r="M415" i="43"/>
  <c r="M413"/>
  <c r="I455" i="23"/>
  <c r="I453"/>
  <c r="J410"/>
  <c r="J408"/>
  <c r="M319" i="22"/>
  <c r="L320"/>
  <c r="M245" i="23"/>
  <c r="L246"/>
  <c r="J267" i="22"/>
  <c r="L265" i="23"/>
  <c r="K266"/>
  <c r="K267" s="1"/>
  <c r="M344"/>
  <c r="L345"/>
  <c r="M225" i="22"/>
  <c r="L226"/>
  <c r="O450" i="41"/>
  <c r="O448"/>
  <c r="N376" i="43"/>
  <c r="N378"/>
  <c r="N485"/>
  <c r="O377"/>
  <c r="N410"/>
  <c r="N408"/>
  <c r="O409"/>
  <c r="J485" i="22"/>
  <c r="J378"/>
  <c r="J376"/>
  <c r="I488"/>
  <c r="I489"/>
  <c r="K321"/>
  <c r="K414"/>
  <c r="J440"/>
  <c r="J438"/>
  <c r="K341"/>
  <c r="K434"/>
  <c r="L359" i="23"/>
  <c r="K360"/>
  <c r="M250" i="22"/>
  <c r="L251"/>
  <c r="M319" i="23"/>
  <c r="L320"/>
  <c r="O490" i="41"/>
  <c r="O489"/>
  <c r="N282" i="43"/>
  <c r="N284"/>
  <c r="N484"/>
  <c r="O283"/>
  <c r="J361" i="22"/>
  <c r="J454"/>
  <c r="O252" i="43"/>
  <c r="O250"/>
  <c r="J267" i="23"/>
  <c r="K346"/>
  <c r="K439"/>
  <c r="N188" i="43"/>
  <c r="N483"/>
  <c r="N190"/>
  <c r="N482"/>
  <c r="J415" i="22"/>
  <c r="J413"/>
  <c r="J477"/>
  <c r="M425" i="43"/>
  <c r="M423"/>
  <c r="J361" i="23"/>
  <c r="J454"/>
  <c r="I455" i="22"/>
  <c r="I453"/>
  <c r="K321" i="23"/>
  <c r="K377"/>
  <c r="K414"/>
  <c r="I485"/>
  <c r="I488" s="1"/>
  <c r="I376"/>
  <c r="I378"/>
  <c r="M344" i="22"/>
  <c r="L345"/>
  <c r="J440" i="23"/>
  <c r="J438"/>
  <c r="M220" i="22"/>
  <c r="L221"/>
  <c r="M450" i="43"/>
  <c r="M448"/>
  <c r="N440"/>
  <c r="N438"/>
  <c r="O439"/>
  <c r="I472" i="23"/>
  <c r="N488" i="41"/>
  <c r="O189" i="43"/>
  <c r="J283" i="22"/>
  <c r="M405" i="43"/>
  <c r="M403"/>
  <c r="M477"/>
  <c r="M472"/>
  <c r="M410"/>
  <c r="M408"/>
  <c r="K227" i="22"/>
  <c r="N478" i="41"/>
  <c r="N476"/>
  <c r="O477"/>
  <c r="M250" i="23"/>
  <c r="L251"/>
  <c r="L252" s="1"/>
  <c r="H489" i="22"/>
  <c r="H488"/>
  <c r="J415" i="23"/>
  <c r="J413"/>
  <c r="J472"/>
  <c r="I471" i="22"/>
  <c r="I473"/>
  <c r="M378" i="43"/>
  <c r="M376"/>
  <c r="M485"/>
  <c r="M339" i="23"/>
  <c r="L340"/>
  <c r="M314" i="22"/>
  <c r="L315"/>
  <c r="N473" i="41"/>
  <c r="N471"/>
  <c r="O472"/>
  <c r="M220" i="23"/>
  <c r="L221"/>
  <c r="L222" s="1"/>
  <c r="N460" i="43"/>
  <c r="N458"/>
  <c r="O459"/>
  <c r="O435"/>
  <c r="O433"/>
  <c r="M284"/>
  <c r="M484"/>
  <c r="M282"/>
  <c r="N415"/>
  <c r="N413"/>
  <c r="O414"/>
  <c r="O460" i="41"/>
  <c r="O458"/>
  <c r="L476" i="43"/>
  <c r="L478"/>
  <c r="M314" i="23"/>
  <c r="L315"/>
  <c r="K346" i="22"/>
  <c r="K439"/>
  <c r="M245"/>
  <c r="L246"/>
  <c r="L247" s="1"/>
  <c r="M190" i="43"/>
  <c r="M188"/>
  <c r="M482"/>
  <c r="M483"/>
  <c r="H488" i="23"/>
  <c r="H489"/>
  <c r="M225"/>
  <c r="L226"/>
  <c r="I477" i="22"/>
  <c r="I477" i="23"/>
  <c r="N489" i="41"/>
  <c r="H473" i="23"/>
  <c r="H471"/>
  <c r="K341"/>
  <c r="K434"/>
  <c r="N450" i="43"/>
  <c r="N448"/>
  <c r="O449"/>
  <c r="N403"/>
  <c r="N405"/>
  <c r="N477"/>
  <c r="N472"/>
  <c r="O404"/>
  <c r="J435" i="22"/>
  <c r="J433"/>
  <c r="M339"/>
  <c r="L340"/>
  <c r="L471" i="43"/>
  <c r="L473"/>
  <c r="K316" i="23"/>
  <c r="K409"/>
  <c r="N455" i="43"/>
  <c r="O454"/>
  <c r="L489"/>
  <c r="L488"/>
  <c r="J435" i="23"/>
  <c r="J433"/>
  <c r="N425" i="43"/>
  <c r="N423"/>
  <c r="O424"/>
  <c r="J410" i="22"/>
  <c r="J408"/>
  <c r="L359"/>
  <c r="K360"/>
  <c r="M440" i="43"/>
  <c r="M438"/>
  <c r="K227" i="23"/>
  <c r="O488" i="41"/>
  <c r="J445" i="23" l="1"/>
  <c r="J443"/>
  <c r="N334" i="22"/>
  <c r="N335" s="1"/>
  <c r="M335"/>
  <c r="N364" i="23"/>
  <c r="N365" s="1"/>
  <c r="M365"/>
  <c r="M354"/>
  <c r="L355"/>
  <c r="M255" i="22"/>
  <c r="L256"/>
  <c r="J450"/>
  <c r="J448"/>
  <c r="M304" i="23"/>
  <c r="L305"/>
  <c r="K460"/>
  <c r="J400" i="22"/>
  <c r="J398"/>
  <c r="L336"/>
  <c r="L429"/>
  <c r="L366" i="23"/>
  <c r="L459"/>
  <c r="L460" s="1"/>
  <c r="L272"/>
  <c r="K356"/>
  <c r="K449"/>
  <c r="J445" i="22"/>
  <c r="J443"/>
  <c r="K257" i="23"/>
  <c r="K306"/>
  <c r="K399"/>
  <c r="L336"/>
  <c r="L429"/>
  <c r="K283" i="22"/>
  <c r="J472"/>
  <c r="J471" s="1"/>
  <c r="N364"/>
  <c r="N365" s="1"/>
  <c r="O365" s="1"/>
  <c r="O366" s="1"/>
  <c r="M365"/>
  <c r="J450" i="23"/>
  <c r="J448"/>
  <c r="M210" i="22"/>
  <c r="L211"/>
  <c r="M260" i="23"/>
  <c r="L261"/>
  <c r="M304" i="22"/>
  <c r="L305"/>
  <c r="M349" i="23"/>
  <c r="L350"/>
  <c r="J400"/>
  <c r="J398"/>
  <c r="M210"/>
  <c r="L211"/>
  <c r="N270" i="22"/>
  <c r="N271" s="1"/>
  <c r="M271"/>
  <c r="M272" s="1"/>
  <c r="M354"/>
  <c r="L355"/>
  <c r="M349"/>
  <c r="L350"/>
  <c r="K430"/>
  <c r="K428"/>
  <c r="M260"/>
  <c r="L261"/>
  <c r="L366"/>
  <c r="L459"/>
  <c r="L460" s="1"/>
  <c r="K306"/>
  <c r="K399"/>
  <c r="K351" i="23"/>
  <c r="K444"/>
  <c r="K356" i="22"/>
  <c r="K449"/>
  <c r="K351"/>
  <c r="K444"/>
  <c r="K283" i="23"/>
  <c r="J477"/>
  <c r="N270"/>
  <c r="N271" s="1"/>
  <c r="N272" s="1"/>
  <c r="M271"/>
  <c r="M272" s="1"/>
  <c r="K430"/>
  <c r="K428"/>
  <c r="M255"/>
  <c r="L256"/>
  <c r="L257" s="1"/>
  <c r="N334"/>
  <c r="N335" s="1"/>
  <c r="M335"/>
  <c r="J473" i="22"/>
  <c r="N245"/>
  <c r="N246" s="1"/>
  <c r="M246"/>
  <c r="M247" s="1"/>
  <c r="M359"/>
  <c r="L360"/>
  <c r="L377" s="1"/>
  <c r="O425" i="43"/>
  <c r="O423"/>
  <c r="O455"/>
  <c r="O453"/>
  <c r="N478"/>
  <c r="N476"/>
  <c r="O477"/>
  <c r="I476" i="22"/>
  <c r="I478"/>
  <c r="N225" i="23"/>
  <c r="N226" s="1"/>
  <c r="M226"/>
  <c r="M488" i="43"/>
  <c r="M489"/>
  <c r="L316" i="23"/>
  <c r="L409"/>
  <c r="L341"/>
  <c r="L434"/>
  <c r="J471"/>
  <c r="J473"/>
  <c r="O478" i="41"/>
  <c r="O476"/>
  <c r="M476" i="43"/>
  <c r="M478"/>
  <c r="O190"/>
  <c r="O188"/>
  <c r="L222" i="22"/>
  <c r="J455" i="23"/>
  <c r="J453"/>
  <c r="K440"/>
  <c r="K438"/>
  <c r="J455" i="22"/>
  <c r="J453"/>
  <c r="L321" i="23"/>
  <c r="L414"/>
  <c r="K361"/>
  <c r="K454"/>
  <c r="K415" i="22"/>
  <c r="K413"/>
  <c r="O410" i="43"/>
  <c r="O408"/>
  <c r="N344" i="23"/>
  <c r="N345" s="1"/>
  <c r="M345"/>
  <c r="N319" i="22"/>
  <c r="N320" s="1"/>
  <c r="M320"/>
  <c r="K410"/>
  <c r="K408"/>
  <c r="J488" i="23"/>
  <c r="J489"/>
  <c r="O482" i="43"/>
  <c r="O489" s="1"/>
  <c r="I489" i="23"/>
  <c r="O485" i="43"/>
  <c r="K484" i="23"/>
  <c r="K284"/>
  <c r="K282"/>
  <c r="N471" i="43"/>
  <c r="N473"/>
  <c r="O472"/>
  <c r="O450"/>
  <c r="O448"/>
  <c r="O473" i="41"/>
  <c r="O471"/>
  <c r="N314" i="22"/>
  <c r="N315" s="1"/>
  <c r="M315"/>
  <c r="N250" i="23"/>
  <c r="N251" s="1"/>
  <c r="M251"/>
  <c r="M252" s="1"/>
  <c r="K484" i="22"/>
  <c r="K284"/>
  <c r="K282"/>
  <c r="M473" i="43"/>
  <c r="M471"/>
  <c r="J484" i="22"/>
  <c r="J284"/>
  <c r="J282"/>
  <c r="O440" i="43"/>
  <c r="O438"/>
  <c r="K485" i="23"/>
  <c r="K378"/>
  <c r="K376"/>
  <c r="N250" i="22"/>
  <c r="N251" s="1"/>
  <c r="N252" s="1"/>
  <c r="M251"/>
  <c r="M252" s="1"/>
  <c r="O378" i="43"/>
  <c r="O376"/>
  <c r="L346" i="23"/>
  <c r="L439"/>
  <c r="L321" i="22"/>
  <c r="L414"/>
  <c r="O484" i="43"/>
  <c r="K361" i="22"/>
  <c r="K454"/>
  <c r="K472" s="1"/>
  <c r="N339"/>
  <c r="N340" s="1"/>
  <c r="M340"/>
  <c r="I478" i="23"/>
  <c r="I476"/>
  <c r="L227"/>
  <c r="K410"/>
  <c r="K408"/>
  <c r="L341" i="22"/>
  <c r="L434"/>
  <c r="O405" i="43"/>
  <c r="O403"/>
  <c r="K435" i="23"/>
  <c r="K433"/>
  <c r="K440" i="22"/>
  <c r="K438"/>
  <c r="O415" i="43"/>
  <c r="O413"/>
  <c r="O460"/>
  <c r="O458"/>
  <c r="N220" i="23"/>
  <c r="N221" s="1"/>
  <c r="N222" s="1"/>
  <c r="M221"/>
  <c r="M222" s="1"/>
  <c r="L316" i="22"/>
  <c r="L409"/>
  <c r="I471" i="23"/>
  <c r="I473"/>
  <c r="N344" i="22"/>
  <c r="N345" s="1"/>
  <c r="M345"/>
  <c r="O345" s="1"/>
  <c r="K415" i="23"/>
  <c r="K472"/>
  <c r="K477"/>
  <c r="K413"/>
  <c r="N489" i="43"/>
  <c r="N488"/>
  <c r="O483"/>
  <c r="O284"/>
  <c r="O282"/>
  <c r="L252" i="22"/>
  <c r="K435"/>
  <c r="K433"/>
  <c r="N225"/>
  <c r="N226" s="1"/>
  <c r="M226"/>
  <c r="M265" i="23"/>
  <c r="L266"/>
  <c r="L267" s="1"/>
  <c r="N245"/>
  <c r="N246" s="1"/>
  <c r="N247" s="1"/>
  <c r="M246"/>
  <c r="M247" s="1"/>
  <c r="N314"/>
  <c r="N315" s="1"/>
  <c r="M315"/>
  <c r="N339"/>
  <c r="N340" s="1"/>
  <c r="M340"/>
  <c r="J476"/>
  <c r="J478"/>
  <c r="N220" i="22"/>
  <c r="N221" s="1"/>
  <c r="N222" s="1"/>
  <c r="M221"/>
  <c r="M222" s="1"/>
  <c r="L346"/>
  <c r="L439"/>
  <c r="J478"/>
  <c r="J476"/>
  <c r="N319" i="23"/>
  <c r="N320" s="1"/>
  <c r="M320"/>
  <c r="M359"/>
  <c r="L360"/>
  <c r="L377" s="1"/>
  <c r="L227" i="22"/>
  <c r="L247" i="23"/>
  <c r="M265" i="22"/>
  <c r="L266"/>
  <c r="L283" s="1"/>
  <c r="K377"/>
  <c r="M336" i="23" l="1"/>
  <c r="M429"/>
  <c r="O335"/>
  <c r="K450" i="22"/>
  <c r="K448"/>
  <c r="N354"/>
  <c r="N355" s="1"/>
  <c r="M355"/>
  <c r="N210" i="23"/>
  <c r="N211" s="1"/>
  <c r="N212" s="1"/>
  <c r="M211"/>
  <c r="M212" s="1"/>
  <c r="N349"/>
  <c r="N350" s="1"/>
  <c r="M350"/>
  <c r="N260"/>
  <c r="N261" s="1"/>
  <c r="N262" s="1"/>
  <c r="M261"/>
  <c r="M262" s="1"/>
  <c r="N354"/>
  <c r="N355" s="1"/>
  <c r="M355"/>
  <c r="N336" i="22"/>
  <c r="N429"/>
  <c r="O246" i="23"/>
  <c r="O247" s="1"/>
  <c r="N255"/>
  <c r="N256" s="1"/>
  <c r="N257" s="1"/>
  <c r="M256"/>
  <c r="M257" s="1"/>
  <c r="L356" i="22"/>
  <c r="L449"/>
  <c r="L212" i="23"/>
  <c r="L351"/>
  <c r="L444"/>
  <c r="L262"/>
  <c r="N366" i="22"/>
  <c r="N459"/>
  <c r="K400" i="23"/>
  <c r="K398"/>
  <c r="L430" i="22"/>
  <c r="L428"/>
  <c r="L356" i="23"/>
  <c r="L449"/>
  <c r="O355"/>
  <c r="M336" i="22"/>
  <c r="M429"/>
  <c r="O335"/>
  <c r="O271" i="23"/>
  <c r="O272" s="1"/>
  <c r="K445" i="22"/>
  <c r="K443"/>
  <c r="K445" i="23"/>
  <c r="K443"/>
  <c r="N260" i="22"/>
  <c r="N261" s="1"/>
  <c r="N262" s="1"/>
  <c r="M261"/>
  <c r="M262" s="1"/>
  <c r="N349"/>
  <c r="N350" s="1"/>
  <c r="M350"/>
  <c r="N272"/>
  <c r="O271"/>
  <c r="N304"/>
  <c r="N305" s="1"/>
  <c r="O305" s="1"/>
  <c r="M305"/>
  <c r="N210"/>
  <c r="N211" s="1"/>
  <c r="N212" s="1"/>
  <c r="M211"/>
  <c r="M212" s="1"/>
  <c r="M366"/>
  <c r="M459"/>
  <c r="M460" s="1"/>
  <c r="N304" i="23"/>
  <c r="N305" s="1"/>
  <c r="M305"/>
  <c r="N255" i="22"/>
  <c r="N256" s="1"/>
  <c r="N257" s="1"/>
  <c r="M256"/>
  <c r="M257" s="1"/>
  <c r="N366" i="23"/>
  <c r="N459"/>
  <c r="N460" s="1"/>
  <c r="N336"/>
  <c r="N429"/>
  <c r="K400" i="22"/>
  <c r="K398"/>
  <c r="L262"/>
  <c r="O261"/>
  <c r="L351"/>
  <c r="L444"/>
  <c r="L306"/>
  <c r="L399"/>
  <c r="L212"/>
  <c r="L430" i="23"/>
  <c r="L428"/>
  <c r="O429"/>
  <c r="K450"/>
  <c r="K448"/>
  <c r="L306"/>
  <c r="L399"/>
  <c r="L257" i="22"/>
  <c r="O256"/>
  <c r="O257" s="1"/>
  <c r="M366" i="23"/>
  <c r="M459"/>
  <c r="O365"/>
  <c r="O366" s="1"/>
  <c r="L283"/>
  <c r="O256"/>
  <c r="O257" s="1"/>
  <c r="L485"/>
  <c r="L378"/>
  <c r="L376"/>
  <c r="L485" i="22"/>
  <c r="L376"/>
  <c r="L378"/>
  <c r="N316" i="23"/>
  <c r="N409"/>
  <c r="O315"/>
  <c r="N227" i="22"/>
  <c r="O226"/>
  <c r="K473" i="23"/>
  <c r="K471"/>
  <c r="L435" i="22"/>
  <c r="L433"/>
  <c r="N316"/>
  <c r="N409"/>
  <c r="O315"/>
  <c r="N321"/>
  <c r="N414"/>
  <c r="O320"/>
  <c r="O321" s="1"/>
  <c r="N265"/>
  <c r="N266" s="1"/>
  <c r="N267" s="1"/>
  <c r="M266"/>
  <c r="M267" s="1"/>
  <c r="N321" i="23"/>
  <c r="N414"/>
  <c r="O320"/>
  <c r="O321" s="1"/>
  <c r="L440" i="22"/>
  <c r="L438"/>
  <c r="M316" i="23"/>
  <c r="M409"/>
  <c r="M227" i="22"/>
  <c r="M283"/>
  <c r="K476" i="23"/>
  <c r="K478"/>
  <c r="N346" i="22"/>
  <c r="N439"/>
  <c r="K455"/>
  <c r="K453"/>
  <c r="J489"/>
  <c r="J488"/>
  <c r="M316"/>
  <c r="M409"/>
  <c r="M321"/>
  <c r="M414"/>
  <c r="L415" i="23"/>
  <c r="L413"/>
  <c r="N247" i="22"/>
  <c r="O246"/>
  <c r="O247" s="1"/>
  <c r="O221" i="23"/>
  <c r="O222" s="1"/>
  <c r="O251" i="22"/>
  <c r="O488" i="43"/>
  <c r="L484" i="22"/>
  <c r="L282"/>
  <c r="L284"/>
  <c r="O346"/>
  <c r="O344"/>
  <c r="N341" i="23"/>
  <c r="N434"/>
  <c r="O340"/>
  <c r="N265"/>
  <c r="N266" s="1"/>
  <c r="N283" s="1"/>
  <c r="M266"/>
  <c r="M267" s="1"/>
  <c r="M346" i="22"/>
  <c r="M439"/>
  <c r="N341"/>
  <c r="N434"/>
  <c r="O340"/>
  <c r="K471"/>
  <c r="K473"/>
  <c r="L267"/>
  <c r="O266"/>
  <c r="M321" i="23"/>
  <c r="M414"/>
  <c r="L410" i="22"/>
  <c r="L408"/>
  <c r="O409"/>
  <c r="L415"/>
  <c r="L413"/>
  <c r="N252" i="23"/>
  <c r="O251"/>
  <c r="O252" s="1"/>
  <c r="K488"/>
  <c r="K489"/>
  <c r="N346"/>
  <c r="N439"/>
  <c r="O345"/>
  <c r="L435"/>
  <c r="L433"/>
  <c r="K485" i="22"/>
  <c r="K489" s="1"/>
  <c r="K376"/>
  <c r="K378"/>
  <c r="N359" i="23"/>
  <c r="N360" s="1"/>
  <c r="M360"/>
  <c r="M341"/>
  <c r="M434"/>
  <c r="M341" i="22"/>
  <c r="M434"/>
  <c r="L440" i="23"/>
  <c r="L438"/>
  <c r="O473" i="43"/>
  <c r="O471"/>
  <c r="M346" i="23"/>
  <c r="M439"/>
  <c r="K455"/>
  <c r="K453"/>
  <c r="N227"/>
  <c r="O226"/>
  <c r="O227" s="1"/>
  <c r="O478" i="43"/>
  <c r="O476"/>
  <c r="N359" i="22"/>
  <c r="N360" s="1"/>
  <c r="M360"/>
  <c r="K477"/>
  <c r="L361" i="23"/>
  <c r="L454"/>
  <c r="L477" s="1"/>
  <c r="L484"/>
  <c r="L282"/>
  <c r="L284"/>
  <c r="L410"/>
  <c r="L408"/>
  <c r="M227"/>
  <c r="M283"/>
  <c r="L361" i="22"/>
  <c r="L454"/>
  <c r="L472" s="1"/>
  <c r="O221"/>
  <c r="O222" s="1"/>
  <c r="O306" l="1"/>
  <c r="O304"/>
  <c r="O262"/>
  <c r="O260"/>
  <c r="N430" i="23"/>
  <c r="N428"/>
  <c r="N306"/>
  <c r="N399"/>
  <c r="O336" i="22"/>
  <c r="O334"/>
  <c r="L450" i="23"/>
  <c r="L448"/>
  <c r="O261"/>
  <c r="O262" s="1"/>
  <c r="O211"/>
  <c r="O212" s="1"/>
  <c r="L400" i="22"/>
  <c r="L398"/>
  <c r="M306" i="23"/>
  <c r="M399"/>
  <c r="O272" i="22"/>
  <c r="O270"/>
  <c r="O356" i="23"/>
  <c r="O354"/>
  <c r="N430" i="22"/>
  <c r="N428"/>
  <c r="O429"/>
  <c r="L400" i="23"/>
  <c r="L398"/>
  <c r="O430"/>
  <c r="O428"/>
  <c r="L445" i="22"/>
  <c r="L443"/>
  <c r="N306"/>
  <c r="N399"/>
  <c r="N351"/>
  <c r="N444"/>
  <c r="N460"/>
  <c r="O459"/>
  <c r="L445" i="23"/>
  <c r="L443"/>
  <c r="L450" i="22"/>
  <c r="L448"/>
  <c r="N356" i="23"/>
  <c r="N449"/>
  <c r="N351"/>
  <c r="N444"/>
  <c r="O350"/>
  <c r="N356" i="22"/>
  <c r="N449"/>
  <c r="O355"/>
  <c r="M430" i="23"/>
  <c r="M428"/>
  <c r="M460"/>
  <c r="O459"/>
  <c r="O460" s="1"/>
  <c r="M306" i="22"/>
  <c r="M399"/>
  <c r="M351"/>
  <c r="M444"/>
  <c r="M430"/>
  <c r="M428"/>
  <c r="M356" i="23"/>
  <c r="M449"/>
  <c r="M450" s="1"/>
  <c r="M351"/>
  <c r="M444"/>
  <c r="M356" i="22"/>
  <c r="M449"/>
  <c r="M450" s="1"/>
  <c r="O336" i="23"/>
  <c r="O334"/>
  <c r="O434"/>
  <c r="O305"/>
  <c r="O211" i="22"/>
  <c r="O350"/>
  <c r="L478" i="23"/>
  <c r="L476"/>
  <c r="O435"/>
  <c r="O433"/>
  <c r="L473" i="22"/>
  <c r="L471"/>
  <c r="M484" i="23"/>
  <c r="M282"/>
  <c r="M284"/>
  <c r="N361" i="22"/>
  <c r="N454"/>
  <c r="O360"/>
  <c r="O361" s="1"/>
  <c r="N484" i="23"/>
  <c r="N284"/>
  <c r="N282"/>
  <c r="O283"/>
  <c r="O284" s="1"/>
  <c r="M440"/>
  <c r="M438"/>
  <c r="N361"/>
  <c r="N454"/>
  <c r="O360"/>
  <c r="O361" s="1"/>
  <c r="N440"/>
  <c r="N438"/>
  <c r="O267" i="22"/>
  <c r="O265"/>
  <c r="O341"/>
  <c r="O339"/>
  <c r="N435" i="23"/>
  <c r="N433"/>
  <c r="O252" i="22"/>
  <c r="O250"/>
  <c r="M415"/>
  <c r="M413"/>
  <c r="N415"/>
  <c r="N413"/>
  <c r="N477"/>
  <c r="O414"/>
  <c r="N410"/>
  <c r="N408"/>
  <c r="O227"/>
  <c r="O225"/>
  <c r="N410" i="23"/>
  <c r="N408"/>
  <c r="O439"/>
  <c r="L477" i="22"/>
  <c r="L455" i="23"/>
  <c r="L453"/>
  <c r="M435" i="22"/>
  <c r="M433"/>
  <c r="M361" i="23"/>
  <c r="M454"/>
  <c r="O346"/>
  <c r="O344"/>
  <c r="M440" i="22"/>
  <c r="M438"/>
  <c r="O341" i="23"/>
  <c r="O339"/>
  <c r="M410" i="22"/>
  <c r="M408"/>
  <c r="N440"/>
  <c r="N438"/>
  <c r="O439"/>
  <c r="M484"/>
  <c r="M282"/>
  <c r="M284"/>
  <c r="O316"/>
  <c r="O314"/>
  <c r="O316" i="23"/>
  <c r="O314"/>
  <c r="N377"/>
  <c r="K488" i="22"/>
  <c r="M361"/>
  <c r="M454"/>
  <c r="M477" s="1"/>
  <c r="L455"/>
  <c r="L453"/>
  <c r="L488" i="23"/>
  <c r="L489"/>
  <c r="K478" i="22"/>
  <c r="K476"/>
  <c r="O410"/>
  <c r="O408"/>
  <c r="N267" i="23"/>
  <c r="O266"/>
  <c r="O267" s="1"/>
  <c r="L488" i="22"/>
  <c r="L489"/>
  <c r="N415" i="23"/>
  <c r="N413"/>
  <c r="N477"/>
  <c r="N472"/>
  <c r="O414"/>
  <c r="M377"/>
  <c r="M435"/>
  <c r="M433"/>
  <c r="M415"/>
  <c r="M413"/>
  <c r="M477"/>
  <c r="N435" i="22"/>
  <c r="N433"/>
  <c r="O434"/>
  <c r="M410" i="23"/>
  <c r="M408"/>
  <c r="O409"/>
  <c r="L472"/>
  <c r="M377" i="22"/>
  <c r="N377"/>
  <c r="N283"/>
  <c r="N472" s="1"/>
  <c r="N450" l="1"/>
  <c r="N448"/>
  <c r="O449"/>
  <c r="O449" i="23"/>
  <c r="O306"/>
  <c r="O304"/>
  <c r="M445" i="22"/>
  <c r="M443"/>
  <c r="O356"/>
  <c r="O354"/>
  <c r="N445" i="23"/>
  <c r="N443"/>
  <c r="O460" i="22"/>
  <c r="O458"/>
  <c r="N400"/>
  <c r="N398"/>
  <c r="O399"/>
  <c r="O430"/>
  <c r="O428"/>
  <c r="O212"/>
  <c r="O210"/>
  <c r="O351" i="23"/>
  <c r="O349"/>
  <c r="M400"/>
  <c r="M398"/>
  <c r="O351" i="22"/>
  <c r="O349"/>
  <c r="M445" i="23"/>
  <c r="M443"/>
  <c r="O444"/>
  <c r="M400" i="22"/>
  <c r="M398"/>
  <c r="N450" i="23"/>
  <c r="N448"/>
  <c r="N445" i="22"/>
  <c r="N443"/>
  <c r="O444"/>
  <c r="N400" i="23"/>
  <c r="N398"/>
  <c r="O399"/>
  <c r="M476" i="22"/>
  <c r="M478"/>
  <c r="O477"/>
  <c r="N471"/>
  <c r="N473"/>
  <c r="L473" i="23"/>
  <c r="L471"/>
  <c r="M478"/>
  <c r="M476"/>
  <c r="N485" i="22"/>
  <c r="N378"/>
  <c r="N376"/>
  <c r="O377"/>
  <c r="O440" i="23"/>
  <c r="O438"/>
  <c r="N455" i="22"/>
  <c r="N453"/>
  <c r="O454"/>
  <c r="O410" i="23"/>
  <c r="O408"/>
  <c r="M485"/>
  <c r="M488" s="1"/>
  <c r="M376"/>
  <c r="M378"/>
  <c r="N476"/>
  <c r="N478"/>
  <c r="M455" i="22"/>
  <c r="M453"/>
  <c r="L476"/>
  <c r="L478"/>
  <c r="O415"/>
  <c r="O413"/>
  <c r="N455" i="23"/>
  <c r="N453"/>
  <c r="O454"/>
  <c r="N484" i="22"/>
  <c r="N284"/>
  <c r="N282"/>
  <c r="O283"/>
  <c r="O435"/>
  <c r="O433"/>
  <c r="N471" i="23"/>
  <c r="N473"/>
  <c r="N485"/>
  <c r="N376"/>
  <c r="N378"/>
  <c r="O377"/>
  <c r="O440" i="22"/>
  <c r="O438"/>
  <c r="N488" i="23"/>
  <c r="N489"/>
  <c r="O484"/>
  <c r="M472"/>
  <c r="O472" s="1"/>
  <c r="O477"/>
  <c r="M485" i="22"/>
  <c r="M489" s="1"/>
  <c r="M378"/>
  <c r="M376"/>
  <c r="O415" i="23"/>
  <c r="O413"/>
  <c r="M455"/>
  <c r="M453"/>
  <c r="N478" i="22"/>
  <c r="N476"/>
  <c r="M472"/>
  <c r="O472" s="1"/>
  <c r="O445" l="1"/>
  <c r="O443"/>
  <c r="O400"/>
  <c r="O398"/>
  <c r="O485" i="23"/>
  <c r="O488" s="1"/>
  <c r="O445"/>
  <c r="O443"/>
  <c r="O450" i="22"/>
  <c r="O448"/>
  <c r="M489" i="23"/>
  <c r="O489" s="1"/>
  <c r="D10" i="34" s="1"/>
  <c r="D12" s="1"/>
  <c r="O400" i="23"/>
  <c r="O398"/>
  <c r="O450"/>
  <c r="O448"/>
  <c r="O473" i="22"/>
  <c r="O471"/>
  <c r="O478" i="23"/>
  <c r="O476"/>
  <c r="O284" i="22"/>
  <c r="O282"/>
  <c r="O378" i="23"/>
  <c r="O376"/>
  <c r="N488" i="22"/>
  <c r="N489"/>
  <c r="O489" s="1"/>
  <c r="C10" i="34" s="1"/>
  <c r="C12" s="1"/>
  <c r="O484" i="22"/>
  <c r="O378"/>
  <c r="O376"/>
  <c r="O455"/>
  <c r="O453"/>
  <c r="O478"/>
  <c r="O476"/>
  <c r="M488"/>
  <c r="O485"/>
  <c r="M473"/>
  <c r="M471"/>
  <c r="O455" i="23"/>
  <c r="O453"/>
  <c r="O473"/>
  <c r="O471"/>
  <c r="M471"/>
  <c r="M473"/>
  <c r="O488" i="22" l="1"/>
</calcChain>
</file>

<file path=xl/comments1.xml><?xml version="1.0" encoding="utf-8"?>
<comments xmlns="http://schemas.openxmlformats.org/spreadsheetml/2006/main">
  <authors>
    <author>coynegj</author>
  </authors>
  <commentList>
    <comment ref="B8" authorId="0">
      <text>
        <r>
          <rPr>
            <b/>
            <sz val="8"/>
            <color indexed="81"/>
            <rFont val="Tahoma"/>
            <family val="2"/>
          </rPr>
          <t>coynegj:</t>
        </r>
        <r>
          <rPr>
            <sz val="8"/>
            <color indexed="81"/>
            <rFont val="Tahoma"/>
            <family val="2"/>
          </rPr>
          <t xml:space="preserve">
Forecast based on the E and Y initative of reduced price in 2012 with a maximum increase of 5 % in 2013</t>
        </r>
      </text>
    </comment>
    <comment ref="B9" authorId="0">
      <text>
        <r>
          <rPr>
            <b/>
            <sz val="8"/>
            <color indexed="81"/>
            <rFont val="Tahoma"/>
            <family val="2"/>
          </rPr>
          <t>coynegj:</t>
        </r>
        <r>
          <rPr>
            <sz val="8"/>
            <color indexed="81"/>
            <rFont val="Tahoma"/>
            <family val="2"/>
          </rPr>
          <t xml:space="preserve">
Based on the currrent market conditions, housing market and fuel market</t>
        </r>
      </text>
    </comment>
    <comment ref="B10" authorId="0">
      <text>
        <r>
          <rPr>
            <b/>
            <sz val="8"/>
            <color indexed="81"/>
            <rFont val="Tahoma"/>
            <family val="2"/>
          </rPr>
          <t>coynegj:</t>
        </r>
        <r>
          <rPr>
            <sz val="8"/>
            <color indexed="81"/>
            <rFont val="Tahoma"/>
            <family val="2"/>
          </rPr>
          <t xml:space="preserve">
Based on the current market conditions, housing market and fuel market</t>
        </r>
      </text>
    </comment>
    <comment ref="B11" authorId="0">
      <text>
        <r>
          <rPr>
            <b/>
            <sz val="8"/>
            <color indexed="81"/>
            <rFont val="Tahoma"/>
            <family val="2"/>
          </rPr>
          <t>coynegj:</t>
        </r>
        <r>
          <rPr>
            <sz val="8"/>
            <color indexed="81"/>
            <rFont val="Tahoma"/>
            <family val="2"/>
          </rPr>
          <t xml:space="preserve">
</t>
        </r>
      </text>
    </comment>
    <comment ref="B13" authorId="0">
      <text>
        <r>
          <rPr>
            <b/>
            <sz val="8"/>
            <color indexed="81"/>
            <rFont val="Tahoma"/>
            <family val="2"/>
          </rPr>
          <t>coynegj:</t>
        </r>
        <r>
          <rPr>
            <sz val="8"/>
            <color indexed="81"/>
            <rFont val="Tahoma"/>
            <family val="2"/>
          </rPr>
          <t xml:space="preserve">
Based on the new requirements for dosing less, suppliers will need to stay competitive to hold current market share</t>
        </r>
      </text>
    </comment>
    <comment ref="B15" authorId="0">
      <text>
        <r>
          <rPr>
            <b/>
            <sz val="8"/>
            <color indexed="81"/>
            <rFont val="Tahoma"/>
            <family val="2"/>
          </rPr>
          <t>coynegj:</t>
        </r>
        <r>
          <rPr>
            <sz val="8"/>
            <color indexed="81"/>
            <rFont val="Tahoma"/>
            <family val="2"/>
          </rPr>
          <t xml:space="preserve">
Based on pressure from foreign market product</t>
        </r>
      </text>
    </comment>
    <comment ref="B16" authorId="0">
      <text>
        <r>
          <rPr>
            <b/>
            <sz val="8"/>
            <color indexed="81"/>
            <rFont val="Tahoma"/>
            <family val="2"/>
          </rPr>
          <t>coynegj:</t>
        </r>
        <r>
          <rPr>
            <sz val="8"/>
            <color indexed="81"/>
            <rFont val="Tahoma"/>
            <family val="2"/>
          </rPr>
          <t xml:space="preserve">
Forecast based on the E and Y initative of reduced price in 2012 with a maximum increase of 10% in 2013 </t>
        </r>
      </text>
    </comment>
    <comment ref="B17" authorId="0">
      <text>
        <r>
          <rPr>
            <b/>
            <sz val="8"/>
            <color indexed="81"/>
            <rFont val="Tahoma"/>
            <family val="2"/>
          </rPr>
          <t>coynegj:</t>
        </r>
        <r>
          <rPr>
            <sz val="8"/>
            <color indexed="81"/>
            <rFont val="Tahoma"/>
            <family val="2"/>
          </rPr>
          <t xml:space="preserve">
Based on the currrent market conditions, housing market and fuel market</t>
        </r>
      </text>
    </comment>
  </commentList>
</comments>
</file>

<file path=xl/comments2.xml><?xml version="1.0" encoding="utf-8"?>
<comments xmlns="http://schemas.openxmlformats.org/spreadsheetml/2006/main">
  <authors>
    <author>Rachel</author>
  </authors>
  <commentList>
    <comment ref="J3" authorId="0">
      <text>
        <r>
          <rPr>
            <b/>
            <sz val="8"/>
            <color indexed="81"/>
            <rFont val="Tahoma"/>
          </rPr>
          <t>Rachel:</t>
        </r>
        <r>
          <rPr>
            <sz val="8"/>
            <color indexed="81"/>
            <rFont val="Tahoma"/>
          </rPr>
          <t xml:space="preserve">
do 11.5 per day
</t>
        </r>
      </text>
    </comment>
  </commentList>
</comments>
</file>

<file path=xl/comments3.xml><?xml version="1.0" encoding="utf-8"?>
<comments xmlns="http://schemas.openxmlformats.org/spreadsheetml/2006/main">
  <authors>
    <author>Rachel</author>
  </authors>
  <commentList>
    <comment ref="J3" authorId="0">
      <text>
        <r>
          <rPr>
            <b/>
            <sz val="8"/>
            <color indexed="81"/>
            <rFont val="Tahoma"/>
          </rPr>
          <t>Rachel:</t>
        </r>
        <r>
          <rPr>
            <sz val="8"/>
            <color indexed="81"/>
            <rFont val="Tahoma"/>
          </rPr>
          <t xml:space="preserve">
do 11.5 per day
</t>
        </r>
      </text>
    </comment>
  </commentList>
</comments>
</file>

<file path=xl/sharedStrings.xml><?xml version="1.0" encoding="utf-8"?>
<sst xmlns="http://schemas.openxmlformats.org/spreadsheetml/2006/main" count="7923" uniqueCount="548">
  <si>
    <t xml:space="preserve"> </t>
  </si>
  <si>
    <t>*</t>
  </si>
  <si>
    <t>JAN</t>
  </si>
  <si>
    <t>FEB</t>
  </si>
  <si>
    <t>MAR</t>
  </si>
  <si>
    <t>APR</t>
  </si>
  <si>
    <t>MAY</t>
  </si>
  <si>
    <t>JUNE</t>
  </si>
  <si>
    <t>JULY</t>
  </si>
  <si>
    <t>SEPT</t>
  </si>
  <si>
    <t>OCT</t>
  </si>
  <si>
    <t>NOV</t>
  </si>
  <si>
    <t>DEC</t>
  </si>
  <si>
    <t>TOTAL</t>
  </si>
  <si>
    <t>-</t>
  </si>
  <si>
    <t>TOTAL COST</t>
  </si>
  <si>
    <t>Pool 3 low service</t>
  </si>
  <si>
    <t>RRS</t>
  </si>
  <si>
    <t>KRS</t>
  </si>
  <si>
    <t>Total</t>
  </si>
  <si>
    <t>Low Service</t>
  </si>
  <si>
    <t>High Service</t>
  </si>
  <si>
    <t>Year</t>
  </si>
  <si>
    <t>June</t>
  </si>
  <si>
    <t>July</t>
  </si>
  <si>
    <t>September</t>
  </si>
  <si>
    <t>October</t>
  </si>
  <si>
    <t>November</t>
  </si>
  <si>
    <t>December</t>
  </si>
  <si>
    <t>January</t>
  </si>
  <si>
    <t>February</t>
  </si>
  <si>
    <t>March</t>
  </si>
  <si>
    <t>April</t>
  </si>
  <si>
    <t>May</t>
  </si>
  <si>
    <t>Jan</t>
  </si>
  <si>
    <t>Feb</t>
  </si>
  <si>
    <t>Mar</t>
  </si>
  <si>
    <t>Apr</t>
  </si>
  <si>
    <t>Jun</t>
  </si>
  <si>
    <t>Jul</t>
  </si>
  <si>
    <t>Aug</t>
  </si>
  <si>
    <t>Sep</t>
  </si>
  <si>
    <t>Oct</t>
  </si>
  <si>
    <t>Nov</t>
  </si>
  <si>
    <t>Dec</t>
  </si>
  <si>
    <t>Pool 3</t>
  </si>
  <si>
    <t>RICHMOND ROAD STATION</t>
  </si>
  <si>
    <t>alt-x</t>
  </si>
  <si>
    <t>/rf~4~{right 11}~</t>
  </si>
  <si>
    <t>Bid Dollars</t>
  </si>
  <si>
    <t>Reservoir</t>
  </si>
  <si>
    <t>Res/Riv</t>
  </si>
  <si>
    <t>AUG</t>
  </si>
  <si>
    <t>LOW SERVICE PUMPAGE (MG)</t>
  </si>
  <si>
    <t>AMMONIA</t>
  </si>
  <si>
    <t>LBS/MG</t>
  </si>
  <si>
    <t>(Dry Weight)</t>
  </si>
  <si>
    <t>TOTAL  LBS</t>
  </si>
  <si>
    <t>COST/LB</t>
  </si>
  <si>
    <t>COST/MG</t>
  </si>
  <si>
    <t>CARBON</t>
  </si>
  <si>
    <t>CHLORINE</t>
  </si>
  <si>
    <t>COPPER SULFATE</t>
  </si>
  <si>
    <t>CORROSION INHIBITOR</t>
  </si>
  <si>
    <t>(Wet Weight)</t>
  </si>
  <si>
    <t>FERRIC CHLORIDE</t>
  </si>
  <si>
    <t>FLUORIDE</t>
  </si>
  <si>
    <t>PACL</t>
  </si>
  <si>
    <t>POLYMERS NO 1</t>
  </si>
  <si>
    <t>POLYMERS NO 2</t>
  </si>
  <si>
    <t>POTASSIUM</t>
  </si>
  <si>
    <t>PERMANGANATE</t>
  </si>
  <si>
    <t>SODIUM CHLORIDE</t>
  </si>
  <si>
    <t>SODIUM HYDROXIDE 30%</t>
  </si>
  <si>
    <t>SODIUM HYDROXIDE 50%</t>
  </si>
  <si>
    <t>SODIUM</t>
  </si>
  <si>
    <t>SULFURIC ACID (38%)</t>
  </si>
  <si>
    <t>TOTAL RICHMOND RD</t>
  </si>
  <si>
    <t>GAC FILTER</t>
  </si>
  <si>
    <t>MEDIA</t>
  </si>
  <si>
    <t>KENTUCKY RIVER STATION</t>
  </si>
  <si>
    <t>JDE CORRECTIONS</t>
  </si>
  <si>
    <t>TOTAL KY RIVER</t>
  </si>
  <si>
    <t>NORTHERN DIVISION - OWENTON PLANT</t>
  </si>
  <si>
    <t>TOTAL NORTHERN DIVISION</t>
  </si>
  <si>
    <t>KENTUCKY RIVER POOL 3 PLANT</t>
  </si>
  <si>
    <t>JUN</t>
  </si>
  <si>
    <t>JUL</t>
  </si>
  <si>
    <t>SEP</t>
  </si>
  <si>
    <t>123201.518000.13</t>
  </si>
  <si>
    <t>TOTAL COMPANY</t>
  </si>
  <si>
    <t xml:space="preserve">GAC FILTER MEDIA </t>
  </si>
  <si>
    <t xml:space="preserve">TOTAL LEXINGTON </t>
  </si>
  <si>
    <t>WO/GAC</t>
  </si>
  <si>
    <t>TOTAL LINE 11</t>
  </si>
  <si>
    <t>W/GAC</t>
  </si>
  <si>
    <t>TOTAL LEXINGTON, NEW PLANT, AND NORTHERN</t>
  </si>
  <si>
    <t>RRS GAC</t>
  </si>
  <si>
    <t>LEX TRT CHEM</t>
  </si>
  <si>
    <t>ND TRT CHEM</t>
  </si>
  <si>
    <t>NEW PLT TRT CHEM</t>
  </si>
  <si>
    <t>123301.518000.13</t>
  </si>
  <si>
    <t>ND WWTRT CHEM</t>
  </si>
  <si>
    <t>RWV WWTRT CHEM</t>
  </si>
  <si>
    <t>GRAND TOTAL LINE 11</t>
  </si>
  <si>
    <t>TOT KAW W/O GAC</t>
  </si>
  <si>
    <t>(Wet Weight)'</t>
  </si>
  <si>
    <t>TOT KAW GAC</t>
  </si>
  <si>
    <t>ND WTP</t>
  </si>
  <si>
    <t>Chlorine</t>
  </si>
  <si>
    <t>System</t>
  </si>
  <si>
    <t>Delivery</t>
  </si>
  <si>
    <t>KRS II</t>
  </si>
  <si>
    <t>SODIUM HYDROXIDE 25%</t>
  </si>
  <si>
    <t>ASSUMPTIONS/ NOTES</t>
  </si>
  <si>
    <t>POTASSIUM PERMANGANATE</t>
  </si>
  <si>
    <t>NA</t>
  </si>
  <si>
    <t>SODIUM PERMANGANATE</t>
  </si>
  <si>
    <t>Total LBS</t>
  </si>
  <si>
    <t>KENTUCKY AMERICAN WATER</t>
  </si>
  <si>
    <t>NRW</t>
  </si>
  <si>
    <t>System Delivery</t>
  </si>
  <si>
    <t>Price Change</t>
  </si>
  <si>
    <t>2012 Price</t>
  </si>
  <si>
    <t>2013 Price</t>
  </si>
  <si>
    <t>2014 Price</t>
  </si>
  <si>
    <t>NORTHERN DIVISION - WWTP</t>
  </si>
  <si>
    <t>ALUM</t>
  </si>
  <si>
    <t>BIOXIDE (4%)</t>
  </si>
  <si>
    <t>SULFUR DIOXIDE</t>
  </si>
  <si>
    <t>ROCKWELL VILLAGE - WWTP</t>
  </si>
  <si>
    <t>DECHLORINATION</t>
  </si>
  <si>
    <t>HIGH SERVICE</t>
  </si>
  <si>
    <t xml:space="preserve">Transfer </t>
  </si>
  <si>
    <t>Days per month</t>
  </si>
  <si>
    <t>Sales        Year total form 329</t>
  </si>
  <si>
    <t>non revenue</t>
  </si>
  <si>
    <t>un accounted for</t>
  </si>
  <si>
    <t>total system delivery</t>
  </si>
  <si>
    <t>KRS          avg. per day</t>
  </si>
  <si>
    <t>RRS       avg. per day</t>
  </si>
  <si>
    <t>Pool 3  avg per day</t>
  </si>
  <si>
    <t>Northern WTP</t>
  </si>
  <si>
    <t>Northern WTP   avg. per day</t>
  </si>
  <si>
    <t>Transfer from Ky. River</t>
  </si>
  <si>
    <t>Transfer avg. per day</t>
  </si>
  <si>
    <t>KRS    Low Service</t>
  </si>
  <si>
    <t>RRS    Low service</t>
  </si>
  <si>
    <t>Total    Low Service</t>
  </si>
  <si>
    <t>Usage from Jacobsen Res</t>
  </si>
  <si>
    <t>August</t>
  </si>
  <si>
    <t>Totals</t>
  </si>
  <si>
    <t>Plant Usage</t>
  </si>
  <si>
    <t>% of System Delivery</t>
  </si>
  <si>
    <t>Dechlor</t>
  </si>
  <si>
    <t>Averages LBS</t>
  </si>
  <si>
    <t>COSTS</t>
  </si>
  <si>
    <t>DECHLOR</t>
  </si>
  <si>
    <t>CHEMICAL USAGE OWENTON WASTE WATER PLANT</t>
  </si>
  <si>
    <t>Sept</t>
  </si>
  <si>
    <t>LBS.</t>
  </si>
  <si>
    <t>DELPAC</t>
  </si>
  <si>
    <t>BIOXIDE</t>
  </si>
  <si>
    <t>Average LBS</t>
  </si>
  <si>
    <t>$</t>
  </si>
  <si>
    <t>Pumpage</t>
  </si>
  <si>
    <t>Regular Printout</t>
  </si>
  <si>
    <t>ALT-P</t>
  </si>
  <si>
    <t>/PPOP68~QQ{CALC}/PPRFORMS1~AGPQ</t>
  </si>
  <si>
    <t>NUMBER OF MONTH FOR YEAR</t>
  </si>
  <si>
    <t>ALT-R</t>
  </si>
  <si>
    <t>/PPRFORMS2~AGPQ</t>
  </si>
  <si>
    <t>REPORT OF MONTHLY OPERATING DATA</t>
  </si>
  <si>
    <t>SHEET 2 of 5</t>
  </si>
  <si>
    <t>ALT-S</t>
  </si>
  <si>
    <t>/PPRFORMS3~AGPQ</t>
  </si>
  <si>
    <t>ALT-Q</t>
  </si>
  <si>
    <t>{if +c2=3}/pprquarter.1~agq</t>
  </si>
  <si>
    <t>{if +c2=6}/pprquarter.2~agq</t>
  </si>
  <si>
    <t>KENTUCKY - AMERICAN WATER COMPANY</t>
  </si>
  <si>
    <t>{if +c2=9}/pprquarter.3~agq</t>
  </si>
  <si>
    <t>4-year averages</t>
  </si>
  <si>
    <t xml:space="preserve">        *</t>
  </si>
  <si>
    <t>{if +c2=12}/pprquarter.4~agq</t>
  </si>
  <si>
    <t>LINE 11 - (FORM 168) - CHEMICALS</t>
  </si>
  <si>
    <t xml:space="preserve"> -------------</t>
  </si>
  <si>
    <t xml:space="preserve">      Identification         ---------</t>
  </si>
  <si>
    <t>-------</t>
  </si>
  <si>
    <t xml:space="preserve"> --- System Pumpage ---</t>
  </si>
  <si>
    <t xml:space="preserve">  -----  Power And Fuel  -----</t>
  </si>
  <si>
    <t xml:space="preserve"> ----- Chemical -----</t>
  </si>
  <si>
    <t>For Regular or Quarter Printout</t>
  </si>
  <si>
    <t>|</t>
  </si>
  <si>
    <t xml:space="preserve">        |</t>
  </si>
  <si>
    <t xml:space="preserve">          |</t>
  </si>
  <si>
    <t xml:space="preserve">           |</t>
  </si>
  <si>
    <t xml:space="preserve"> ************ JANUARY ************</t>
  </si>
  <si>
    <t xml:space="preserve"> *********** FEBRUARY ************</t>
  </si>
  <si>
    <t xml:space="preserve"> ************* MARCH *************</t>
  </si>
  <si>
    <t>MARCH</t>
  </si>
  <si>
    <t xml:space="preserve"> ************* APRIL *************</t>
  </si>
  <si>
    <t>APRIL</t>
  </si>
  <si>
    <t xml:space="preserve"> ************** MAY **************</t>
  </si>
  <si>
    <t xml:space="preserve"> ************** JUNE **************</t>
  </si>
  <si>
    <t xml:space="preserve"> ************** JULY **************</t>
  </si>
  <si>
    <t xml:space="preserve"> ************* AUGUST *************</t>
  </si>
  <si>
    <t>AUGUST</t>
  </si>
  <si>
    <t xml:space="preserve"> ************ SEPTEMBER ***********</t>
  </si>
  <si>
    <t xml:space="preserve"> ************* OCTOBER ************</t>
  </si>
  <si>
    <t xml:space="preserve"> ************ NOVEMBER ************</t>
  </si>
  <si>
    <t xml:space="preserve"> ************ DECEMBER ************</t>
  </si>
  <si>
    <t xml:space="preserve"> *********** YEAR TO DATE ***********</t>
  </si>
  <si>
    <t>YEARLY</t>
  </si>
  <si>
    <t xml:space="preserve">   ****************************</t>
  </si>
  <si>
    <t>Set FORM=66 LINES *</t>
  </si>
  <si>
    <t>|      #</t>
  </si>
  <si>
    <t xml:space="preserve"> CHEMICAL USAGE</t>
  </si>
  <si>
    <t xml:space="preserve">   TOTAL COST</t>
  </si>
  <si>
    <t>ACTUAL</t>
  </si>
  <si>
    <t>Sta.#</t>
  </si>
  <si>
    <t>Item #</t>
  </si>
  <si>
    <t>Code #</t>
  </si>
  <si>
    <t xml:space="preserve"> Description</t>
  </si>
  <si>
    <t>I.D. #</t>
  </si>
  <si>
    <t>1000 Gal.</t>
  </si>
  <si>
    <t>Units</t>
  </si>
  <si>
    <t>Type</t>
  </si>
  <si>
    <t>Amount</t>
  </si>
  <si>
    <t>Quantity</t>
  </si>
  <si>
    <t xml:space="preserve">    Cost   |</t>
  </si>
  <si>
    <t>BUDGET</t>
  </si>
  <si>
    <t>LAST YEAR</t>
  </si>
  <si>
    <t>-----------</t>
  </si>
  <si>
    <t>TURBIDITY (KY RIVER)</t>
  </si>
  <si>
    <t>Print monthly total company variance sheet</t>
  </si>
  <si>
    <t>380</t>
  </si>
  <si>
    <t>01</t>
  </si>
  <si>
    <t>09</t>
  </si>
  <si>
    <t>10</t>
  </si>
  <si>
    <t>Alum. Liquid        lbs.</t>
  </si>
  <si>
    <t>96 A</t>
  </si>
  <si>
    <t>.</t>
  </si>
  <si>
    <t>POLYALUMINUM CHLORIDE</t>
  </si>
  <si>
    <t>WASTE DISPOSAL</t>
  </si>
  <si>
    <t>96 B</t>
  </si>
  <si>
    <t>LIME, HYDRATED</t>
  </si>
  <si>
    <t>SYSTEM DELIVERY H.S. (M.G.)</t>
  </si>
  <si>
    <t>ALT-T</t>
  </si>
  <si>
    <t>/PPRA388..G442~AGQ</t>
  </si>
  <si>
    <t>12</t>
  </si>
  <si>
    <t>Caustic Soda        lbs.</t>
  </si>
  <si>
    <t>21</t>
  </si>
  <si>
    <t>CHEMICAL COST/M.G.</t>
  </si>
  <si>
    <t>GAC LEASE</t>
  </si>
  <si>
    <t>15</t>
  </si>
  <si>
    <t>Chlorine Ton        lbs.</t>
  </si>
  <si>
    <t>14</t>
  </si>
  <si>
    <t>POWDERED CARBON</t>
  </si>
  <si>
    <t>Print Report of monthly Operations</t>
  </si>
  <si>
    <t>Set FONT SOURCE = I *</t>
  </si>
  <si>
    <t>18</t>
  </si>
  <si>
    <t>F - Acid            lbs.</t>
  </si>
  <si>
    <t>POLYMERS-1</t>
  </si>
  <si>
    <t>Set FONT # = 21 *</t>
  </si>
  <si>
    <t>Set FORM=63 LINES *</t>
  </si>
  <si>
    <t>Polymer II          lbs.</t>
  </si>
  <si>
    <t>34</t>
  </si>
  <si>
    <t>69</t>
  </si>
  <si>
    <t>Corrosion Inhibitor      lbs.</t>
  </si>
  <si>
    <t>CAUSTIC SODA</t>
  </si>
  <si>
    <t xml:space="preserve">            3RD QUARTER</t>
  </si>
  <si>
    <t xml:space="preserve">            4TH QUARTER</t>
  </si>
  <si>
    <t>ALT-L</t>
  </si>
  <si>
    <t>/ppop63~QQ</t>
  </si>
  <si>
    <t>POT. PERMANGANATE</t>
  </si>
  <si>
    <t>/pprDD2..DQ118~agq</t>
  </si>
  <si>
    <t>27</t>
  </si>
  <si>
    <t>Catfloc B           lbs.</t>
  </si>
  <si>
    <t>30</t>
  </si>
  <si>
    <t>POLYMERS - 2</t>
  </si>
  <si>
    <t>SLUDGE POLYMER</t>
  </si>
  <si>
    <t>Calgon TG 10        lbs.</t>
  </si>
  <si>
    <t>29</t>
  </si>
  <si>
    <t>SODIUM THIOSULFATE</t>
  </si>
  <si>
    <t xml:space="preserve">  TOTAL</t>
  </si>
  <si>
    <t>33</t>
  </si>
  <si>
    <t>Potassium Perm.     lbs.</t>
  </si>
  <si>
    <t>17</t>
  </si>
  <si>
    <t>ALT-X</t>
  </si>
  <si>
    <t>/wdr</t>
  </si>
  <si>
    <t>36</t>
  </si>
  <si>
    <t>Sodium Silico Fluor lbs.</t>
  </si>
  <si>
    <t>16</t>
  </si>
  <si>
    <t xml:space="preserve">TURBIDITY </t>
  </si>
  <si>
    <t>39</t>
  </si>
  <si>
    <t>Polymer I           lbs.</t>
  </si>
  <si>
    <t>LOW SERVICE PUMPAGE (M.G.)</t>
  </si>
  <si>
    <t>ALT-H</t>
  </si>
  <si>
    <t>/wtc{home}</t>
  </si>
  <si>
    <t>CHEMICAL COST/M.G.woGAC+B7</t>
  </si>
  <si>
    <t>42</t>
  </si>
  <si>
    <t>Copper Sulfate      lbs.</t>
  </si>
  <si>
    <t>ALT-I</t>
  </si>
  <si>
    <t>{home}{goto}ct16~</t>
  </si>
  <si>
    <t>51</t>
  </si>
  <si>
    <t>Carbon Activated    lbs.</t>
  </si>
  <si>
    <t>19</t>
  </si>
  <si>
    <t>63</t>
  </si>
  <si>
    <t>Ammonia             lbs.</t>
  </si>
  <si>
    <t>57</t>
  </si>
  <si>
    <t>Lime, Pebble        lbs.</t>
  </si>
  <si>
    <t>11</t>
  </si>
  <si>
    <t>67</t>
  </si>
  <si>
    <t>Sodium Chloride     lbs.</t>
  </si>
  <si>
    <t>66</t>
  </si>
  <si>
    <t>Ferric Chloride     lbs.</t>
  </si>
  <si>
    <t>07</t>
  </si>
  <si>
    <t>68</t>
  </si>
  <si>
    <t>Polyalum. Chloride  lbs.</t>
  </si>
  <si>
    <t>PREPARED BY:</t>
  </si>
  <si>
    <t>_</t>
  </si>
  <si>
    <t>_______________     DATE:</t>
  </si>
  <si>
    <t>REVIEWED BY:</t>
  </si>
  <si>
    <t xml:space="preserve">    DATE: </t>
  </si>
  <si>
    <t xml:space="preserve">   COMPANY</t>
  </si>
  <si>
    <t>COMPANY</t>
  </si>
  <si>
    <t>LIME, PEBBLE</t>
  </si>
  <si>
    <t>::</t>
  </si>
  <si>
    <t xml:space="preserve">SHEET 4 of 5 </t>
  </si>
  <si>
    <t>Other</t>
  </si>
  <si>
    <t>05</t>
  </si>
  <si>
    <t>Lime, Hydrated      lbs.</t>
  </si>
  <si>
    <t>WD</t>
  </si>
  <si>
    <t>SYSDEL</t>
  </si>
  <si>
    <t>GAC</t>
  </si>
  <si>
    <t>LAST-YEAR</t>
  </si>
  <si>
    <t>LEASE</t>
  </si>
  <si>
    <t>TOTALS</t>
  </si>
  <si>
    <t>24</t>
  </si>
  <si>
    <t>J</t>
  </si>
  <si>
    <t xml:space="preserve">          TOTAL COMPANY</t>
  </si>
  <si>
    <t>F</t>
  </si>
  <si>
    <t>*************JANUARY*********</t>
  </si>
  <si>
    <t>***********TOTAL***********</t>
  </si>
  <si>
    <t>M</t>
  </si>
  <si>
    <t xml:space="preserve">    TOTAL COST</t>
  </si>
  <si>
    <t>A</t>
  </si>
  <si>
    <t>S</t>
  </si>
  <si>
    <t>O</t>
  </si>
  <si>
    <t>N</t>
  </si>
  <si>
    <t>D</t>
  </si>
  <si>
    <t>45</t>
  </si>
  <si>
    <t>48</t>
  </si>
  <si>
    <t>Magnifloc 847       lbs.</t>
  </si>
  <si>
    <t>Corrosion Inhibitor        lbs.</t>
  </si>
  <si>
    <t>61</t>
  </si>
  <si>
    <t>Sludge Polymer      lbs.</t>
  </si>
  <si>
    <t>64</t>
  </si>
  <si>
    <t>Sodium Thiosulfate  lbs.</t>
  </si>
  <si>
    <t>Ferric Chloride lbs.</t>
  </si>
  <si>
    <t xml:space="preserve">CHEMICAL COST/M.G. woGAC </t>
  </si>
  <si>
    <t>TOTAL PAGE</t>
  </si>
  <si>
    <t>Dollars</t>
  </si>
  <si>
    <t>QUANTITY</t>
  </si>
  <si>
    <t>COST</t>
  </si>
  <si>
    <t xml:space="preserve">Richmond Rd. </t>
  </si>
  <si>
    <t>Richmond Road Station total also includes</t>
  </si>
  <si>
    <t>Budget</t>
  </si>
  <si>
    <t>Sodium Thiosulfate and Sludge Polymer</t>
  </si>
  <si>
    <t>Actual</t>
  </si>
  <si>
    <t xml:space="preserve">LINE 11 - (FORM 68) - CHEMICALS    </t>
  </si>
  <si>
    <t>VARIANCE</t>
  </si>
  <si>
    <t>........</t>
  </si>
  <si>
    <t>costs combined at</t>
  </si>
  <si>
    <t xml:space="preserve">   UNIT COST</t>
  </si>
  <si>
    <t>Ky. River Station</t>
  </si>
  <si>
    <t>KYRS</t>
  </si>
  <si>
    <t>GAC LEASE COSTS</t>
  </si>
  <si>
    <t>EXPLANATIONS FOR VARIANCES:</t>
  </si>
  <si>
    <t>FOR CHEMICAL USE CHANGE DUE TO QUANTITY OF WATER TREATED:</t>
  </si>
  <si>
    <t>FOR CHEMICAL USE CHANGE DUE TO QUALITY OF WATER TREATED:</t>
  </si>
  <si>
    <t>FOR CHANGE IN CHEMICAL UNIT COST:</t>
  </si>
  <si>
    <t>TOTAL VARIANCE:</t>
  </si>
  <si>
    <t>KENTUCKY AMERICAN WATER COMPANY</t>
  </si>
  <si>
    <t>CHEMICAL VARIANCES BY USAGE CATEGORY</t>
  </si>
  <si>
    <t>VARIANCE.....</t>
  </si>
  <si>
    <t>$BUDGET</t>
  </si>
  <si>
    <t>$ACTUAL</t>
  </si>
  <si>
    <t>$VARIANCE</t>
  </si>
  <si>
    <t>COAGULATION</t>
  </si>
  <si>
    <t>...........</t>
  </si>
  <si>
    <t>FERRIC CHLORIDE:</t>
  </si>
  <si>
    <t>POLYMER:</t>
  </si>
  <si>
    <t>.............</t>
  </si>
  <si>
    <t>FILTER AID:</t>
  </si>
  <si>
    <t>............</t>
  </si>
  <si>
    <t>============================================================================</t>
  </si>
  <si>
    <t>COAGULATION TOTAL</t>
  </si>
  <si>
    <t>DISINFECTION</t>
  </si>
  <si>
    <t>CHLORINE:</t>
  </si>
  <si>
    <t>AMMONIA:</t>
  </si>
  <si>
    <t>SODIUM CHLORIDE:</t>
  </si>
  <si>
    <t>.........</t>
  </si>
  <si>
    <t>DISINFECTION TOTAL</t>
  </si>
  <si>
    <t xml:space="preserve">pH CONTROL            </t>
  </si>
  <si>
    <t xml:space="preserve">LIME HYDRATED: </t>
  </si>
  <si>
    <t>CORROSION INHIBITOR:</t>
  </si>
  <si>
    <t>CAUSTIC SODA:</t>
  </si>
  <si>
    <t>pH CONTROL TOTAL</t>
  </si>
  <si>
    <t>FLUORIDATION</t>
  </si>
  <si>
    <t>F-ACID:</t>
  </si>
  <si>
    <t>FLUORIDATION TOTAL</t>
  </si>
  <si>
    <t>WASTE DISPOSAL/SLUDGE POLYMER:.....</t>
  </si>
  <si>
    <t>DECHLORINATION/SODIUM THIOSULFATE: ....</t>
  </si>
  <si>
    <t xml:space="preserve">TASTE &amp; ODOR    </t>
  </si>
  <si>
    <t>POWDERED CARBON :</t>
  </si>
  <si>
    <t>COPPER SULFATE:</t>
  </si>
  <si>
    <t>POTASSIUM PERMANGANATE:</t>
  </si>
  <si>
    <t>TASTE &amp; ODOR TOTAL</t>
  </si>
  <si>
    <t>OVERALL TOTALS</t>
  </si>
  <si>
    <t xml:space="preserve">LINE 11 - (FORM 168) - CHEMICALS    </t>
  </si>
  <si>
    <t>MARCH  1987</t>
  </si>
  <si>
    <t>SODIUM CHLORITE</t>
  </si>
  <si>
    <t>ERR</t>
  </si>
  <si>
    <t>ALUM:</t>
  </si>
  <si>
    <t>POLYALUMINUM CHLORIDE:</t>
  </si>
  <si>
    <t>ACCRUED</t>
  </si>
  <si>
    <t>__</t>
  </si>
  <si>
    <t>SYSTEM DELIVERY H.S.  (M.G.)</t>
  </si>
  <si>
    <t>FOR CHANGE IN CHEMICAL USE DUE TO WATER TREATED:</t>
  </si>
  <si>
    <t>pH CONTROL</t>
  </si>
  <si>
    <t>FOR CHANGE IN USAGE DUE TO WATER TREATED:</t>
  </si>
  <si>
    <t>..........</t>
  </si>
  <si>
    <t>LIME PEBBLE:</t>
  </si>
  <si>
    <t>MARCH 1987</t>
  </si>
  <si>
    <t>TASTE &amp; ODOR</t>
  </si>
  <si>
    <t>CARBON:</t>
  </si>
  <si>
    <t>Total Company</t>
  </si>
  <si>
    <t>SODIUM CHLORITE:</t>
  </si>
  <si>
    <t>LIME HYDRATED:</t>
  </si>
  <si>
    <t xml:space="preserve"> CORROSION INHIBITOR:</t>
  </si>
  <si>
    <t>...............</t>
  </si>
  <si>
    <t>pH CONTROL:</t>
  </si>
  <si>
    <t xml:space="preserve">TASTE &amp; ODOR     CARBON : </t>
  </si>
  <si>
    <t>Year-to-Date</t>
  </si>
  <si>
    <t>ALUMINUM SULFATE</t>
  </si>
  <si>
    <t>ALUMINUM SULFATE:</t>
  </si>
  <si>
    <t>WASTE DISPOSAL/SLUDGE POLYMER: ....</t>
  </si>
  <si>
    <t>Richmond Road</t>
  </si>
  <si>
    <t>WASTE DISPOSAL/SLUDGE POLYMER: .....</t>
  </si>
  <si>
    <t xml:space="preserve">CARBON : </t>
  </si>
  <si>
    <t>Kentucky River</t>
  </si>
  <si>
    <t>First Quarter</t>
  </si>
  <si>
    <t xml:space="preserve">CORROSION INHIBITOR </t>
  </si>
  <si>
    <t>WASTE DISPOSAL/SLUDGE POLYMER:</t>
  </si>
  <si>
    <t>TASTE &amp; ODOR          CARBON:</t>
  </si>
  <si>
    <t>Second Quarter</t>
  </si>
  <si>
    <t xml:space="preserve">WASTE DISPOSAL/SLUDGE POLYMER: </t>
  </si>
  <si>
    <t>Third Quarter</t>
  </si>
  <si>
    <t>Fourth Quarter</t>
  </si>
  <si>
    <t>FOURTH QUARTER</t>
  </si>
  <si>
    <t>TASTE &amp; ODOR      CARBON:</t>
  </si>
  <si>
    <t>SYSTEM DELIVERY</t>
  </si>
  <si>
    <t>3-year averages</t>
  </si>
  <si>
    <t>Transfer</t>
  </si>
  <si>
    <t>120250.518000.13</t>
  </si>
  <si>
    <t>RRS TRT CHEM</t>
  </si>
  <si>
    <t>120251.518000.13</t>
  </si>
  <si>
    <t>KRS TRT CHEM</t>
  </si>
  <si>
    <t>120251.518001.13</t>
  </si>
  <si>
    <t>120252.518000.13</t>
  </si>
  <si>
    <t>125001.518000.13</t>
  </si>
  <si>
    <t>American Water</t>
  </si>
  <si>
    <r>
      <t>Increase/(</t>
    </r>
    <r>
      <rPr>
        <b/>
        <u/>
        <sz val="10"/>
        <color indexed="10"/>
        <rFont val="Arial"/>
        <family val="2"/>
      </rPr>
      <t>Decrease)</t>
    </r>
  </si>
  <si>
    <t>5 Year Y-o-Y Projected Changes</t>
  </si>
  <si>
    <t>AW Global Chemicals - SC Department Projections</t>
  </si>
  <si>
    <t xml:space="preserve">Aluminum Sulfate  </t>
  </si>
  <si>
    <t xml:space="preserve">Caustic Soda </t>
  </si>
  <si>
    <t xml:space="preserve">Chlorine  </t>
  </si>
  <si>
    <t xml:space="preserve">Ferric Chloride  </t>
  </si>
  <si>
    <t xml:space="preserve">Ferric Sulfate  </t>
  </si>
  <si>
    <t xml:space="preserve">HFS (Flouride)  </t>
  </si>
  <si>
    <t>Lime 10 Base</t>
  </si>
  <si>
    <t xml:space="preserve">Phosphates  </t>
  </si>
  <si>
    <t xml:space="preserve">Polymers 10  </t>
  </si>
  <si>
    <t xml:space="preserve">Sodium Hypochlorite </t>
  </si>
  <si>
    <t xml:space="preserve">Chemicals - Other  </t>
  </si>
  <si>
    <t>AW Global Energy Guidance - SC Department Projections</t>
  </si>
  <si>
    <t>Electricity</t>
  </si>
  <si>
    <t>See State Specific Guidance</t>
  </si>
  <si>
    <t>Natural Gas</t>
  </si>
  <si>
    <t>Direct Materials Outlook - SC Department Projections</t>
  </si>
  <si>
    <t xml:space="preserve">DuctiIe Iron Pipe </t>
  </si>
  <si>
    <t>Fuel Outlook - SC Department Projections</t>
  </si>
  <si>
    <t>Fleet Outlook</t>
  </si>
  <si>
    <t>Vehicle Cap Costs</t>
  </si>
  <si>
    <t>Vehicle Maintenance</t>
  </si>
  <si>
    <t>Labor &amp; Economy Outlook</t>
  </si>
  <si>
    <t>Unless Noted Separately:</t>
  </si>
  <si>
    <t>2012 BUDGET</t>
  </si>
  <si>
    <t>2013 BUDGET</t>
  </si>
  <si>
    <t>2014 BUDGET</t>
  </si>
  <si>
    <t>2013P</t>
  </si>
  <si>
    <t>2014P</t>
  </si>
  <si>
    <t>This spreadsheet was revised 01/11/12 based upon actual costs and system delivery.</t>
  </si>
  <si>
    <t>2011 BUDGET</t>
  </si>
  <si>
    <t>120217.518000.13</t>
  </si>
  <si>
    <t>TURBIDITY NTU</t>
  </si>
  <si>
    <t>123017.518000.13</t>
  </si>
  <si>
    <t>120217.518001.13</t>
  </si>
  <si>
    <t>This spreadsheet was revised 05/16/12 based upon actual pumpage and chemical usage through April 2012.</t>
  </si>
  <si>
    <t>NTU</t>
  </si>
  <si>
    <t>Supply Chain Forecast Guidance</t>
  </si>
  <si>
    <t>Updated 5/4/2012</t>
  </si>
  <si>
    <t>Copper</t>
  </si>
  <si>
    <t>Fleet Unleaded Fuel - 2013 Forecasted National Average $3.85 per Gal. (please adjust for your Region)</t>
  </si>
  <si>
    <t>Fleet Diesel Fuel - 2013 Forecasted National Average $4.20 per Gal. (please adjust for your Region)</t>
  </si>
  <si>
    <t>GDP Price Index  - Office of Budget and Management - Economic Assumptions 2013 Budget</t>
  </si>
  <si>
    <t>Consumer Price Index - Office of Budget and Management - Economic Assumptions 2013 Budget</t>
  </si>
  <si>
    <t>Employment Cost Index - Congressional Budget Office-The Budget and Economic Outlook:Fiscal Years 2012-2022</t>
  </si>
  <si>
    <t>All 2013-2017 Increases/&lt;Decreases&gt; are year-over-year adjustments based on January 2012 Actuals with the exception of Energy.  Energy changes for 2013 are based on change from 2011 Actuals.  All Energy changes after 2013 are based on price changes from the previous year.</t>
  </si>
  <si>
    <t>Copper-Voliatality still exists in copper market due to economic factors, labor issues and capacity constraints. ISCG forecast indicate average annual capacity growth is expected to be 3.7% in 2012/2013 with an average annual growth of 9.5% expected in the period 2013/2014.</t>
  </si>
  <si>
    <t xml:space="preserve">Scrap-Q1 2012 average price is the same as Q1 2011. Markets fluctuate during the year but scrap market seems to have leveled in 2011. </t>
  </si>
  <si>
    <t>Difference</t>
  </si>
  <si>
    <t xml:space="preserve">This spreadsheet was created 05/17/2012 with Supply Chain budget numbers from 05/17/2012 (e-mail from Gina Money) and system delivery pass 1 numbers from Gina Money 05/11/2012. </t>
  </si>
  <si>
    <t>2012 Budgeted System Delivery</t>
  </si>
  <si>
    <t>2012 Budget</t>
  </si>
  <si>
    <t>Calculated based upon contract pricing for 2012 with increases based upon Supply Chain projections dated 05/17/2012 and included in the Chemical Prices spreadsheet in this file.</t>
  </si>
  <si>
    <t>Based Upon 4-year Historical Averages from 2008 - 2011.</t>
  </si>
  <si>
    <t>CAPEX</t>
  </si>
  <si>
    <t xml:space="preserve">Based Upon 2011 usage due to the recent changes in treatment to prepare for Stage 2 DBP regulations. </t>
  </si>
  <si>
    <t>Based Upon 2011 usage.</t>
  </si>
  <si>
    <t>ROCKWELL VILLAGE</t>
  </si>
  <si>
    <t>3-year average usages</t>
  </si>
  <si>
    <t>4-year average usages</t>
  </si>
  <si>
    <t>2013-2014 ANNUAL BUSINESS PLAN</t>
  </si>
  <si>
    <t>Usage from Jacobson</t>
  </si>
  <si>
    <t>2012 System Delivery</t>
  </si>
  <si>
    <t>Sales</t>
  </si>
  <si>
    <t>2013 System Delivery</t>
  </si>
  <si>
    <t>Based upon 2nd pass system delivery from Gina Money 06/13/12.</t>
  </si>
  <si>
    <t>Pass 2.1 System Delivery</t>
  </si>
  <si>
    <t>Usage</t>
  </si>
  <si>
    <t>NRW %</t>
  </si>
  <si>
    <t xml:space="preserve">This spreadsheet was revised 06/26/2012 with Supply Chain budget numbers from 05/17/2012 (e-mail from Gina Money) and system delivery pass 3 numbers from Gina Money 06/25/2012. </t>
  </si>
  <si>
    <t>Pass 3 System Delivery</t>
  </si>
  <si>
    <t>Chemical Costs SD 2.1</t>
  </si>
  <si>
    <t>Chemical Costs SD 3</t>
  </si>
</sst>
</file>

<file path=xl/styles.xml><?xml version="1.0" encoding="utf-8"?>
<styleSheet xmlns="http://schemas.openxmlformats.org/spreadsheetml/2006/main">
  <numFmts count="28">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0.000"/>
    <numFmt numFmtId="165" formatCode="0.000_)"/>
    <numFmt numFmtId="166" formatCode="0_)"/>
    <numFmt numFmtId="167" formatCode="#,##0.000_);\(#,##0.000\)"/>
    <numFmt numFmtId="168" formatCode="0.0000_)"/>
    <numFmt numFmtId="169" formatCode="0.00_)"/>
    <numFmt numFmtId="170" formatCode="#,##0.0000_);\(#,##0.0000\)"/>
    <numFmt numFmtId="171" formatCode="_(* #,##0_);_(* \(#,##0\);_(* &quot;-&quot;??_);_(@_)"/>
    <numFmt numFmtId="172" formatCode="_(* #,##0.000_);_(* \(#,##0.000\);_(* &quot;-&quot;??_);_(@_)"/>
    <numFmt numFmtId="173" formatCode="0.0_)"/>
    <numFmt numFmtId="174" formatCode="&quot;$&quot;#,##0.00000"/>
    <numFmt numFmtId="175" formatCode="&quot;$&quot;#,##0"/>
    <numFmt numFmtId="176" formatCode="&quot;$&quot;#,##0.00"/>
    <numFmt numFmtId="177" formatCode="&quot;$&quot;#,##0.0000"/>
    <numFmt numFmtId="178" formatCode="&quot;$&quot;#,##0.000_);\(&quot;$&quot;#,##0.000\)"/>
    <numFmt numFmtId="179" formatCode="&quot;$&quot;#,##0.0000_);\(&quot;$&quot;#,##0.0000\)"/>
    <numFmt numFmtId="180" formatCode="0.0%"/>
    <numFmt numFmtId="181" formatCode="&quot;$&quot;#,##0.000"/>
    <numFmt numFmtId="182" formatCode="0.0"/>
    <numFmt numFmtId="183" formatCode="#,##0.0"/>
    <numFmt numFmtId="184" formatCode="#,##0.000"/>
    <numFmt numFmtId="185" formatCode="_(&quot;$&quot;* #,##0_);_(&quot;$&quot;* \(#,##0\);_(&quot;$&quot;* &quot;-&quot;??_);_(@_)"/>
    <numFmt numFmtId="186" formatCode="#,##0.000_);[Red]\(#,##0.000\)"/>
  </numFmts>
  <fonts count="52">
    <font>
      <sz val="10"/>
      <name val="Arial"/>
    </font>
    <font>
      <sz val="10"/>
      <name val="Arial"/>
    </font>
    <font>
      <b/>
      <sz val="10"/>
      <name val="Arial"/>
      <family val="2"/>
    </font>
    <font>
      <sz val="10"/>
      <name val="Arial"/>
      <family val="2"/>
    </font>
    <font>
      <sz val="10"/>
      <color indexed="12"/>
      <name val="Arial"/>
      <family val="2"/>
    </font>
    <font>
      <u/>
      <sz val="10"/>
      <name val="Arial"/>
      <family val="2"/>
    </font>
    <font>
      <sz val="8"/>
      <name val="Arial"/>
    </font>
    <font>
      <b/>
      <sz val="16"/>
      <name val="Helv"/>
    </font>
    <font>
      <sz val="16"/>
      <name val="Arial"/>
    </font>
    <font>
      <b/>
      <u/>
      <sz val="10"/>
      <name val="Arial"/>
      <family val="2"/>
    </font>
    <font>
      <sz val="12"/>
      <color indexed="12"/>
      <name val="Helv"/>
    </font>
    <font>
      <b/>
      <sz val="12"/>
      <color indexed="12"/>
      <name val="Helv"/>
    </font>
    <font>
      <b/>
      <sz val="12"/>
      <color indexed="10"/>
      <name val="Helv"/>
    </font>
    <font>
      <b/>
      <sz val="16"/>
      <name val="Arial"/>
    </font>
    <font>
      <b/>
      <sz val="12"/>
      <name val="Helv"/>
    </font>
    <font>
      <b/>
      <sz val="16"/>
      <color indexed="10"/>
      <name val="Helv"/>
    </font>
    <font>
      <sz val="16"/>
      <color indexed="10"/>
      <name val="Helv"/>
    </font>
    <font>
      <sz val="12"/>
      <name val="Arial"/>
    </font>
    <font>
      <b/>
      <sz val="16"/>
      <name val="Arial"/>
      <family val="2"/>
    </font>
    <font>
      <sz val="12"/>
      <color indexed="12"/>
      <name val="Arial"/>
      <family val="2"/>
    </font>
    <font>
      <b/>
      <sz val="14"/>
      <name val="Arial"/>
      <family val="2"/>
    </font>
    <font>
      <b/>
      <sz val="10"/>
      <color indexed="10"/>
      <name val="Arial"/>
      <family val="2"/>
    </font>
    <font>
      <sz val="10"/>
      <color indexed="8"/>
      <name val="Arial"/>
      <family val="2"/>
    </font>
    <font>
      <b/>
      <sz val="10"/>
      <name val="Arial"/>
    </font>
    <font>
      <b/>
      <sz val="12"/>
      <name val="Arial"/>
      <family val="2"/>
    </font>
    <font>
      <sz val="12"/>
      <name val="Arial"/>
      <family val="2"/>
    </font>
    <font>
      <sz val="10"/>
      <color indexed="12"/>
      <name val="Arial"/>
    </font>
    <font>
      <b/>
      <u/>
      <sz val="10"/>
      <color indexed="10"/>
      <name val="Arial"/>
      <family val="2"/>
    </font>
    <font>
      <b/>
      <i/>
      <u/>
      <sz val="10"/>
      <name val="Arial"/>
      <family val="2"/>
    </font>
    <font>
      <b/>
      <i/>
      <sz val="10"/>
      <name val="Arial"/>
      <family val="2"/>
    </font>
    <font>
      <b/>
      <sz val="12"/>
      <color indexed="10"/>
      <name val="Arial"/>
      <family val="2"/>
    </font>
    <font>
      <b/>
      <sz val="8"/>
      <color indexed="81"/>
      <name val="Tahoma"/>
      <family val="2"/>
    </font>
    <font>
      <sz val="8"/>
      <color indexed="81"/>
      <name val="Tahoma"/>
      <family val="2"/>
    </font>
    <font>
      <b/>
      <sz val="8"/>
      <color indexed="81"/>
      <name val="Tahoma"/>
    </font>
    <font>
      <sz val="8"/>
      <color indexed="81"/>
      <name val="Tahoma"/>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4"/>
        <bgColor indexed="64"/>
      </patternFill>
    </fill>
    <fill>
      <patternFill patternType="solid">
        <fgColor indexed="50"/>
        <bgColor indexed="64"/>
      </patternFill>
    </fill>
    <fill>
      <patternFill patternType="solid">
        <fgColor indexed="46"/>
        <bgColor indexed="64"/>
      </patternFill>
    </fill>
    <fill>
      <patternFill patternType="solid">
        <fgColor indexed="45"/>
        <bgColor indexed="64"/>
      </patternFill>
    </fill>
    <fill>
      <patternFill patternType="solid">
        <fgColor indexed="13"/>
        <bgColor indexed="64"/>
      </patternFill>
    </fill>
    <fill>
      <patternFill patternType="solid">
        <fgColor indexed="9"/>
        <bgColor indexed="64"/>
      </patternFill>
    </fill>
    <fill>
      <patternFill patternType="solid">
        <fgColor indexed="11"/>
        <bgColor indexed="64"/>
      </patternFill>
    </fill>
    <fill>
      <patternFill patternType="solid">
        <fgColor indexed="42"/>
        <bgColor indexed="64"/>
      </patternFill>
    </fill>
    <fill>
      <patternFill patternType="solid">
        <fgColor indexed="22"/>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55">
    <xf numFmtId="0" fontId="0"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7" fillId="3" borderId="0" applyNumberFormat="0" applyBorder="0" applyAlignment="0" applyProtection="0"/>
    <xf numFmtId="0" fontId="38" fillId="20" borderId="1" applyNumberFormat="0" applyAlignment="0" applyProtection="0"/>
    <xf numFmtId="0" fontId="39" fillId="21" borderId="2" applyNumberFormat="0" applyAlignment="0" applyProtection="0"/>
    <xf numFmtId="43" fontId="1"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0" fontId="40" fillId="0" borderId="0" applyNumberFormat="0" applyFill="0" applyBorder="0" applyAlignment="0" applyProtection="0"/>
    <xf numFmtId="0" fontId="41" fillId="4"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1" applyNumberFormat="0" applyAlignment="0" applyProtection="0"/>
    <xf numFmtId="0" fontId="46" fillId="0" borderId="6" applyNumberFormat="0" applyFill="0" applyAlignment="0" applyProtection="0"/>
    <xf numFmtId="0" fontId="47" fillId="22" borderId="0" applyNumberFormat="0" applyBorder="0" applyAlignment="0" applyProtection="0"/>
    <xf numFmtId="0" fontId="22" fillId="0" borderId="0"/>
    <xf numFmtId="0" fontId="1" fillId="0" borderId="0"/>
    <xf numFmtId="0" fontId="17" fillId="0" borderId="0"/>
    <xf numFmtId="175" fontId="17" fillId="0" borderId="0"/>
    <xf numFmtId="0" fontId="1" fillId="0" borderId="0"/>
    <xf numFmtId="0" fontId="3" fillId="0" borderId="0"/>
    <xf numFmtId="0" fontId="3" fillId="0" borderId="0"/>
    <xf numFmtId="0" fontId="22" fillId="23" borderId="7" applyNumberFormat="0" applyFont="0" applyAlignment="0" applyProtection="0"/>
    <xf numFmtId="0" fontId="48" fillId="20" borderId="8" applyNumberFormat="0" applyAlignment="0" applyProtection="0"/>
    <xf numFmtId="9" fontId="1" fillId="0" borderId="0" applyFont="0" applyFill="0" applyBorder="0" applyAlignment="0" applyProtection="0"/>
    <xf numFmtId="9" fontId="22" fillId="0" borderId="0" applyFont="0" applyFill="0" applyBorder="0" applyAlignment="0" applyProtection="0"/>
    <xf numFmtId="0" fontId="49" fillId="0" borderId="0" applyNumberFormat="0" applyFill="0" applyBorder="0" applyAlignment="0" applyProtection="0"/>
    <xf numFmtId="0" fontId="50" fillId="0" borderId="9" applyNumberFormat="0" applyFill="0" applyAlignment="0" applyProtection="0"/>
    <xf numFmtId="0" fontId="51" fillId="0" borderId="0" applyNumberFormat="0" applyFill="0" applyBorder="0" applyAlignment="0" applyProtection="0"/>
  </cellStyleXfs>
  <cellXfs count="660">
    <xf numFmtId="0" fontId="0" fillId="0" borderId="0" xfId="0"/>
    <xf numFmtId="0" fontId="3" fillId="0" borderId="0" xfId="0" applyFont="1"/>
    <xf numFmtId="0" fontId="3" fillId="0" borderId="0" xfId="0" applyFont="1" applyFill="1"/>
    <xf numFmtId="0" fontId="0" fillId="0" borderId="0" xfId="0" applyFill="1"/>
    <xf numFmtId="0" fontId="0" fillId="0" borderId="0" xfId="0" applyFill="1" applyAlignment="1">
      <alignment wrapText="1"/>
    </xf>
    <xf numFmtId="0" fontId="3" fillId="24" borderId="0" xfId="0" applyFont="1" applyFill="1"/>
    <xf numFmtId="0" fontId="3" fillId="0" borderId="0" xfId="0" applyFont="1" applyFill="1" applyAlignment="1" applyProtection="1">
      <alignment horizontal="fill"/>
    </xf>
    <xf numFmtId="1" fontId="0" fillId="0" borderId="0" xfId="0" applyNumberFormat="1"/>
    <xf numFmtId="0" fontId="0" fillId="0" borderId="0" xfId="0" applyAlignment="1" applyProtection="1">
      <alignment horizontal="left"/>
    </xf>
    <xf numFmtId="0" fontId="0" fillId="0" borderId="0" xfId="0" applyAlignment="1" applyProtection="1">
      <alignment horizontal="fill"/>
    </xf>
    <xf numFmtId="0" fontId="0" fillId="0" borderId="0" xfId="0" applyFill="1" applyAlignment="1" applyProtection="1">
      <alignment horizontal="fill" wrapText="1"/>
    </xf>
    <xf numFmtId="0" fontId="0" fillId="0" borderId="0" xfId="0" applyFill="1" applyAlignment="1" applyProtection="1">
      <alignment horizontal="left"/>
    </xf>
    <xf numFmtId="0" fontId="9" fillId="24" borderId="0" xfId="0" applyFont="1" applyFill="1" applyBorder="1"/>
    <xf numFmtId="0" fontId="3" fillId="25" borderId="0" xfId="0" applyFont="1" applyFill="1" applyBorder="1"/>
    <xf numFmtId="0" fontId="3" fillId="25" borderId="0" xfId="0" applyFont="1" applyFill="1"/>
    <xf numFmtId="0" fontId="0" fillId="0" borderId="0" xfId="0" applyAlignment="1" applyProtection="1">
      <alignment horizontal="center"/>
    </xf>
    <xf numFmtId="0" fontId="10" fillId="0" borderId="0" xfId="0" applyFont="1" applyAlignment="1" applyProtection="1">
      <alignment horizontal="left"/>
      <protection locked="0"/>
    </xf>
    <xf numFmtId="0" fontId="11" fillId="0" borderId="0" xfId="0" quotePrefix="1" applyFont="1" applyFill="1" applyAlignment="1" applyProtection="1">
      <alignment horizontal="left" wrapText="1"/>
    </xf>
    <xf numFmtId="0" fontId="3" fillId="25" borderId="0" xfId="0" quotePrefix="1" applyFont="1" applyFill="1" applyAlignment="1">
      <alignment horizontal="left"/>
    </xf>
    <xf numFmtId="0" fontId="0" fillId="0" borderId="0" xfId="0" applyFill="1" applyAlignment="1" applyProtection="1">
      <alignment horizontal="left" wrapText="1"/>
    </xf>
    <xf numFmtId="0" fontId="2" fillId="24" borderId="10" xfId="0" applyFont="1" applyFill="1" applyBorder="1" applyAlignment="1">
      <alignment horizontal="center"/>
    </xf>
    <xf numFmtId="0" fontId="2" fillId="25" borderId="10" xfId="0" applyFont="1" applyFill="1" applyBorder="1" applyAlignment="1">
      <alignment horizontal="center"/>
    </xf>
    <xf numFmtId="0" fontId="2" fillId="24" borderId="10" xfId="0" applyFont="1" applyFill="1" applyBorder="1" applyAlignment="1" applyProtection="1">
      <alignment horizontal="center"/>
    </xf>
    <xf numFmtId="0" fontId="2" fillId="25" borderId="10" xfId="0" applyFont="1" applyFill="1" applyBorder="1" applyAlignment="1" applyProtection="1">
      <alignment horizontal="center"/>
    </xf>
    <xf numFmtId="0" fontId="3" fillId="0" borderId="10" xfId="0" applyFont="1" applyFill="1" applyBorder="1" applyAlignment="1" applyProtection="1">
      <alignment horizontal="right"/>
    </xf>
    <xf numFmtId="164" fontId="2" fillId="24" borderId="10" xfId="0" applyNumberFormat="1" applyFont="1" applyFill="1" applyBorder="1"/>
    <xf numFmtId="164" fontId="2" fillId="25" borderId="10" xfId="0" applyNumberFormat="1" applyFont="1" applyFill="1" applyBorder="1"/>
    <xf numFmtId="165" fontId="3" fillId="0" borderId="11" xfId="0" applyNumberFormat="1" applyFont="1" applyFill="1" applyBorder="1" applyProtection="1"/>
    <xf numFmtId="0" fontId="0" fillId="0" borderId="12" xfId="0" applyFill="1" applyBorder="1" applyAlignment="1" applyProtection="1">
      <alignment horizontal="left" wrapText="1"/>
    </xf>
    <xf numFmtId="0" fontId="0" fillId="0" borderId="13" xfId="0" applyFill="1" applyBorder="1" applyAlignment="1" applyProtection="1">
      <alignment horizontal="right"/>
    </xf>
    <xf numFmtId="169" fontId="4" fillId="24" borderId="14" xfId="0" applyNumberFormat="1" applyFont="1" applyFill="1" applyBorder="1" applyProtection="1">
      <protection locked="0"/>
    </xf>
    <xf numFmtId="169" fontId="4" fillId="25" borderId="14" xfId="0" applyNumberFormat="1" applyFont="1" applyFill="1" applyBorder="1" applyProtection="1">
      <protection locked="0"/>
    </xf>
    <xf numFmtId="173" fontId="3" fillId="0" borderId="15" xfId="0" applyNumberFormat="1" applyFont="1" applyFill="1" applyBorder="1" applyProtection="1"/>
    <xf numFmtId="0" fontId="0" fillId="0" borderId="0" xfId="0" applyProtection="1"/>
    <xf numFmtId="0" fontId="0" fillId="0" borderId="16" xfId="0" applyFill="1" applyBorder="1" applyAlignment="1" applyProtection="1">
      <alignment horizontal="left" wrapText="1"/>
    </xf>
    <xf numFmtId="0" fontId="0" fillId="0" borderId="0" xfId="0" applyFill="1" applyBorder="1" applyAlignment="1" applyProtection="1">
      <alignment horizontal="right"/>
    </xf>
    <xf numFmtId="37" fontId="3" fillId="24" borderId="10" xfId="0" applyNumberFormat="1" applyFont="1" applyFill="1" applyBorder="1" applyProtection="1"/>
    <xf numFmtId="37" fontId="3" fillId="25" borderId="10" xfId="0" applyNumberFormat="1" applyFont="1" applyFill="1" applyBorder="1" applyProtection="1"/>
    <xf numFmtId="37" fontId="3" fillId="0" borderId="17" xfId="0" applyNumberFormat="1" applyFont="1" applyFill="1" applyBorder="1" applyProtection="1"/>
    <xf numFmtId="170" fontId="0" fillId="0" borderId="0" xfId="0" applyNumberFormat="1" applyProtection="1"/>
    <xf numFmtId="168" fontId="0" fillId="0" borderId="0" xfId="0" applyNumberFormat="1" applyProtection="1"/>
    <xf numFmtId="10" fontId="0" fillId="0" borderId="0" xfId="0" applyNumberFormat="1" applyProtection="1"/>
    <xf numFmtId="0" fontId="0" fillId="0" borderId="16" xfId="0" applyFill="1" applyBorder="1" applyAlignment="1">
      <alignment wrapText="1"/>
    </xf>
    <xf numFmtId="174" fontId="4" fillId="24" borderId="10" xfId="0" applyNumberFormat="1" applyFont="1" applyFill="1" applyBorder="1" applyProtection="1">
      <protection locked="0"/>
    </xf>
    <xf numFmtId="174" fontId="4" fillId="25" borderId="10" xfId="0" applyNumberFormat="1" applyFont="1" applyFill="1" applyBorder="1" applyProtection="1">
      <protection locked="0"/>
    </xf>
    <xf numFmtId="174" fontId="3" fillId="0" borderId="17" xfId="0" applyNumberFormat="1" applyFont="1" applyFill="1" applyBorder="1" applyProtection="1"/>
    <xf numFmtId="37" fontId="10" fillId="0" borderId="0" xfId="0" applyNumberFormat="1" applyFont="1" applyProtection="1">
      <protection locked="0"/>
    </xf>
    <xf numFmtId="37" fontId="0" fillId="0" borderId="0" xfId="0" applyNumberFormat="1" applyProtection="1"/>
    <xf numFmtId="175" fontId="3" fillId="24" borderId="10" xfId="0" applyNumberFormat="1" applyFont="1" applyFill="1" applyBorder="1" applyProtection="1"/>
    <xf numFmtId="175" fontId="3" fillId="25" borderId="10" xfId="0" applyNumberFormat="1" applyFont="1" applyFill="1" applyBorder="1" applyProtection="1"/>
    <xf numFmtId="175" fontId="3" fillId="0" borderId="17" xfId="0" applyNumberFormat="1" applyFont="1" applyFill="1" applyBorder="1" applyProtection="1"/>
    <xf numFmtId="0" fontId="0" fillId="0" borderId="18" xfId="0" applyFill="1" applyBorder="1" applyAlignment="1">
      <alignment wrapText="1"/>
    </xf>
    <xf numFmtId="0" fontId="0" fillId="0" borderId="19" xfId="0" applyFill="1" applyBorder="1" applyAlignment="1" applyProtection="1">
      <alignment horizontal="right"/>
    </xf>
    <xf numFmtId="7" fontId="3" fillId="24" borderId="20" xfId="0" applyNumberFormat="1" applyFont="1" applyFill="1" applyBorder="1" applyProtection="1"/>
    <xf numFmtId="7" fontId="3" fillId="25" borderId="20" xfId="0" applyNumberFormat="1" applyFont="1" applyFill="1" applyBorder="1" applyProtection="1"/>
    <xf numFmtId="7" fontId="3" fillId="0" borderId="21" xfId="0" applyNumberFormat="1" applyFont="1" applyFill="1" applyBorder="1" applyProtection="1"/>
    <xf numFmtId="39" fontId="10" fillId="0" borderId="0" xfId="0" applyNumberFormat="1" applyFont="1" applyProtection="1">
      <protection locked="0"/>
    </xf>
    <xf numFmtId="39" fontId="0" fillId="0" borderId="0" xfId="0" applyNumberFormat="1" applyProtection="1"/>
    <xf numFmtId="167" fontId="0" fillId="0" borderId="0" xfId="0" applyNumberFormat="1" applyProtection="1"/>
    <xf numFmtId="165" fontId="0" fillId="0" borderId="0" xfId="0" applyNumberFormat="1" applyProtection="1"/>
    <xf numFmtId="169" fontId="0" fillId="0" borderId="0" xfId="0" applyNumberFormat="1" applyProtection="1"/>
    <xf numFmtId="168" fontId="0" fillId="0" borderId="0" xfId="0" applyNumberFormat="1" applyAlignment="1" applyProtection="1">
      <alignment horizontal="left"/>
    </xf>
    <xf numFmtId="168" fontId="0" fillId="0" borderId="0" xfId="0" applyNumberFormat="1" applyAlignment="1" applyProtection="1">
      <alignment horizontal="center"/>
    </xf>
    <xf numFmtId="0" fontId="10" fillId="0" borderId="0" xfId="0" applyFont="1" applyProtection="1">
      <protection locked="0"/>
    </xf>
    <xf numFmtId="175" fontId="0" fillId="0" borderId="0" xfId="0" applyNumberFormat="1"/>
    <xf numFmtId="166" fontId="3" fillId="24" borderId="10" xfId="0" applyNumberFormat="1" applyFont="1" applyFill="1" applyBorder="1" applyProtection="1"/>
    <xf numFmtId="166" fontId="3" fillId="25" borderId="10" xfId="0" applyNumberFormat="1" applyFont="1" applyFill="1" applyBorder="1" applyProtection="1"/>
    <xf numFmtId="166" fontId="3" fillId="0" borderId="17" xfId="0" applyNumberFormat="1" applyFont="1" applyFill="1" applyBorder="1" applyProtection="1"/>
    <xf numFmtId="166" fontId="0" fillId="0" borderId="0" xfId="0" applyNumberFormat="1" applyProtection="1"/>
    <xf numFmtId="0" fontId="0" fillId="0" borderId="12" xfId="0" applyFill="1" applyBorder="1" applyAlignment="1">
      <alignment wrapText="1"/>
    </xf>
    <xf numFmtId="10" fontId="0" fillId="0" borderId="0" xfId="0" applyNumberFormat="1" applyAlignment="1" applyProtection="1">
      <alignment horizontal="fill"/>
    </xf>
    <xf numFmtId="10" fontId="0" fillId="0" borderId="0" xfId="0" applyNumberFormat="1" applyAlignment="1" applyProtection="1">
      <alignment horizontal="center"/>
    </xf>
    <xf numFmtId="0" fontId="10" fillId="0" borderId="0" xfId="0" applyFont="1" applyAlignment="1" applyProtection="1">
      <alignment horizontal="center"/>
      <protection locked="0"/>
    </xf>
    <xf numFmtId="0" fontId="0" fillId="0" borderId="0" xfId="0" applyFill="1" applyAlignment="1" applyProtection="1">
      <alignment horizontal="fill"/>
    </xf>
    <xf numFmtId="0" fontId="3" fillId="24" borderId="0" xfId="0" applyFont="1" applyFill="1" applyAlignment="1" applyProtection="1">
      <alignment horizontal="fill"/>
    </xf>
    <xf numFmtId="0" fontId="3" fillId="25" borderId="0" xfId="0" applyFont="1" applyFill="1" applyAlignment="1" applyProtection="1">
      <alignment horizontal="fill"/>
    </xf>
    <xf numFmtId="165" fontId="0" fillId="0" borderId="0" xfId="0" applyNumberFormat="1" applyAlignment="1" applyProtection="1">
      <alignment horizontal="fill"/>
    </xf>
    <xf numFmtId="0" fontId="0" fillId="0" borderId="12" xfId="0" applyFont="1" applyFill="1" applyBorder="1" applyAlignment="1" applyProtection="1">
      <alignment horizontal="left" wrapText="1"/>
    </xf>
    <xf numFmtId="166" fontId="3" fillId="24" borderId="14" xfId="0" applyNumberFormat="1" applyFont="1" applyFill="1" applyBorder="1" applyProtection="1"/>
    <xf numFmtId="166" fontId="3" fillId="25" borderId="14" xfId="0" applyNumberFormat="1" applyFont="1" applyFill="1" applyBorder="1" applyProtection="1"/>
    <xf numFmtId="167" fontId="10" fillId="0" borderId="0" xfId="0" applyNumberFormat="1" applyFont="1" applyProtection="1">
      <protection locked="0"/>
    </xf>
    <xf numFmtId="174" fontId="4" fillId="24" borderId="10" xfId="0" applyNumberFormat="1" applyFont="1" applyFill="1" applyBorder="1" applyProtection="1"/>
    <xf numFmtId="174" fontId="4" fillId="25" borderId="10" xfId="0" applyNumberFormat="1" applyFont="1" applyFill="1" applyBorder="1" applyProtection="1"/>
    <xf numFmtId="0" fontId="12" fillId="0" borderId="16" xfId="0" quotePrefix="1" applyFont="1" applyFill="1" applyBorder="1" applyAlignment="1">
      <alignment wrapText="1"/>
    </xf>
    <xf numFmtId="175" fontId="3" fillId="24" borderId="13" xfId="0" applyNumberFormat="1" applyFont="1" applyFill="1" applyBorder="1" applyProtection="1"/>
    <xf numFmtId="175" fontId="3" fillId="25" borderId="13" xfId="0" applyNumberFormat="1" applyFont="1" applyFill="1" applyBorder="1" applyProtection="1"/>
    <xf numFmtId="175" fontId="3" fillId="0" borderId="22" xfId="0" applyNumberFormat="1" applyFont="1" applyFill="1" applyBorder="1" applyProtection="1"/>
    <xf numFmtId="0" fontId="0" fillId="0" borderId="0" xfId="0" applyFill="1" applyBorder="1"/>
    <xf numFmtId="0" fontId="3" fillId="24" borderId="0" xfId="0" applyFont="1" applyFill="1" applyBorder="1"/>
    <xf numFmtId="0" fontId="3" fillId="0" borderId="23" xfId="0" applyFont="1" applyFill="1" applyBorder="1"/>
    <xf numFmtId="0" fontId="12" fillId="0" borderId="18" xfId="0" quotePrefix="1" applyFont="1" applyFill="1" applyBorder="1" applyAlignment="1">
      <alignment wrapText="1"/>
    </xf>
    <xf numFmtId="0" fontId="0" fillId="0" borderId="19" xfId="0" applyFill="1" applyBorder="1"/>
    <xf numFmtId="0" fontId="3" fillId="24" borderId="19" xfId="0" applyFont="1" applyFill="1" applyBorder="1"/>
    <xf numFmtId="176" fontId="3" fillId="25" borderId="19" xfId="0" applyNumberFormat="1" applyFont="1" applyFill="1" applyBorder="1"/>
    <xf numFmtId="0" fontId="3" fillId="25" borderId="19" xfId="0" applyFont="1" applyFill="1" applyBorder="1"/>
    <xf numFmtId="0" fontId="3" fillId="0" borderId="24" xfId="0" applyFont="1" applyFill="1" applyBorder="1"/>
    <xf numFmtId="0" fontId="5" fillId="24" borderId="0" xfId="0" applyFont="1" applyFill="1"/>
    <xf numFmtId="0" fontId="5" fillId="25" borderId="0" xfId="0" applyFont="1" applyFill="1"/>
    <xf numFmtId="0" fontId="14" fillId="0" borderId="0" xfId="0" applyFont="1" applyFill="1" applyAlignment="1" applyProtection="1">
      <alignment wrapText="1"/>
    </xf>
    <xf numFmtId="0" fontId="0" fillId="0" borderId="0" xfId="0" applyFill="1" applyAlignment="1" applyProtection="1">
      <alignment wrapText="1"/>
    </xf>
    <xf numFmtId="167" fontId="2" fillId="24" borderId="20" xfId="0" applyNumberFormat="1" applyFont="1" applyFill="1" applyBorder="1"/>
    <xf numFmtId="167" fontId="2" fillId="25" borderId="20" xfId="0" applyNumberFormat="1" applyFont="1" applyFill="1" applyBorder="1"/>
    <xf numFmtId="167" fontId="3" fillId="0" borderId="11" xfId="0" applyNumberFormat="1" applyFont="1" applyFill="1" applyBorder="1" applyProtection="1"/>
    <xf numFmtId="0" fontId="0" fillId="0" borderId="16" xfId="0" quotePrefix="1" applyFill="1" applyBorder="1" applyAlignment="1" applyProtection="1">
      <alignment horizontal="left" wrapText="1"/>
    </xf>
    <xf numFmtId="49" fontId="12" fillId="0" borderId="25" xfId="0" applyNumberFormat="1" applyFont="1" applyFill="1" applyBorder="1" applyAlignment="1" applyProtection="1">
      <alignment horizontal="fill" wrapText="1"/>
    </xf>
    <xf numFmtId="0" fontId="0" fillId="0" borderId="26" xfId="0" applyFill="1" applyBorder="1" applyAlignment="1" applyProtection="1">
      <alignment horizontal="fill"/>
    </xf>
    <xf numFmtId="39" fontId="3" fillId="24" borderId="26" xfId="0" applyNumberFormat="1" applyFont="1" applyFill="1" applyBorder="1" applyAlignment="1" applyProtection="1">
      <alignment horizontal="right"/>
    </xf>
    <xf numFmtId="39" fontId="3" fillId="25" borderId="26" xfId="0" applyNumberFormat="1" applyFont="1" applyFill="1" applyBorder="1" applyAlignment="1" applyProtection="1">
      <alignment horizontal="right"/>
    </xf>
    <xf numFmtId="39" fontId="3" fillId="0" borderId="27" xfId="0" applyNumberFormat="1" applyFont="1" applyFill="1" applyBorder="1" applyAlignment="1" applyProtection="1">
      <alignment horizontal="right"/>
    </xf>
    <xf numFmtId="7" fontId="0" fillId="0" borderId="0" xfId="0" applyNumberFormat="1" applyAlignment="1" applyProtection="1">
      <alignment horizontal="fill"/>
    </xf>
    <xf numFmtId="164" fontId="2" fillId="24" borderId="11" xfId="0" applyNumberFormat="1" applyFont="1" applyFill="1" applyBorder="1"/>
    <xf numFmtId="164" fontId="2" fillId="25" borderId="20" xfId="0" applyNumberFormat="1" applyFont="1" applyFill="1" applyBorder="1"/>
    <xf numFmtId="164" fontId="2" fillId="24" borderId="20" xfId="0" applyNumberFormat="1" applyFont="1" applyFill="1" applyBorder="1"/>
    <xf numFmtId="173" fontId="4" fillId="24" borderId="14" xfId="0" applyNumberFormat="1" applyFont="1" applyFill="1" applyBorder="1" applyProtection="1">
      <protection locked="0"/>
    </xf>
    <xf numFmtId="173" fontId="4" fillId="25" borderId="14" xfId="0" applyNumberFormat="1" applyFont="1" applyFill="1" applyBorder="1" applyProtection="1">
      <protection locked="0"/>
    </xf>
    <xf numFmtId="0" fontId="11" fillId="0" borderId="0" xfId="0" applyFont="1" applyFill="1" applyAlignment="1" applyProtection="1">
      <alignment wrapText="1"/>
    </xf>
    <xf numFmtId="0" fontId="2" fillId="0" borderId="10" xfId="0" applyFont="1" applyFill="1" applyBorder="1" applyAlignment="1" applyProtection="1">
      <alignment horizontal="right"/>
    </xf>
    <xf numFmtId="167" fontId="2" fillId="24" borderId="10" xfId="0" applyNumberFormat="1" applyFont="1" applyFill="1" applyBorder="1" applyProtection="1"/>
    <xf numFmtId="167" fontId="2" fillId="25" borderId="10" xfId="0" applyNumberFormat="1" applyFont="1" applyFill="1" applyBorder="1" applyProtection="1"/>
    <xf numFmtId="167" fontId="2" fillId="0" borderId="10" xfId="0" applyNumberFormat="1" applyFont="1" applyFill="1" applyBorder="1" applyProtection="1"/>
    <xf numFmtId="173" fontId="4" fillId="24" borderId="14" xfId="0" applyNumberFormat="1" applyFont="1" applyFill="1" applyBorder="1" applyProtection="1"/>
    <xf numFmtId="173" fontId="4" fillId="25" borderId="14" xfId="0" applyNumberFormat="1" applyFont="1" applyFill="1" applyBorder="1" applyProtection="1"/>
    <xf numFmtId="177" fontId="4" fillId="25" borderId="10" xfId="0" applyNumberFormat="1" applyFont="1" applyFill="1" applyBorder="1" applyProtection="1"/>
    <xf numFmtId="177" fontId="4" fillId="24" borderId="10" xfId="0" applyNumberFormat="1" applyFont="1" applyFill="1" applyBorder="1" applyProtection="1"/>
    <xf numFmtId="0" fontId="0" fillId="0" borderId="0" xfId="0" quotePrefix="1" applyAlignment="1" applyProtection="1">
      <alignment horizontal="center"/>
    </xf>
    <xf numFmtId="178" fontId="4" fillId="25" borderId="10" xfId="0" applyNumberFormat="1" applyFont="1" applyFill="1" applyBorder="1"/>
    <xf numFmtId="178" fontId="4" fillId="24" borderId="10" xfId="0" applyNumberFormat="1" applyFont="1" applyFill="1" applyBorder="1"/>
    <xf numFmtId="0" fontId="0" fillId="0" borderId="18" xfId="0" applyFill="1" applyBorder="1" applyAlignment="1" applyProtection="1">
      <alignment horizontal="left" wrapText="1"/>
    </xf>
    <xf numFmtId="176" fontId="3" fillId="25" borderId="20" xfId="0" applyNumberFormat="1" applyFont="1" applyFill="1" applyBorder="1"/>
    <xf numFmtId="176" fontId="3" fillId="24" borderId="20" xfId="0" applyNumberFormat="1" applyFont="1" applyFill="1" applyBorder="1"/>
    <xf numFmtId="0" fontId="0" fillId="0" borderId="18" xfId="0" quotePrefix="1" applyFill="1" applyBorder="1" applyAlignment="1" applyProtection="1">
      <alignment horizontal="left" wrapText="1"/>
    </xf>
    <xf numFmtId="0" fontId="12" fillId="0" borderId="12" xfId="0" applyFont="1" applyFill="1" applyBorder="1" applyAlignment="1" applyProtection="1">
      <alignment horizontal="left" wrapText="1"/>
    </xf>
    <xf numFmtId="166" fontId="3" fillId="0" borderId="15" xfId="0" applyNumberFormat="1" applyFont="1" applyFill="1" applyBorder="1" applyProtection="1"/>
    <xf numFmtId="179" fontId="3" fillId="24" borderId="10" xfId="0" applyNumberFormat="1" applyFont="1" applyFill="1" applyBorder="1" applyProtection="1"/>
    <xf numFmtId="179" fontId="3" fillId="25" borderId="10" xfId="0" applyNumberFormat="1" applyFont="1" applyFill="1" applyBorder="1" applyProtection="1"/>
    <xf numFmtId="177" fontId="3" fillId="0" borderId="17" xfId="0" applyNumberFormat="1" applyFont="1" applyFill="1" applyBorder="1" applyProtection="1"/>
    <xf numFmtId="0" fontId="0" fillId="26" borderId="16" xfId="0" applyFill="1" applyBorder="1" applyAlignment="1" applyProtection="1">
      <alignment horizontal="left" wrapText="1"/>
    </xf>
    <xf numFmtId="0" fontId="0" fillId="26" borderId="0" xfId="0" applyFill="1" applyBorder="1" applyAlignment="1" applyProtection="1">
      <alignment horizontal="right"/>
    </xf>
    <xf numFmtId="5" fontId="3" fillId="26" borderId="10" xfId="0" applyNumberFormat="1" applyFont="1" applyFill="1" applyBorder="1" applyProtection="1"/>
    <xf numFmtId="5" fontId="3" fillId="26" borderId="17" xfId="0" applyNumberFormat="1" applyFont="1" applyFill="1" applyBorder="1" applyProtection="1"/>
    <xf numFmtId="0" fontId="0" fillId="26" borderId="0" xfId="0" applyFill="1"/>
    <xf numFmtId="0" fontId="0" fillId="26" borderId="0" xfId="0" applyFill="1" applyProtection="1"/>
    <xf numFmtId="39" fontId="0" fillId="26" borderId="0" xfId="0" applyNumberFormat="1" applyFill="1" applyProtection="1"/>
    <xf numFmtId="10" fontId="0" fillId="26" borderId="0" xfId="0" applyNumberFormat="1" applyFill="1" applyProtection="1"/>
    <xf numFmtId="5" fontId="3" fillId="24" borderId="10" xfId="0" applyNumberFormat="1" applyFont="1" applyFill="1" applyBorder="1" applyProtection="1"/>
    <xf numFmtId="5" fontId="3" fillId="25" borderId="10" xfId="0" applyNumberFormat="1" applyFont="1" applyFill="1" applyBorder="1" applyProtection="1"/>
    <xf numFmtId="5" fontId="3" fillId="27" borderId="17" xfId="0" applyNumberFormat="1" applyFont="1" applyFill="1" applyBorder="1" applyProtection="1"/>
    <xf numFmtId="5" fontId="0" fillId="0" borderId="0" xfId="0" applyNumberFormat="1" applyAlignment="1">
      <alignment horizontal="left"/>
    </xf>
    <xf numFmtId="0" fontId="0" fillId="0" borderId="13" xfId="0" applyFill="1" applyBorder="1" applyAlignment="1" applyProtection="1">
      <alignment horizontal="fill" wrapText="1"/>
    </xf>
    <xf numFmtId="0" fontId="12" fillId="0" borderId="12" xfId="0" quotePrefix="1" applyFont="1" applyFill="1" applyBorder="1" applyAlignment="1">
      <alignment wrapText="1"/>
    </xf>
    <xf numFmtId="0" fontId="0" fillId="0" borderId="13" xfId="0" applyFill="1" applyBorder="1" applyAlignment="1" applyProtection="1">
      <alignment horizontal="left"/>
    </xf>
    <xf numFmtId="0" fontId="0" fillId="0" borderId="0" xfId="0" applyFill="1" applyProtection="1"/>
    <xf numFmtId="37" fontId="0" fillId="0" borderId="0" xfId="0" applyNumberFormat="1" applyFill="1" applyProtection="1"/>
    <xf numFmtId="10" fontId="0" fillId="0" borderId="0" xfId="0" applyNumberFormat="1" applyFill="1" applyProtection="1"/>
    <xf numFmtId="0" fontId="0" fillId="0" borderId="0" xfId="0" applyFill="1" applyBorder="1" applyAlignment="1" applyProtection="1">
      <alignment horizontal="left"/>
    </xf>
    <xf numFmtId="175" fontId="3" fillId="24" borderId="0" xfId="0" applyNumberFormat="1" applyFont="1" applyFill="1" applyBorder="1" applyProtection="1"/>
    <xf numFmtId="175" fontId="3" fillId="25" borderId="0" xfId="0" applyNumberFormat="1" applyFont="1" applyFill="1" applyBorder="1" applyProtection="1"/>
    <xf numFmtId="175" fontId="3" fillId="0" borderId="23" xfId="0" applyNumberFormat="1" applyFont="1" applyFill="1" applyBorder="1" applyProtection="1"/>
    <xf numFmtId="39" fontId="10" fillId="0" borderId="0" xfId="0" applyNumberFormat="1" applyFont="1" applyFill="1" applyProtection="1">
      <protection locked="0"/>
    </xf>
    <xf numFmtId="167" fontId="10" fillId="0" borderId="0" xfId="0" applyNumberFormat="1" applyFont="1" applyFill="1" applyProtection="1">
      <protection locked="0"/>
    </xf>
    <xf numFmtId="39" fontId="0" fillId="0" borderId="0" xfId="0" applyNumberFormat="1" applyFill="1" applyProtection="1"/>
    <xf numFmtId="0" fontId="12" fillId="0" borderId="16" xfId="0" applyFont="1" applyFill="1" applyBorder="1" applyAlignment="1">
      <alignment wrapText="1"/>
    </xf>
    <xf numFmtId="0" fontId="14" fillId="0" borderId="12" xfId="0" applyFont="1" applyFill="1" applyBorder="1" applyAlignment="1">
      <alignment wrapText="1"/>
    </xf>
    <xf numFmtId="0" fontId="2" fillId="0" borderId="13" xfId="0" applyFont="1" applyFill="1" applyBorder="1" applyAlignment="1" applyProtection="1">
      <alignment horizontal="left"/>
    </xf>
    <xf numFmtId="0" fontId="0" fillId="0" borderId="13" xfId="0" applyFill="1" applyBorder="1" applyProtection="1"/>
    <xf numFmtId="39" fontId="10" fillId="0" borderId="13" xfId="0" applyNumberFormat="1" applyFont="1" applyFill="1" applyBorder="1" applyProtection="1">
      <protection locked="0"/>
    </xf>
    <xf numFmtId="167" fontId="10" fillId="0" borderId="13" xfId="0" applyNumberFormat="1" applyFont="1" applyFill="1" applyBorder="1" applyProtection="1">
      <protection locked="0"/>
    </xf>
    <xf numFmtId="39" fontId="0" fillId="0" borderId="13" xfId="0" applyNumberFormat="1" applyFill="1" applyBorder="1" applyProtection="1"/>
    <xf numFmtId="10" fontId="0" fillId="0" borderId="13" xfId="0" applyNumberFormat="1" applyFill="1" applyBorder="1" applyProtection="1"/>
    <xf numFmtId="0" fontId="0" fillId="0" borderId="13" xfId="0" applyFill="1" applyBorder="1"/>
    <xf numFmtId="0" fontId="14" fillId="28" borderId="25" xfId="0" applyFont="1" applyFill="1" applyBorder="1" applyAlignment="1">
      <alignment wrapText="1"/>
    </xf>
    <xf numFmtId="0" fontId="2" fillId="28" borderId="26" xfId="0" applyFont="1" applyFill="1" applyBorder="1" applyAlignment="1" applyProtection="1">
      <alignment horizontal="left"/>
    </xf>
    <xf numFmtId="175" fontId="3" fillId="28" borderId="26" xfId="0" applyNumberFormat="1" applyFont="1" applyFill="1" applyBorder="1" applyProtection="1"/>
    <xf numFmtId="0" fontId="0" fillId="28" borderId="19" xfId="0" applyFill="1" applyBorder="1" applyProtection="1"/>
    <xf numFmtId="39" fontId="10" fillId="28" borderId="19" xfId="0" applyNumberFormat="1" applyFont="1" applyFill="1" applyBorder="1" applyProtection="1">
      <protection locked="0"/>
    </xf>
    <xf numFmtId="167" fontId="10" fillId="28" borderId="19" xfId="0" applyNumberFormat="1" applyFont="1" applyFill="1" applyBorder="1" applyProtection="1">
      <protection locked="0"/>
    </xf>
    <xf numFmtId="39" fontId="0" fillId="28" borderId="19" xfId="0" applyNumberFormat="1" applyFill="1" applyBorder="1" applyProtection="1"/>
    <xf numFmtId="10" fontId="0" fillId="28" borderId="19" xfId="0" applyNumberFormat="1" applyFill="1" applyBorder="1" applyProtection="1"/>
    <xf numFmtId="0" fontId="0" fillId="28" borderId="19" xfId="0" applyFill="1" applyBorder="1"/>
    <xf numFmtId="175" fontId="3" fillId="0" borderId="0" xfId="0" applyNumberFormat="1" applyFont="1" applyFill="1"/>
    <xf numFmtId="0" fontId="0" fillId="0" borderId="0" xfId="0" applyAlignment="1">
      <alignment wrapText="1"/>
    </xf>
    <xf numFmtId="0" fontId="3" fillId="0" borderId="12" xfId="0" applyFont="1" applyFill="1" applyBorder="1" applyAlignment="1" applyProtection="1">
      <alignment horizontal="left" wrapText="1"/>
    </xf>
    <xf numFmtId="0" fontId="3" fillId="0" borderId="16" xfId="0" applyFont="1" applyFill="1" applyBorder="1" applyAlignment="1" applyProtection="1">
      <alignment horizontal="left" wrapText="1"/>
    </xf>
    <xf numFmtId="175" fontId="0" fillId="0" borderId="0" xfId="0" applyNumberFormat="1" applyFill="1"/>
    <xf numFmtId="175" fontId="3" fillId="28" borderId="27" xfId="0" applyNumberFormat="1" applyFont="1" applyFill="1" applyBorder="1" applyProtection="1"/>
    <xf numFmtId="3" fontId="0" fillId="0" borderId="0" xfId="0" applyNumberFormat="1" applyFill="1" applyBorder="1"/>
    <xf numFmtId="167" fontId="0" fillId="0" borderId="0" xfId="0" applyNumberFormat="1"/>
    <xf numFmtId="0" fontId="2" fillId="0" borderId="0" xfId="44" applyNumberFormat="1" applyFont="1" applyFill="1" applyAlignment="1"/>
    <xf numFmtId="0" fontId="2" fillId="0" borderId="0" xfId="44" applyNumberFormat="1" applyFont="1" applyFill="1" applyAlignment="1">
      <alignment horizontal="center"/>
    </xf>
    <xf numFmtId="171" fontId="2" fillId="0" borderId="0" xfId="28" applyNumberFormat="1" applyFont="1" applyFill="1" applyAlignment="1" applyProtection="1">
      <protection locked="0"/>
    </xf>
    <xf numFmtId="0" fontId="1" fillId="0" borderId="0" xfId="45" applyAlignment="1">
      <alignment vertical="center"/>
    </xf>
    <xf numFmtId="0" fontId="1" fillId="0" borderId="0" xfId="45" applyAlignment="1" applyProtection="1">
      <alignment horizontal="center" vertical="center"/>
    </xf>
    <xf numFmtId="0" fontId="1" fillId="0" borderId="0" xfId="45" applyAlignment="1" applyProtection="1">
      <alignment horizontal="left" vertical="center"/>
    </xf>
    <xf numFmtId="0" fontId="1" fillId="0" borderId="0" xfId="45" applyAlignment="1" applyProtection="1">
      <alignment horizontal="fill" vertical="center"/>
    </xf>
    <xf numFmtId="0" fontId="1" fillId="0" borderId="16" xfId="45" applyFill="1" applyBorder="1" applyAlignment="1">
      <alignment vertical="center" wrapText="1"/>
    </xf>
    <xf numFmtId="0" fontId="1" fillId="0" borderId="0" xfId="45" applyFill="1" applyBorder="1" applyAlignment="1">
      <alignment vertical="center"/>
    </xf>
    <xf numFmtId="0" fontId="2" fillId="0" borderId="10" xfId="45" applyNumberFormat="1" applyFont="1" applyFill="1" applyBorder="1" applyAlignment="1" applyProtection="1">
      <alignment horizontal="center" vertical="center" wrapText="1"/>
    </xf>
    <xf numFmtId="0" fontId="1" fillId="0" borderId="16" xfId="45" applyFill="1" applyBorder="1" applyAlignment="1" applyProtection="1">
      <alignment horizontal="left" vertical="center" wrapText="1"/>
    </xf>
    <xf numFmtId="0" fontId="1" fillId="0" borderId="12" xfId="45" applyFill="1" applyBorder="1" applyAlignment="1" applyProtection="1">
      <alignment horizontal="left" vertical="center" wrapText="1"/>
    </xf>
    <xf numFmtId="0" fontId="1" fillId="0" borderId="13" xfId="45" applyFill="1" applyBorder="1" applyAlignment="1" applyProtection="1">
      <alignment horizontal="right" vertical="center"/>
    </xf>
    <xf numFmtId="37" fontId="10" fillId="0" borderId="0" xfId="45" applyNumberFormat="1" applyFont="1" applyAlignment="1" applyProtection="1">
      <alignment vertical="center"/>
      <protection locked="0"/>
    </xf>
    <xf numFmtId="37" fontId="1" fillId="0" borderId="0" xfId="45" applyNumberFormat="1" applyAlignment="1" applyProtection="1">
      <alignment vertical="center"/>
    </xf>
    <xf numFmtId="10" fontId="1" fillId="0" borderId="0" xfId="45" applyNumberFormat="1" applyAlignment="1" applyProtection="1">
      <alignment vertical="center"/>
    </xf>
    <xf numFmtId="0" fontId="1" fillId="0" borderId="0" xfId="45" applyFill="1" applyBorder="1" applyAlignment="1" applyProtection="1">
      <alignment horizontal="right" vertical="center"/>
    </xf>
    <xf numFmtId="167" fontId="1" fillId="0" borderId="0" xfId="45" applyNumberFormat="1" applyAlignment="1" applyProtection="1">
      <alignment vertical="center"/>
    </xf>
    <xf numFmtId="168" fontId="1" fillId="0" borderId="0" xfId="45" applyNumberFormat="1" applyAlignment="1" applyProtection="1">
      <alignment horizontal="left" vertical="center"/>
    </xf>
    <xf numFmtId="168" fontId="1" fillId="0" borderId="0" xfId="45" applyNumberFormat="1" applyAlignment="1" applyProtection="1">
      <alignment vertical="center"/>
    </xf>
    <xf numFmtId="168" fontId="1" fillId="0" borderId="0" xfId="45" applyNumberFormat="1" applyAlignment="1" applyProtection="1">
      <alignment horizontal="center" vertical="center"/>
    </xf>
    <xf numFmtId="166" fontId="1" fillId="0" borderId="0" xfId="45" applyNumberFormat="1" applyAlignment="1" applyProtection="1">
      <alignment vertical="center"/>
    </xf>
    <xf numFmtId="0" fontId="1" fillId="0" borderId="18" xfId="45" applyFill="1" applyBorder="1" applyAlignment="1">
      <alignment vertical="center" wrapText="1"/>
    </xf>
    <xf numFmtId="0" fontId="1" fillId="0" borderId="19" xfId="45" applyFill="1" applyBorder="1" applyAlignment="1" applyProtection="1">
      <alignment horizontal="right" vertical="center"/>
    </xf>
    <xf numFmtId="0" fontId="1" fillId="0" borderId="12" xfId="45" applyFill="1" applyBorder="1" applyAlignment="1">
      <alignment vertical="center" wrapText="1"/>
    </xf>
    <xf numFmtId="39" fontId="1" fillId="0" borderId="0" xfId="45" applyNumberFormat="1" applyAlignment="1" applyProtection="1">
      <alignment vertical="center"/>
    </xf>
    <xf numFmtId="169" fontId="1" fillId="0" borderId="0" xfId="45" applyNumberFormat="1" applyAlignment="1" applyProtection="1">
      <alignment vertical="center"/>
    </xf>
    <xf numFmtId="10" fontId="1" fillId="0" borderId="0" xfId="45" applyNumberFormat="1" applyAlignment="1" applyProtection="1">
      <alignment horizontal="fill" vertical="center"/>
    </xf>
    <xf numFmtId="0" fontId="10" fillId="0" borderId="0" xfId="45" applyFont="1" applyAlignment="1" applyProtection="1">
      <alignment horizontal="center" vertical="center"/>
      <protection locked="0"/>
    </xf>
    <xf numFmtId="10" fontId="1" fillId="0" borderId="0" xfId="45" applyNumberFormat="1" applyAlignment="1" applyProtection="1">
      <alignment horizontal="center" vertical="center"/>
    </xf>
    <xf numFmtId="0" fontId="1" fillId="0" borderId="18" xfId="45" applyFill="1" applyBorder="1" applyAlignment="1" applyProtection="1">
      <alignment horizontal="left" vertical="center" wrapText="1"/>
    </xf>
    <xf numFmtId="165" fontId="1" fillId="0" borderId="0" xfId="45" applyNumberFormat="1" applyAlignment="1" applyProtection="1">
      <alignment horizontal="fill" vertical="center"/>
    </xf>
    <xf numFmtId="0" fontId="1" fillId="0" borderId="25" xfId="45" applyFill="1" applyBorder="1" applyAlignment="1" applyProtection="1">
      <alignment horizontal="fill" vertical="center" wrapText="1"/>
    </xf>
    <xf numFmtId="0" fontId="1" fillId="0" borderId="26" xfId="45" applyFill="1" applyBorder="1" applyAlignment="1" applyProtection="1">
      <alignment horizontal="fill" vertical="center"/>
    </xf>
    <xf numFmtId="0" fontId="1" fillId="0" borderId="27" xfId="45" applyFill="1" applyBorder="1" applyAlignment="1" applyProtection="1">
      <alignment horizontal="fill" vertical="center"/>
    </xf>
    <xf numFmtId="0" fontId="1" fillId="0" borderId="0" xfId="45" applyFill="1" applyAlignment="1">
      <alignment vertical="center" wrapText="1"/>
    </xf>
    <xf numFmtId="0" fontId="1" fillId="0" borderId="0" xfId="45" applyFill="1" applyAlignment="1">
      <alignment vertical="center"/>
    </xf>
    <xf numFmtId="0" fontId="3" fillId="0" borderId="0" xfId="45" applyFont="1" applyFill="1" applyAlignment="1">
      <alignment horizontal="left" vertical="center" wrapText="1"/>
    </xf>
    <xf numFmtId="0" fontId="1" fillId="0" borderId="0" xfId="45" applyAlignment="1">
      <alignment vertical="center" wrapText="1"/>
    </xf>
    <xf numFmtId="0" fontId="0" fillId="0" borderId="0" xfId="0" applyAlignment="1">
      <alignment horizontal="center"/>
    </xf>
    <xf numFmtId="0" fontId="3" fillId="0" borderId="0" xfId="0" applyFont="1" applyAlignment="1">
      <alignment vertical="center"/>
    </xf>
    <xf numFmtId="0" fontId="3"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alignment horizontal="fill" vertical="center"/>
    </xf>
    <xf numFmtId="0" fontId="3" fillId="0" borderId="28" xfId="0" applyFont="1" applyFill="1" applyBorder="1" applyAlignment="1">
      <alignment vertical="center" wrapText="1"/>
    </xf>
    <xf numFmtId="9" fontId="2" fillId="0" borderId="14" xfId="0" applyNumberFormat="1" applyFont="1" applyFill="1" applyBorder="1" applyAlignment="1" applyProtection="1">
      <alignment horizontal="center" vertical="center" wrapText="1"/>
    </xf>
    <xf numFmtId="181" fontId="2" fillId="0" borderId="14" xfId="0" applyNumberFormat="1" applyFont="1" applyFill="1" applyBorder="1" applyAlignment="1" applyProtection="1">
      <alignment horizontal="center" vertical="center" wrapText="1"/>
    </xf>
    <xf numFmtId="181" fontId="2" fillId="0" borderId="15" xfId="0" applyNumberFormat="1" applyFont="1" applyFill="1" applyBorder="1" applyAlignment="1" applyProtection="1">
      <alignment horizontal="center" vertical="center" wrapText="1"/>
    </xf>
    <xf numFmtId="0" fontId="3" fillId="0" borderId="29" xfId="0" applyFont="1" applyFill="1" applyBorder="1" applyAlignment="1" applyProtection="1">
      <alignment horizontal="left" vertical="center" wrapText="1"/>
    </xf>
    <xf numFmtId="9" fontId="3" fillId="0" borderId="10" xfId="0" applyNumberFormat="1" applyFont="1" applyFill="1" applyBorder="1" applyAlignment="1" applyProtection="1">
      <alignment horizontal="center" vertical="center" wrapText="1"/>
    </xf>
    <xf numFmtId="181" fontId="3" fillId="0" borderId="10" xfId="0" applyNumberFormat="1" applyFont="1" applyFill="1" applyBorder="1" applyAlignment="1" applyProtection="1">
      <alignment horizontal="center" vertical="center" wrapText="1"/>
      <protection locked="0"/>
    </xf>
    <xf numFmtId="0" fontId="3" fillId="0" borderId="0" xfId="0" applyFont="1" applyAlignment="1" applyProtection="1">
      <alignment vertical="center"/>
    </xf>
    <xf numFmtId="37" fontId="19" fillId="0" borderId="0" xfId="0" applyNumberFormat="1" applyFont="1" applyAlignment="1" applyProtection="1">
      <alignment vertical="center"/>
      <protection locked="0"/>
    </xf>
    <xf numFmtId="37" fontId="3" fillId="0" borderId="0" xfId="0" applyNumberFormat="1" applyFont="1" applyAlignment="1" applyProtection="1">
      <alignment vertical="center"/>
    </xf>
    <xf numFmtId="10" fontId="3" fillId="0" borderId="0" xfId="0" applyNumberFormat="1" applyFont="1" applyAlignment="1" applyProtection="1">
      <alignment vertical="center"/>
    </xf>
    <xf numFmtId="168" fontId="3" fillId="0" borderId="0" xfId="0" applyNumberFormat="1" applyFont="1" applyAlignment="1" applyProtection="1">
      <alignment horizontal="left" vertical="center"/>
    </xf>
    <xf numFmtId="168" fontId="3" fillId="0" borderId="0" xfId="0" applyNumberFormat="1" applyFont="1" applyAlignment="1" applyProtection="1">
      <alignment vertical="center"/>
    </xf>
    <xf numFmtId="168" fontId="3" fillId="0" borderId="0" xfId="0" applyNumberFormat="1" applyFont="1" applyAlignment="1" applyProtection="1">
      <alignment horizontal="center" vertical="center"/>
    </xf>
    <xf numFmtId="166" fontId="3" fillId="0" borderId="0" xfId="0" applyNumberFormat="1" applyFont="1" applyAlignment="1" applyProtection="1">
      <alignment vertical="center"/>
    </xf>
    <xf numFmtId="0" fontId="3" fillId="0" borderId="29" xfId="0" applyFont="1" applyFill="1" applyBorder="1" applyAlignment="1">
      <alignment vertical="center" wrapText="1"/>
    </xf>
    <xf numFmtId="39" fontId="3" fillId="0" borderId="0" xfId="0" applyNumberFormat="1" applyFont="1" applyAlignment="1" applyProtection="1">
      <alignment vertical="center"/>
    </xf>
    <xf numFmtId="169" fontId="3" fillId="0" borderId="0" xfId="0" applyNumberFormat="1" applyFont="1" applyAlignment="1" applyProtection="1">
      <alignment vertical="center"/>
    </xf>
    <xf numFmtId="10" fontId="3" fillId="0" borderId="0" xfId="0" applyNumberFormat="1" applyFont="1" applyAlignment="1" applyProtection="1">
      <alignment horizontal="fill" vertical="center"/>
    </xf>
    <xf numFmtId="10" fontId="3" fillId="0" borderId="0" xfId="0" applyNumberFormat="1" applyFont="1" applyAlignment="1" applyProtection="1">
      <alignment horizontal="center" vertical="center"/>
    </xf>
    <xf numFmtId="181" fontId="2" fillId="0" borderId="10" xfId="0" applyNumberFormat="1" applyFont="1" applyFill="1" applyBorder="1" applyAlignment="1" applyProtection="1">
      <alignment horizontal="center" vertical="center" wrapText="1"/>
    </xf>
    <xf numFmtId="9" fontId="2" fillId="0" borderId="10" xfId="0" applyNumberFormat="1" applyFont="1" applyFill="1" applyBorder="1" applyAlignment="1" applyProtection="1">
      <alignment horizontal="center" vertical="center" wrapText="1"/>
    </xf>
    <xf numFmtId="181" fontId="2" fillId="0" borderId="17" xfId="0" applyNumberFormat="1" applyFont="1" applyFill="1" applyBorder="1" applyAlignment="1" applyProtection="1">
      <alignment horizontal="center" vertical="center" wrapText="1"/>
    </xf>
    <xf numFmtId="181" fontId="3" fillId="0" borderId="17" xfId="0" applyNumberFormat="1" applyFont="1" applyFill="1" applyBorder="1" applyAlignment="1" applyProtection="1">
      <alignment horizontal="center" vertical="center" wrapText="1"/>
      <protection locked="0"/>
    </xf>
    <xf numFmtId="0" fontId="3" fillId="0" borderId="30" xfId="0" applyFont="1" applyFill="1" applyBorder="1" applyAlignment="1" applyProtection="1">
      <alignment horizontal="left" vertical="center" wrapText="1"/>
    </xf>
    <xf numFmtId="9" fontId="3" fillId="0" borderId="20" xfId="0" applyNumberFormat="1" applyFont="1" applyFill="1" applyBorder="1" applyAlignment="1" applyProtection="1">
      <alignment horizontal="center" vertical="center" wrapText="1"/>
      <protection locked="0"/>
    </xf>
    <xf numFmtId="181" fontId="3" fillId="0" borderId="20" xfId="0" applyNumberFormat="1" applyFont="1" applyFill="1" applyBorder="1" applyAlignment="1">
      <alignment horizontal="center" vertical="center" wrapText="1"/>
    </xf>
    <xf numFmtId="9" fontId="3" fillId="0" borderId="20" xfId="0" applyNumberFormat="1" applyFont="1" applyFill="1" applyBorder="1" applyAlignment="1">
      <alignment horizontal="center" vertical="center" wrapText="1"/>
    </xf>
    <xf numFmtId="181" fontId="3" fillId="0" borderId="21" xfId="0" applyNumberFormat="1" applyFont="1" applyFill="1" applyBorder="1" applyAlignment="1">
      <alignment horizontal="center" vertical="center" wrapText="1"/>
    </xf>
    <xf numFmtId="0" fontId="3" fillId="0" borderId="0" xfId="0" applyFont="1" applyFill="1" applyAlignment="1">
      <alignment vertical="center" wrapText="1"/>
    </xf>
    <xf numFmtId="181" fontId="2" fillId="0" borderId="0" xfId="0" applyNumberFormat="1" applyFont="1" applyFill="1" applyAlignment="1">
      <alignment horizontal="center" vertical="center" wrapText="1"/>
    </xf>
    <xf numFmtId="9" fontId="2" fillId="0" borderId="0" xfId="0" applyNumberFormat="1" applyFont="1" applyFill="1" applyAlignment="1">
      <alignment horizontal="center" vertical="center" wrapText="1"/>
    </xf>
    <xf numFmtId="0" fontId="3" fillId="0" borderId="0" xfId="0" applyFont="1" applyFill="1" applyAlignment="1">
      <alignment vertical="center"/>
    </xf>
    <xf numFmtId="0" fontId="3" fillId="0" borderId="0" xfId="0" applyFont="1" applyAlignment="1">
      <alignment vertical="center" wrapText="1"/>
    </xf>
    <xf numFmtId="0" fontId="1" fillId="0" borderId="0" xfId="42"/>
    <xf numFmtId="0" fontId="3" fillId="0" borderId="0" xfId="42" applyFont="1" applyAlignment="1">
      <alignment horizontal="center" vertical="center" wrapText="1"/>
    </xf>
    <xf numFmtId="164" fontId="1" fillId="0" borderId="0" xfId="42" applyNumberFormat="1"/>
    <xf numFmtId="0" fontId="2" fillId="0" borderId="0" xfId="42" applyFont="1"/>
    <xf numFmtId="164" fontId="1" fillId="0" borderId="0" xfId="50" applyNumberFormat="1"/>
    <xf numFmtId="167" fontId="10" fillId="0" borderId="0" xfId="0" applyNumberFormat="1" applyFont="1" applyAlignment="1" applyProtection="1">
      <alignment horizontal="center"/>
      <protection locked="0"/>
    </xf>
    <xf numFmtId="0" fontId="2" fillId="0" borderId="31" xfId="45" applyNumberFormat="1" applyFont="1" applyFill="1" applyBorder="1" applyAlignment="1" applyProtection="1">
      <alignment horizontal="center" vertical="center" wrapText="1"/>
    </xf>
    <xf numFmtId="171" fontId="2" fillId="0" borderId="0" xfId="28" applyNumberFormat="1" applyFont="1" applyFill="1" applyBorder="1" applyAlignment="1" applyProtection="1">
      <protection locked="0"/>
    </xf>
    <xf numFmtId="0" fontId="2" fillId="0" borderId="32" xfId="45" applyNumberFormat="1" applyFont="1" applyFill="1" applyBorder="1" applyAlignment="1" applyProtection="1">
      <alignment horizontal="center" vertical="center" wrapText="1"/>
    </xf>
    <xf numFmtId="0" fontId="3" fillId="0" borderId="0" xfId="45" applyFont="1" applyFill="1" applyBorder="1" applyAlignment="1">
      <alignment horizontal="left" vertical="center" wrapText="1"/>
    </xf>
    <xf numFmtId="0" fontId="2" fillId="0" borderId="33" xfId="45" applyNumberFormat="1" applyFont="1" applyFill="1" applyBorder="1" applyAlignment="1" applyProtection="1">
      <alignment horizontal="center" vertical="center" wrapText="1"/>
    </xf>
    <xf numFmtId="0" fontId="0" fillId="0" borderId="0" xfId="0" applyBorder="1"/>
    <xf numFmtId="1" fontId="0" fillId="0" borderId="0" xfId="0" applyNumberFormat="1" applyBorder="1"/>
    <xf numFmtId="44" fontId="1" fillId="0" borderId="0" xfId="31"/>
    <xf numFmtId="3" fontId="0" fillId="0" borderId="0" xfId="0" applyNumberFormat="1" applyBorder="1"/>
    <xf numFmtId="44" fontId="1" fillId="0" borderId="0" xfId="31" applyBorder="1"/>
    <xf numFmtId="5" fontId="0" fillId="0" borderId="0" xfId="0" applyNumberFormat="1"/>
    <xf numFmtId="0" fontId="1" fillId="0" borderId="0" xfId="43" applyNumberFormat="1" applyFont="1" applyAlignment="1">
      <alignment horizontal="fill"/>
    </xf>
    <xf numFmtId="0" fontId="1" fillId="0" borderId="0" xfId="43" applyNumberFormat="1" applyFont="1" applyAlignment="1"/>
    <xf numFmtId="3" fontId="1" fillId="0" borderId="0" xfId="43" applyNumberFormat="1" applyFont="1" applyAlignment="1"/>
    <xf numFmtId="3" fontId="23" fillId="29" borderId="0" xfId="43" applyNumberFormat="1" applyFont="1" applyFill="1" applyAlignment="1">
      <alignment horizontal="fill"/>
    </xf>
    <xf numFmtId="175" fontId="23" fillId="29" borderId="0" xfId="43" applyNumberFormat="1" applyFont="1" applyFill="1" applyAlignment="1"/>
    <xf numFmtId="4" fontId="1" fillId="0" borderId="0" xfId="43" applyNumberFormat="1" applyFont="1" applyAlignment="1"/>
    <xf numFmtId="3" fontId="23" fillId="29" borderId="0" xfId="43" applyNumberFormat="1" applyFont="1" applyFill="1" applyAlignment="1"/>
    <xf numFmtId="2" fontId="1" fillId="0" borderId="0" xfId="43" applyNumberFormat="1" applyFont="1" applyAlignment="1"/>
    <xf numFmtId="1" fontId="1" fillId="0" borderId="0" xfId="43" applyNumberFormat="1" applyFont="1" applyAlignment="1"/>
    <xf numFmtId="3" fontId="1" fillId="0" borderId="0" xfId="43" applyNumberFormat="1" applyFont="1" applyProtection="1">
      <protection locked="0"/>
    </xf>
    <xf numFmtId="0" fontId="1" fillId="0" borderId="0" xfId="43" applyNumberFormat="1" applyFont="1" applyProtection="1">
      <protection locked="0"/>
    </xf>
    <xf numFmtId="3" fontId="23" fillId="29" borderId="0" xfId="43" applyNumberFormat="1" applyFont="1" applyFill="1" applyAlignment="1" applyProtection="1">
      <protection locked="0"/>
    </xf>
    <xf numFmtId="0" fontId="1" fillId="0" borderId="0" xfId="43" applyNumberFormat="1" applyFont="1" applyAlignment="1" applyProtection="1">
      <protection locked="0"/>
    </xf>
    <xf numFmtId="3" fontId="1" fillId="0" borderId="0" xfId="43" applyNumberFormat="1" applyFont="1" applyAlignment="1">
      <alignment horizontal="fill"/>
    </xf>
    <xf numFmtId="175" fontId="23" fillId="29" borderId="0" xfId="43" applyNumberFormat="1" applyFont="1" applyFill="1" applyAlignment="1">
      <alignment horizontal="fill"/>
    </xf>
    <xf numFmtId="4" fontId="1" fillId="0" borderId="0" xfId="43" applyNumberFormat="1" applyFont="1" applyAlignment="1">
      <alignment horizontal="fill"/>
    </xf>
    <xf numFmtId="2" fontId="1" fillId="0" borderId="0" xfId="43" applyNumberFormat="1" applyFont="1" applyAlignment="1">
      <alignment horizontal="fill"/>
    </xf>
    <xf numFmtId="1" fontId="1" fillId="0" borderId="0" xfId="43" applyNumberFormat="1" applyFont="1" applyAlignment="1">
      <alignment horizontal="fill"/>
    </xf>
    <xf numFmtId="0" fontId="2" fillId="0" borderId="0" xfId="43" applyNumberFormat="1" applyFont="1" applyAlignment="1"/>
    <xf numFmtId="2" fontId="1" fillId="0" borderId="0" xfId="43" applyNumberFormat="1" applyFont="1" applyAlignment="1">
      <alignment horizontal="center"/>
    </xf>
    <xf numFmtId="4" fontId="23" fillId="29" borderId="0" xfId="43" applyNumberFormat="1" applyFont="1" applyFill="1" applyAlignment="1"/>
    <xf numFmtId="4" fontId="1" fillId="0" borderId="0" xfId="43" applyNumberFormat="1" applyFont="1" applyAlignment="1">
      <alignment horizontal="center"/>
    </xf>
    <xf numFmtId="3" fontId="1" fillId="0" borderId="0" xfId="43" applyNumberFormat="1" applyFont="1" applyAlignment="1">
      <alignment horizontal="center"/>
    </xf>
    <xf numFmtId="3" fontId="23" fillId="29" borderId="0" xfId="43" applyNumberFormat="1" applyFont="1" applyFill="1" applyAlignment="1">
      <alignment horizontal="center"/>
    </xf>
    <xf numFmtId="175" fontId="23" fillId="29" borderId="0" xfId="43" applyNumberFormat="1" applyFont="1" applyFill="1" applyAlignment="1">
      <alignment horizontal="center"/>
    </xf>
    <xf numFmtId="1" fontId="1" fillId="0" borderId="0" xfId="43" applyNumberFormat="1" applyFont="1" applyAlignment="1">
      <alignment horizontal="center"/>
    </xf>
    <xf numFmtId="181" fontId="1" fillId="29" borderId="0" xfId="43" applyNumberFormat="1" applyFont="1" applyFill="1" applyAlignment="1"/>
    <xf numFmtId="176" fontId="1" fillId="29" borderId="0" xfId="43" applyNumberFormat="1" applyFont="1" applyFill="1" applyAlignment="1"/>
    <xf numFmtId="0" fontId="1" fillId="0" borderId="0" xfId="43" applyNumberFormat="1" applyFont="1" applyAlignment="1">
      <alignment horizontal="center"/>
    </xf>
    <xf numFmtId="0" fontId="1" fillId="0" borderId="0" xfId="43" applyNumberFormat="1" applyFont="1" applyFill="1" applyAlignment="1"/>
    <xf numFmtId="3" fontId="1" fillId="0" borderId="0" xfId="43" applyNumberFormat="1" applyFont="1" applyAlignment="1">
      <alignment horizontal="left"/>
    </xf>
    <xf numFmtId="3" fontId="23" fillId="29" borderId="0" xfId="43" applyNumberFormat="1" applyFont="1" applyFill="1" applyAlignment="1">
      <alignment horizontal="left"/>
    </xf>
    <xf numFmtId="175" fontId="23" fillId="29" borderId="0" xfId="43" applyNumberFormat="1" applyFont="1" applyFill="1" applyAlignment="1">
      <alignment horizontal="left"/>
    </xf>
    <xf numFmtId="0" fontId="1" fillId="29" borderId="0" xfId="43" applyNumberFormat="1" applyFont="1" applyFill="1" applyAlignment="1"/>
    <xf numFmtId="0" fontId="1" fillId="24" borderId="0" xfId="43" applyNumberFormat="1" applyFont="1" applyFill="1" applyAlignment="1"/>
    <xf numFmtId="183" fontId="1" fillId="0" borderId="0" xfId="43" applyNumberFormat="1" applyFont="1" applyAlignment="1"/>
    <xf numFmtId="3" fontId="23" fillId="24" borderId="0" xfId="43" applyNumberFormat="1" applyFont="1" applyFill="1" applyAlignment="1"/>
    <xf numFmtId="0" fontId="1" fillId="24" borderId="0" xfId="43" applyFont="1" applyFill="1"/>
    <xf numFmtId="182" fontId="1" fillId="24" borderId="0" xfId="43" applyNumberFormat="1" applyFont="1" applyFill="1" applyAlignment="1"/>
    <xf numFmtId="0" fontId="1" fillId="24" borderId="0" xfId="43" applyNumberFormat="1" applyFont="1" applyFill="1" applyAlignment="1">
      <alignment horizontal="center"/>
    </xf>
    <xf numFmtId="0" fontId="1" fillId="24" borderId="0" xfId="43" applyFont="1" applyFill="1" applyAlignment="1">
      <alignment horizontal="fill"/>
    </xf>
    <xf numFmtId="0" fontId="1" fillId="0" borderId="0" xfId="43" applyFont="1"/>
    <xf numFmtId="0" fontId="1" fillId="0" borderId="0" xfId="43" applyFont="1" applyAlignment="1">
      <alignment horizontal="fill"/>
    </xf>
    <xf numFmtId="0" fontId="1" fillId="24" borderId="0" xfId="43" applyNumberFormat="1" applyFont="1" applyFill="1" applyAlignment="1" applyProtection="1">
      <protection locked="0"/>
    </xf>
    <xf numFmtId="175" fontId="23" fillId="29" borderId="0" xfId="43" applyNumberFormat="1" applyFont="1" applyFill="1"/>
    <xf numFmtId="4" fontId="1" fillId="0" borderId="0" xfId="43" applyNumberFormat="1" applyFont="1"/>
    <xf numFmtId="2" fontId="1" fillId="0" borderId="0" xfId="43" applyNumberFormat="1" applyFont="1"/>
    <xf numFmtId="1" fontId="1" fillId="0" borderId="0" xfId="43" applyNumberFormat="1" applyFont="1"/>
    <xf numFmtId="3" fontId="23" fillId="29" borderId="0" xfId="43" applyNumberFormat="1" applyFont="1" applyFill="1"/>
    <xf numFmtId="182" fontId="1" fillId="0" borderId="0" xfId="43" applyNumberFormat="1" applyFont="1" applyAlignment="1"/>
    <xf numFmtId="4" fontId="1" fillId="0" borderId="0" xfId="43" applyNumberFormat="1" applyFont="1" applyProtection="1">
      <protection locked="0"/>
    </xf>
    <xf numFmtId="2" fontId="1" fillId="0" borderId="0" xfId="43" applyNumberFormat="1" applyFont="1" applyProtection="1">
      <protection locked="0"/>
    </xf>
    <xf numFmtId="1" fontId="1" fillId="0" borderId="0" xfId="43" applyNumberFormat="1" applyFont="1" applyProtection="1">
      <protection locked="0"/>
    </xf>
    <xf numFmtId="182" fontId="1" fillId="0" borderId="0" xfId="43" applyNumberFormat="1" applyFont="1" applyProtection="1">
      <protection locked="0"/>
    </xf>
    <xf numFmtId="182" fontId="1" fillId="0" borderId="0" xfId="43" applyNumberFormat="1" applyFont="1"/>
    <xf numFmtId="182" fontId="1" fillId="0" borderId="0" xfId="43" applyNumberFormat="1" applyFont="1" applyAlignment="1">
      <alignment horizontal="center"/>
    </xf>
    <xf numFmtId="182" fontId="1" fillId="0" borderId="0" xfId="43" applyNumberFormat="1" applyFont="1" applyAlignment="1">
      <alignment horizontal="fill"/>
    </xf>
    <xf numFmtId="175" fontId="1" fillId="0" borderId="0" xfId="43" applyNumberFormat="1" applyFont="1" applyAlignment="1"/>
    <xf numFmtId="175" fontId="1" fillId="0" borderId="0" xfId="43" applyNumberFormat="1" applyFont="1" applyProtection="1">
      <protection locked="0"/>
    </xf>
    <xf numFmtId="175" fontId="1" fillId="0" borderId="0" xfId="43" applyNumberFormat="1" applyFont="1"/>
    <xf numFmtId="175" fontId="1" fillId="0" borderId="0" xfId="43" applyNumberFormat="1" applyFont="1" applyAlignment="1">
      <alignment horizontal="center"/>
    </xf>
    <xf numFmtId="175" fontId="1" fillId="0" borderId="0" xfId="43" applyNumberFormat="1" applyFont="1" applyAlignment="1">
      <alignment horizontal="fill"/>
    </xf>
    <xf numFmtId="184" fontId="1" fillId="0" borderId="0" xfId="43" applyNumberFormat="1" applyFont="1" applyAlignment="1"/>
    <xf numFmtId="184" fontId="1" fillId="0" borderId="0" xfId="43" applyNumberFormat="1" applyFont="1" applyProtection="1">
      <protection locked="0"/>
    </xf>
    <xf numFmtId="184" fontId="1" fillId="0" borderId="0" xfId="43" applyNumberFormat="1" applyFont="1" applyAlignment="1" applyProtection="1">
      <protection locked="0"/>
    </xf>
    <xf numFmtId="184" fontId="1" fillId="0" borderId="0" xfId="43" applyNumberFormat="1" applyFont="1" applyAlignment="1">
      <alignment horizontal="center"/>
    </xf>
    <xf numFmtId="184" fontId="1" fillId="0" borderId="0" xfId="43" applyNumberFormat="1" applyFont="1" applyAlignment="1">
      <alignment horizontal="fill"/>
    </xf>
    <xf numFmtId="184" fontId="1" fillId="0" borderId="0" xfId="43" applyNumberFormat="1" applyFont="1"/>
    <xf numFmtId="0" fontId="1" fillId="24" borderId="0" xfId="43" applyNumberFormat="1" applyFont="1" applyFill="1" applyAlignment="1">
      <alignment horizontal="fill"/>
    </xf>
    <xf numFmtId="0" fontId="1" fillId="0" borderId="0" xfId="43" applyFont="1" applyAlignment="1"/>
    <xf numFmtId="175" fontId="23" fillId="29" borderId="0" xfId="43" applyNumberFormat="1" applyFont="1" applyFill="1" applyAlignment="1">
      <alignment horizontal="right"/>
    </xf>
    <xf numFmtId="3" fontId="1" fillId="24" borderId="0" xfId="43" applyNumberFormat="1" applyFont="1" applyFill="1" applyAlignment="1"/>
    <xf numFmtId="175" fontId="23" fillId="24" borderId="0" xfId="43" applyNumberFormat="1" applyFont="1" applyFill="1"/>
    <xf numFmtId="4" fontId="1" fillId="24" borderId="0" xfId="43" applyNumberFormat="1" applyFont="1" applyFill="1"/>
    <xf numFmtId="2" fontId="1" fillId="24" borderId="0" xfId="43" applyNumberFormat="1" applyFont="1" applyFill="1"/>
    <xf numFmtId="1" fontId="1" fillId="24" borderId="0" xfId="43" applyNumberFormat="1" applyFont="1" applyFill="1" applyAlignment="1"/>
    <xf numFmtId="3" fontId="1" fillId="0" borderId="0" xfId="43" applyNumberFormat="1" applyFont="1"/>
    <xf numFmtId="3" fontId="1" fillId="24" borderId="0" xfId="43" applyNumberFormat="1" applyFont="1" applyFill="1"/>
    <xf numFmtId="175" fontId="1" fillId="24" borderId="0" xfId="43" applyNumberFormat="1" applyFont="1" applyFill="1" applyAlignment="1"/>
    <xf numFmtId="175" fontId="23" fillId="29" borderId="0" xfId="43" applyNumberFormat="1" applyFont="1" applyFill="1" applyProtection="1">
      <protection locked="0"/>
    </xf>
    <xf numFmtId="3" fontId="23" fillId="29" borderId="0" xfId="43" applyNumberFormat="1" applyFont="1" applyFill="1" applyProtection="1">
      <protection locked="0"/>
    </xf>
    <xf numFmtId="0" fontId="1" fillId="0" borderId="0" xfId="43" applyFont="1" applyAlignment="1">
      <alignment horizontal="right"/>
    </xf>
    <xf numFmtId="0" fontId="1" fillId="0" borderId="0" xfId="43" applyFont="1" applyAlignment="1">
      <alignment horizontal="center"/>
    </xf>
    <xf numFmtId="175" fontId="1" fillId="0" borderId="0" xfId="43" applyNumberFormat="1" applyFont="1" applyAlignment="1">
      <alignment horizontal="right"/>
    </xf>
    <xf numFmtId="3" fontId="1" fillId="0" borderId="0" xfId="43" applyNumberFormat="1" applyFont="1" applyAlignment="1">
      <alignment horizontal="right"/>
    </xf>
    <xf numFmtId="0" fontId="25" fillId="0" borderId="0" xfId="0" applyFont="1" applyBorder="1" applyAlignment="1">
      <alignment vertical="center"/>
    </xf>
    <xf numFmtId="180" fontId="25" fillId="0" borderId="0" xfId="50" applyNumberFormat="1" applyFont="1" applyBorder="1"/>
    <xf numFmtId="0" fontId="25" fillId="0" borderId="0" xfId="0" applyFont="1" applyBorder="1"/>
    <xf numFmtId="0" fontId="25" fillId="0" borderId="28" xfId="0" applyFont="1" applyFill="1" applyBorder="1"/>
    <xf numFmtId="10" fontId="25" fillId="0" borderId="0" xfId="50" applyNumberFormat="1" applyFont="1" applyBorder="1" applyAlignment="1">
      <alignment vertical="center"/>
    </xf>
    <xf numFmtId="0" fontId="25" fillId="0" borderId="34" xfId="0" applyFont="1" applyFill="1" applyBorder="1"/>
    <xf numFmtId="0" fontId="25" fillId="0" borderId="29" xfId="0" applyFont="1" applyFill="1" applyBorder="1"/>
    <xf numFmtId="43" fontId="25" fillId="0" borderId="0" xfId="28" applyFont="1" applyBorder="1" applyAlignment="1">
      <alignment vertical="center"/>
    </xf>
    <xf numFmtId="175" fontId="25" fillId="0" borderId="14" xfId="0" applyNumberFormat="1" applyFont="1" applyFill="1" applyBorder="1" applyProtection="1"/>
    <xf numFmtId="175" fontId="25" fillId="0" borderId="35" xfId="0" applyNumberFormat="1" applyFont="1" applyFill="1" applyBorder="1" applyProtection="1"/>
    <xf numFmtId="0" fontId="25" fillId="0" borderId="0" xfId="0" applyFont="1"/>
    <xf numFmtId="175" fontId="25" fillId="0" borderId="0" xfId="0" applyNumberFormat="1" applyFont="1"/>
    <xf numFmtId="185" fontId="1" fillId="0" borderId="0" xfId="31" applyNumberFormat="1" applyBorder="1"/>
    <xf numFmtId="185" fontId="0" fillId="0" borderId="0" xfId="0" applyNumberFormat="1" applyBorder="1"/>
    <xf numFmtId="176" fontId="5" fillId="24" borderId="0" xfId="0" applyNumberFormat="1" applyFont="1" applyFill="1"/>
    <xf numFmtId="176" fontId="3" fillId="25" borderId="0" xfId="0" applyNumberFormat="1" applyFont="1" applyFill="1"/>
    <xf numFmtId="176" fontId="3" fillId="24" borderId="0" xfId="0" applyNumberFormat="1" applyFont="1" applyFill="1"/>
    <xf numFmtId="0" fontId="1" fillId="0" borderId="0" xfId="42" applyFill="1" applyBorder="1"/>
    <xf numFmtId="164" fontId="1" fillId="0" borderId="0" xfId="42" applyNumberFormat="1" applyFill="1" applyBorder="1"/>
    <xf numFmtId="0" fontId="1" fillId="0" borderId="0" xfId="42" applyBorder="1"/>
    <xf numFmtId="0" fontId="2" fillId="0" borderId="0" xfId="42" applyFont="1" applyBorder="1"/>
    <xf numFmtId="10" fontId="1" fillId="0" borderId="0" xfId="50" applyNumberFormat="1" applyBorder="1"/>
    <xf numFmtId="10" fontId="1" fillId="0" borderId="0" xfId="42" applyNumberFormat="1" applyBorder="1"/>
    <xf numFmtId="164" fontId="1" fillId="0" borderId="0" xfId="42" applyNumberFormat="1" applyBorder="1"/>
    <xf numFmtId="0" fontId="20" fillId="0" borderId="0" xfId="0" applyFont="1"/>
    <xf numFmtId="0" fontId="9" fillId="0" borderId="0" xfId="0" applyFont="1"/>
    <xf numFmtId="0" fontId="9" fillId="0" borderId="0" xfId="0" applyFont="1" applyAlignment="1">
      <alignment horizontal="center"/>
    </xf>
    <xf numFmtId="9" fontId="2" fillId="0" borderId="0" xfId="50" applyFont="1" applyFill="1" applyBorder="1"/>
    <xf numFmtId="0" fontId="0" fillId="0" borderId="0" xfId="0" applyFill="1" applyBorder="1" applyAlignment="1">
      <alignment wrapText="1"/>
    </xf>
    <xf numFmtId="0" fontId="2" fillId="0" borderId="0" xfId="0" applyFont="1" applyFill="1" applyBorder="1"/>
    <xf numFmtId="0" fontId="28" fillId="0" borderId="0" xfId="0" applyFont="1" applyAlignment="1">
      <alignment wrapText="1"/>
    </xf>
    <xf numFmtId="44" fontId="0" fillId="0" borderId="0" xfId="0" applyNumberFormat="1"/>
    <xf numFmtId="0" fontId="29" fillId="0" borderId="0" xfId="0" applyFont="1" applyFill="1"/>
    <xf numFmtId="9" fontId="3" fillId="0" borderId="10" xfId="50" applyFont="1" applyFill="1" applyBorder="1" applyAlignment="1" applyProtection="1">
      <alignment horizontal="center" vertical="center" wrapText="1"/>
    </xf>
    <xf numFmtId="175" fontId="25" fillId="0" borderId="15" xfId="0" applyNumberFormat="1" applyFont="1" applyFill="1" applyBorder="1" applyProtection="1"/>
    <xf numFmtId="175" fontId="25" fillId="0" borderId="36" xfId="0" applyNumberFormat="1" applyFont="1" applyFill="1" applyBorder="1" applyProtection="1"/>
    <xf numFmtId="0" fontId="0" fillId="0" borderId="0" xfId="0" applyBorder="1" applyAlignment="1">
      <alignment wrapText="1"/>
    </xf>
    <xf numFmtId="0" fontId="12" fillId="0" borderId="12" xfId="0" applyFont="1" applyFill="1" applyBorder="1" applyAlignment="1">
      <alignment wrapText="1"/>
    </xf>
    <xf numFmtId="176" fontId="3" fillId="25" borderId="13" xfId="0" applyNumberFormat="1" applyFont="1" applyFill="1" applyBorder="1" applyProtection="1"/>
    <xf numFmtId="2" fontId="3" fillId="24" borderId="0" xfId="0" applyNumberFormat="1" applyFont="1" applyFill="1" applyBorder="1"/>
    <xf numFmtId="2" fontId="3" fillId="25" borderId="0" xfId="0" applyNumberFormat="1" applyFont="1" applyFill="1" applyBorder="1"/>
    <xf numFmtId="175" fontId="3" fillId="0" borderId="23" xfId="0" applyNumberFormat="1" applyFont="1" applyFill="1" applyBorder="1"/>
    <xf numFmtId="176" fontId="3" fillId="24" borderId="19" xfId="0" applyNumberFormat="1" applyFont="1" applyFill="1" applyBorder="1"/>
    <xf numFmtId="176" fontId="5" fillId="25" borderId="0" xfId="0" applyNumberFormat="1" applyFont="1" applyFill="1"/>
    <xf numFmtId="49" fontId="30" fillId="0" borderId="25" xfId="0" applyNumberFormat="1" applyFont="1" applyFill="1" applyBorder="1" applyAlignment="1" applyProtection="1">
      <alignment horizontal="fill" wrapText="1"/>
    </xf>
    <xf numFmtId="0" fontId="3" fillId="0" borderId="18" xfId="0" applyFont="1" applyFill="1" applyBorder="1" applyAlignment="1">
      <alignment wrapText="1"/>
    </xf>
    <xf numFmtId="0" fontId="1" fillId="0" borderId="19" xfId="0" applyFont="1" applyFill="1" applyBorder="1"/>
    <xf numFmtId="0" fontId="1" fillId="0" borderId="0" xfId="0" applyFont="1"/>
    <xf numFmtId="0" fontId="9" fillId="0" borderId="22" xfId="0" applyFont="1" applyBorder="1"/>
    <xf numFmtId="0" fontId="9" fillId="30" borderId="37" xfId="0" quotePrefix="1" applyFont="1" applyFill="1" applyBorder="1" applyAlignment="1">
      <alignment horizontal="center"/>
    </xf>
    <xf numFmtId="9" fontId="3" fillId="0" borderId="0" xfId="50" applyFont="1" applyFill="1" applyBorder="1" applyAlignment="1">
      <alignment wrapText="1"/>
    </xf>
    <xf numFmtId="9" fontId="2" fillId="24" borderId="38" xfId="50" applyFont="1" applyFill="1" applyBorder="1"/>
    <xf numFmtId="9" fontId="9" fillId="24" borderId="37" xfId="0" quotePrefix="1" applyNumberFormat="1" applyFont="1" applyFill="1" applyBorder="1" applyAlignment="1">
      <alignment horizontal="right"/>
    </xf>
    <xf numFmtId="9" fontId="21" fillId="24" borderId="38" xfId="50" applyFont="1" applyFill="1" applyBorder="1"/>
    <xf numFmtId="9" fontId="3" fillId="0" borderId="24" xfId="50" applyFont="1" applyFill="1" applyBorder="1" applyAlignment="1">
      <alignment wrapText="1"/>
    </xf>
    <xf numFmtId="9" fontId="9" fillId="0" borderId="12" xfId="50" applyFont="1" applyFill="1" applyBorder="1" applyAlignment="1">
      <alignment wrapText="1"/>
    </xf>
    <xf numFmtId="9" fontId="3" fillId="0" borderId="16" xfId="50" applyFont="1" applyFill="1" applyBorder="1" applyAlignment="1">
      <alignment wrapText="1"/>
    </xf>
    <xf numFmtId="9" fontId="2" fillId="24" borderId="27" xfId="50" applyFont="1" applyFill="1" applyBorder="1"/>
    <xf numFmtId="9" fontId="3" fillId="0" borderId="18" xfId="50" applyFont="1" applyFill="1" applyBorder="1" applyAlignment="1">
      <alignment wrapText="1"/>
    </xf>
    <xf numFmtId="9" fontId="3" fillId="24" borderId="38" xfId="50" applyFont="1" applyFill="1" applyBorder="1"/>
    <xf numFmtId="9" fontId="3" fillId="24" borderId="39" xfId="50" applyFont="1" applyFill="1" applyBorder="1"/>
    <xf numFmtId="9" fontId="3" fillId="0" borderId="0" xfId="50" applyFont="1"/>
    <xf numFmtId="0" fontId="9" fillId="0" borderId="12" xfId="0" applyFont="1" applyFill="1" applyBorder="1" applyAlignment="1">
      <alignment wrapText="1"/>
    </xf>
    <xf numFmtId="9" fontId="3" fillId="0" borderId="39" xfId="50" applyFont="1" applyFill="1" applyBorder="1" applyAlignment="1">
      <alignment wrapText="1"/>
    </xf>
    <xf numFmtId="9" fontId="2" fillId="31" borderId="38" xfId="0" applyNumberFormat="1" applyFont="1" applyFill="1" applyBorder="1"/>
    <xf numFmtId="9" fontId="2" fillId="31" borderId="38" xfId="50" applyFont="1" applyFill="1" applyBorder="1"/>
    <xf numFmtId="9" fontId="2" fillId="31" borderId="18" xfId="0" applyNumberFormat="1" applyFont="1" applyFill="1" applyBorder="1"/>
    <xf numFmtId="0" fontId="2" fillId="0" borderId="16" xfId="0" applyFont="1" applyFill="1" applyBorder="1" applyAlignment="1">
      <alignment wrapText="1"/>
    </xf>
    <xf numFmtId="180" fontId="2" fillId="24" borderId="38" xfId="50" applyNumberFormat="1" applyFont="1" applyFill="1" applyBorder="1"/>
    <xf numFmtId="0" fontId="2" fillId="0" borderId="18" xfId="0" applyFont="1" applyFill="1" applyBorder="1" applyAlignment="1">
      <alignment wrapText="1"/>
    </xf>
    <xf numFmtId="0" fontId="29" fillId="24" borderId="38" xfId="0" applyNumberFormat="1" applyFont="1" applyFill="1" applyBorder="1" applyAlignment="1">
      <alignment wrapText="1"/>
    </xf>
    <xf numFmtId="44" fontId="3" fillId="0" borderId="0" xfId="31" applyFont="1"/>
    <xf numFmtId="9" fontId="0" fillId="0" borderId="0" xfId="50" applyFont="1"/>
    <xf numFmtId="0" fontId="0" fillId="0" borderId="38" xfId="0" applyBorder="1" applyAlignment="1">
      <alignment wrapText="1"/>
    </xf>
    <xf numFmtId="0" fontId="25" fillId="0" borderId="40" xfId="0" applyFont="1" applyFill="1" applyBorder="1"/>
    <xf numFmtId="0" fontId="25" fillId="0" borderId="41" xfId="0" applyFont="1" applyFill="1" applyBorder="1"/>
    <xf numFmtId="0" fontId="25" fillId="0" borderId="42" xfId="0" applyFont="1" applyFill="1" applyBorder="1"/>
    <xf numFmtId="176" fontId="3" fillId="25" borderId="0" xfId="0" applyNumberFormat="1" applyFont="1" applyFill="1" applyBorder="1"/>
    <xf numFmtId="0" fontId="25" fillId="0" borderId="43" xfId="0" applyFont="1" applyFill="1" applyBorder="1"/>
    <xf numFmtId="0" fontId="25" fillId="0" borderId="44" xfId="0" applyFont="1" applyFill="1" applyBorder="1"/>
    <xf numFmtId="175" fontId="25" fillId="0" borderId="41" xfId="0" applyNumberFormat="1" applyFont="1" applyFill="1" applyBorder="1" applyProtection="1"/>
    <xf numFmtId="175" fontId="25" fillId="0" borderId="42" xfId="0" applyNumberFormat="1" applyFont="1" applyFill="1" applyBorder="1" applyProtection="1"/>
    <xf numFmtId="0" fontId="25" fillId="0" borderId="45" xfId="0" applyFont="1" applyFill="1" applyBorder="1"/>
    <xf numFmtId="0" fontId="25" fillId="0" borderId="46" xfId="0" applyFont="1" applyFill="1" applyBorder="1"/>
    <xf numFmtId="0" fontId="25" fillId="0" borderId="47" xfId="0" applyFont="1" applyFill="1" applyBorder="1"/>
    <xf numFmtId="0" fontId="25" fillId="0" borderId="48" xfId="0" applyFont="1" applyFill="1" applyBorder="1"/>
    <xf numFmtId="175" fontId="25" fillId="0" borderId="47" xfId="31" applyNumberFormat="1" applyFont="1" applyFill="1" applyBorder="1"/>
    <xf numFmtId="0" fontId="1" fillId="0" borderId="22" xfId="45" applyBorder="1" applyAlignment="1">
      <alignment vertical="center"/>
    </xf>
    <xf numFmtId="0" fontId="1" fillId="0" borderId="23" xfId="45" applyBorder="1" applyAlignment="1">
      <alignment vertical="center"/>
    </xf>
    <xf numFmtId="0" fontId="1" fillId="0" borderId="23" xfId="45" applyBorder="1" applyAlignment="1" applyProtection="1">
      <alignment vertical="center"/>
    </xf>
    <xf numFmtId="0" fontId="3" fillId="0" borderId="23" xfId="45" applyFont="1" applyFill="1" applyBorder="1" applyAlignment="1">
      <alignment horizontal="left" vertical="center" wrapText="1"/>
    </xf>
    <xf numFmtId="0" fontId="1" fillId="0" borderId="19" xfId="45" applyFill="1" applyBorder="1" applyAlignment="1">
      <alignment vertical="center"/>
    </xf>
    <xf numFmtId="0" fontId="2" fillId="0" borderId="20" xfId="45" applyNumberFormat="1" applyFont="1" applyFill="1" applyBorder="1" applyAlignment="1" applyProtection="1">
      <alignment horizontal="center" vertical="center" wrapText="1"/>
    </xf>
    <xf numFmtId="0" fontId="2" fillId="0" borderId="49" xfId="45" applyNumberFormat="1" applyFont="1" applyFill="1" applyBorder="1" applyAlignment="1" applyProtection="1">
      <alignment horizontal="center" vertical="center" wrapText="1"/>
    </xf>
    <xf numFmtId="0" fontId="3" fillId="0" borderId="24" xfId="45" applyFont="1" applyFill="1" applyBorder="1" applyAlignment="1">
      <alignment horizontal="left" vertical="center" wrapText="1"/>
    </xf>
    <xf numFmtId="171" fontId="1" fillId="0" borderId="0" xfId="28" applyNumberFormat="1" applyFill="1" applyBorder="1"/>
    <xf numFmtId="0" fontId="1" fillId="0" borderId="0" xfId="42" applyFont="1"/>
    <xf numFmtId="0" fontId="22" fillId="0" borderId="0" xfId="41"/>
    <xf numFmtId="0" fontId="3" fillId="0" borderId="0" xfId="47" applyAlignment="1"/>
    <xf numFmtId="0" fontId="2" fillId="0" borderId="0" xfId="47" applyFont="1" applyFill="1" applyAlignment="1">
      <alignment horizontal="center"/>
    </xf>
    <xf numFmtId="0" fontId="3" fillId="0" borderId="0" xfId="41" applyFont="1"/>
    <xf numFmtId="171" fontId="3" fillId="0" borderId="0" xfId="30" applyNumberFormat="1" applyFont="1" applyAlignment="1"/>
    <xf numFmtId="0" fontId="3" fillId="0" borderId="0" xfId="47" applyFill="1" applyAlignment="1"/>
    <xf numFmtId="0" fontId="3" fillId="0" borderId="0" xfId="47" applyBorder="1" applyAlignment="1"/>
    <xf numFmtId="0" fontId="1" fillId="0" borderId="13" xfId="42" applyBorder="1" applyAlignment="1">
      <alignment horizontal="center"/>
    </xf>
    <xf numFmtId="0" fontId="1" fillId="0" borderId="22" xfId="42" applyBorder="1" applyAlignment="1">
      <alignment horizontal="center"/>
    </xf>
    <xf numFmtId="0" fontId="3" fillId="0" borderId="38" xfId="42" applyFont="1" applyBorder="1" applyAlignment="1">
      <alignment horizontal="center" vertical="center" wrapText="1"/>
    </xf>
    <xf numFmtId="0" fontId="3" fillId="29" borderId="50" xfId="42" applyFont="1" applyFill="1" applyBorder="1" applyAlignment="1">
      <alignment horizontal="center" vertical="center" wrapText="1"/>
    </xf>
    <xf numFmtId="0" fontId="3" fillId="0" borderId="50" xfId="42" applyFont="1" applyBorder="1" applyAlignment="1">
      <alignment horizontal="center" vertical="center" wrapText="1"/>
    </xf>
    <xf numFmtId="0" fontId="3" fillId="29" borderId="38" xfId="42" applyFont="1" applyFill="1" applyBorder="1" applyAlignment="1">
      <alignment horizontal="center" vertical="center" wrapText="1"/>
    </xf>
    <xf numFmtId="0" fontId="3" fillId="32" borderId="37" xfId="42" applyFont="1" applyFill="1" applyBorder="1" applyAlignment="1">
      <alignment horizontal="center" vertical="center" wrapText="1"/>
    </xf>
    <xf numFmtId="0" fontId="3" fillId="0" borderId="37" xfId="42" applyFont="1" applyBorder="1" applyAlignment="1">
      <alignment horizontal="center" vertical="center" wrapText="1"/>
    </xf>
    <xf numFmtId="0" fontId="1" fillId="0" borderId="28" xfId="42" applyBorder="1"/>
    <xf numFmtId="0" fontId="1" fillId="0" borderId="14" xfId="42" applyBorder="1"/>
    <xf numFmtId="172" fontId="26" fillId="0" borderId="14" xfId="42" applyNumberFormat="1" applyFont="1" applyBorder="1"/>
    <xf numFmtId="1" fontId="1" fillId="0" borderId="14" xfId="42" applyNumberFormat="1" applyBorder="1"/>
    <xf numFmtId="43" fontId="1" fillId="0" borderId="14" xfId="42" applyNumberFormat="1" applyBorder="1"/>
    <xf numFmtId="164" fontId="1" fillId="0" borderId="14" xfId="42" applyNumberFormat="1" applyBorder="1"/>
    <xf numFmtId="164" fontId="1" fillId="0" borderId="14" xfId="42" applyNumberFormat="1" applyFont="1" applyBorder="1"/>
    <xf numFmtId="164" fontId="1" fillId="32" borderId="14" xfId="42" applyNumberFormat="1" applyFill="1" applyBorder="1"/>
    <xf numFmtId="164" fontId="1" fillId="32" borderId="15" xfId="42" applyNumberFormat="1" applyFill="1" applyBorder="1"/>
    <xf numFmtId="0" fontId="1" fillId="0" borderId="29" xfId="42" applyBorder="1"/>
    <xf numFmtId="0" fontId="1" fillId="0" borderId="10" xfId="42" applyBorder="1"/>
    <xf numFmtId="1" fontId="1" fillId="0" borderId="10" xfId="42" applyNumberFormat="1" applyBorder="1"/>
    <xf numFmtId="43" fontId="1" fillId="0" borderId="10" xfId="42" applyNumberFormat="1" applyBorder="1"/>
    <xf numFmtId="164" fontId="1" fillId="0" borderId="10" xfId="42" applyNumberFormat="1" applyBorder="1"/>
    <xf numFmtId="164" fontId="1" fillId="32" borderId="17" xfId="42" applyNumberFormat="1" applyFill="1" applyBorder="1"/>
    <xf numFmtId="164" fontId="1" fillId="32" borderId="10" xfId="42" applyNumberFormat="1" applyFill="1" applyBorder="1"/>
    <xf numFmtId="0" fontId="1" fillId="0" borderId="30" xfId="42" applyBorder="1"/>
    <xf numFmtId="0" fontId="1" fillId="0" borderId="20" xfId="42" applyBorder="1"/>
    <xf numFmtId="1" fontId="1" fillId="0" borderId="20" xfId="42" applyNumberFormat="1" applyBorder="1"/>
    <xf numFmtId="43" fontId="1" fillId="0" borderId="20" xfId="42" applyNumberFormat="1" applyBorder="1"/>
    <xf numFmtId="164" fontId="1" fillId="0" borderId="20" xfId="42" applyNumberFormat="1" applyBorder="1"/>
    <xf numFmtId="164" fontId="1" fillId="32" borderId="20" xfId="42" applyNumberFormat="1" applyFill="1" applyBorder="1"/>
    <xf numFmtId="164" fontId="1" fillId="32" borderId="21" xfId="42" applyNumberFormat="1" applyFill="1" applyBorder="1"/>
    <xf numFmtId="172" fontId="1" fillId="0" borderId="39" xfId="42" applyNumberFormat="1" applyBorder="1"/>
    <xf numFmtId="1" fontId="1" fillId="0" borderId="39" xfId="42" applyNumberFormat="1" applyBorder="1"/>
    <xf numFmtId="43" fontId="1" fillId="0" borderId="16" xfId="42" applyNumberFormat="1" applyBorder="1"/>
    <xf numFmtId="164" fontId="1" fillId="0" borderId="39" xfId="42" applyNumberFormat="1" applyBorder="1"/>
    <xf numFmtId="164" fontId="1" fillId="32" borderId="39" xfId="42" applyNumberFormat="1" applyFill="1" applyBorder="1"/>
    <xf numFmtId="164" fontId="1" fillId="0" borderId="39" xfId="42" applyNumberFormat="1" applyFill="1" applyBorder="1"/>
    <xf numFmtId="164" fontId="1" fillId="0" borderId="24" xfId="42" applyNumberFormat="1" applyFill="1" applyBorder="1"/>
    <xf numFmtId="0" fontId="1" fillId="0" borderId="24" xfId="42" applyFill="1" applyBorder="1"/>
    <xf numFmtId="164" fontId="1" fillId="32" borderId="24" xfId="42" applyNumberFormat="1" applyFill="1" applyBorder="1"/>
    <xf numFmtId="0" fontId="1" fillId="0" borderId="51" xfId="42" applyFill="1" applyBorder="1"/>
    <xf numFmtId="0" fontId="2" fillId="33" borderId="52" xfId="42" applyFont="1" applyFill="1" applyBorder="1" applyAlignment="1">
      <alignment horizontal="center"/>
    </xf>
    <xf numFmtId="0" fontId="1" fillId="0" borderId="52" xfId="42" applyFill="1" applyBorder="1"/>
    <xf numFmtId="0" fontId="1" fillId="0" borderId="53" xfId="42" applyBorder="1"/>
    <xf numFmtId="0" fontId="1" fillId="0" borderId="54" xfId="42" applyFill="1" applyBorder="1"/>
    <xf numFmtId="0" fontId="1" fillId="0" borderId="47" xfId="42" applyBorder="1"/>
    <xf numFmtId="10" fontId="1" fillId="0" borderId="0" xfId="42" applyNumberFormat="1"/>
    <xf numFmtId="180" fontId="1" fillId="0" borderId="37" xfId="50" applyNumberFormat="1" applyBorder="1"/>
    <xf numFmtId="0" fontId="2" fillId="0" borderId="54" xfId="42" applyFont="1" applyFill="1" applyBorder="1"/>
    <xf numFmtId="9" fontId="1" fillId="0" borderId="47" xfId="50" applyBorder="1"/>
    <xf numFmtId="9" fontId="1" fillId="0" borderId="47" xfId="50" applyFont="1" applyBorder="1"/>
    <xf numFmtId="0" fontId="1" fillId="0" borderId="54" xfId="42" applyFont="1" applyFill="1" applyBorder="1"/>
    <xf numFmtId="0" fontId="1" fillId="0" borderId="54" xfId="42" applyBorder="1"/>
    <xf numFmtId="0" fontId="2" fillId="0" borderId="54" xfId="42" applyFont="1" applyBorder="1"/>
    <xf numFmtId="10" fontId="2" fillId="0" borderId="54" xfId="42" applyNumberFormat="1" applyFont="1" applyBorder="1"/>
    <xf numFmtId="0" fontId="2" fillId="0" borderId="55" xfId="42" applyFont="1" applyBorder="1"/>
    <xf numFmtId="180" fontId="1" fillId="0" borderId="56" xfId="50" applyNumberFormat="1" applyBorder="1"/>
    <xf numFmtId="10" fontId="1" fillId="0" borderId="56" xfId="50" applyNumberFormat="1" applyBorder="1"/>
    <xf numFmtId="0" fontId="1" fillId="0" borderId="46" xfId="42" applyBorder="1"/>
    <xf numFmtId="0" fontId="1" fillId="0" borderId="51" xfId="42" applyBorder="1"/>
    <xf numFmtId="0" fontId="1" fillId="0" borderId="52" xfId="42" applyBorder="1"/>
    <xf numFmtId="0" fontId="1" fillId="0" borderId="56" xfId="42" applyBorder="1"/>
    <xf numFmtId="0" fontId="3" fillId="29" borderId="37" xfId="42" applyFont="1" applyFill="1" applyBorder="1" applyAlignment="1">
      <alignment horizontal="center" vertical="center" wrapText="1"/>
    </xf>
    <xf numFmtId="172" fontId="26" fillId="0" borderId="10" xfId="42" applyNumberFormat="1" applyFont="1" applyBorder="1"/>
    <xf numFmtId="164" fontId="1" fillId="0" borderId="10" xfId="42" applyNumberFormat="1" applyFont="1" applyBorder="1"/>
    <xf numFmtId="172" fontId="26" fillId="0" borderId="20" xfId="42" applyNumberFormat="1" applyFont="1" applyBorder="1"/>
    <xf numFmtId="164" fontId="1" fillId="0" borderId="20" xfId="42" applyNumberFormat="1" applyFont="1" applyBorder="1"/>
    <xf numFmtId="184" fontId="26" fillId="0" borderId="10" xfId="28" applyNumberFormat="1" applyFont="1" applyBorder="1" applyAlignment="1"/>
    <xf numFmtId="171" fontId="1" fillId="0" borderId="10" xfId="28" applyNumberFormat="1" applyBorder="1" applyAlignment="1"/>
    <xf numFmtId="171" fontId="1" fillId="0" borderId="0" xfId="28" applyNumberFormat="1" applyAlignment="1"/>
    <xf numFmtId="184" fontId="26" fillId="0" borderId="14" xfId="28" applyNumberFormat="1" applyFont="1" applyBorder="1" applyAlignment="1"/>
    <xf numFmtId="171" fontId="1" fillId="0" borderId="14" xfId="28" applyNumberFormat="1" applyBorder="1" applyAlignment="1"/>
    <xf numFmtId="184" fontId="26" fillId="0" borderId="20" xfId="28" applyNumberFormat="1" applyFont="1" applyBorder="1" applyAlignment="1"/>
    <xf numFmtId="171" fontId="1" fillId="0" borderId="20" xfId="28" applyNumberFormat="1" applyBorder="1" applyAlignment="1"/>
    <xf numFmtId="6" fontId="25" fillId="0" borderId="44" xfId="0" applyNumberFormat="1" applyFont="1" applyFill="1" applyBorder="1"/>
    <xf numFmtId="6" fontId="25" fillId="0" borderId="57" xfId="0" applyNumberFormat="1" applyFont="1" applyFill="1" applyBorder="1"/>
    <xf numFmtId="43" fontId="25" fillId="0" borderId="14" xfId="0" applyNumberFormat="1" applyFont="1" applyFill="1" applyBorder="1"/>
    <xf numFmtId="43" fontId="25" fillId="0" borderId="15" xfId="0" applyNumberFormat="1" applyFont="1" applyFill="1" applyBorder="1"/>
    <xf numFmtId="0" fontId="25" fillId="0" borderId="58" xfId="0" applyFont="1" applyFill="1" applyBorder="1"/>
    <xf numFmtId="0" fontId="25" fillId="0" borderId="59" xfId="0" applyFont="1" applyFill="1" applyBorder="1"/>
    <xf numFmtId="0" fontId="25" fillId="0" borderId="60" xfId="0" applyFont="1" applyFill="1" applyBorder="1"/>
    <xf numFmtId="0" fontId="25" fillId="0" borderId="61" xfId="0" applyFont="1" applyFill="1" applyBorder="1"/>
    <xf numFmtId="43" fontId="25" fillId="0" borderId="10" xfId="0" applyNumberFormat="1" applyFont="1" applyFill="1" applyBorder="1"/>
    <xf numFmtId="0" fontId="25" fillId="0" borderId="62" xfId="0" applyFont="1" applyFill="1" applyBorder="1"/>
    <xf numFmtId="43" fontId="25" fillId="0" borderId="11" xfId="0" applyNumberFormat="1" applyFont="1" applyFill="1" applyBorder="1"/>
    <xf numFmtId="167" fontId="25" fillId="0" borderId="11" xfId="0" applyNumberFormat="1" applyFont="1" applyFill="1" applyBorder="1" applyProtection="1"/>
    <xf numFmtId="167" fontId="25" fillId="0" borderId="63" xfId="0" applyNumberFormat="1" applyFont="1" applyFill="1" applyBorder="1" applyProtection="1"/>
    <xf numFmtId="172" fontId="25" fillId="0" borderId="10" xfId="0" applyNumberFormat="1" applyFont="1" applyFill="1" applyBorder="1"/>
    <xf numFmtId="172" fontId="25" fillId="0" borderId="17" xfId="0" applyNumberFormat="1" applyFont="1" applyFill="1" applyBorder="1"/>
    <xf numFmtId="0" fontId="3" fillId="0" borderId="0" xfId="46" applyAlignment="1"/>
    <xf numFmtId="0" fontId="21" fillId="0" borderId="0" xfId="46" applyFont="1" applyAlignment="1">
      <alignment horizontal="center"/>
    </xf>
    <xf numFmtId="0" fontId="2" fillId="0" borderId="0" xfId="46" applyFont="1" applyFill="1" applyAlignment="1">
      <alignment horizontal="center"/>
    </xf>
    <xf numFmtId="0" fontId="21" fillId="0" borderId="0" xfId="46" applyFont="1" applyFill="1" applyAlignment="1">
      <alignment horizontal="center"/>
    </xf>
    <xf numFmtId="0" fontId="0" fillId="0" borderId="0" xfId="0"/>
    <xf numFmtId="171" fontId="3" fillId="0" borderId="0" xfId="28" applyNumberFormat="1" applyFont="1" applyAlignment="1"/>
    <xf numFmtId="171" fontId="3" fillId="0" borderId="0" xfId="28" applyNumberFormat="1" applyFont="1" applyFill="1" applyAlignment="1"/>
    <xf numFmtId="180" fontId="3" fillId="0" borderId="0" xfId="50" applyNumberFormat="1" applyFont="1" applyAlignment="1"/>
    <xf numFmtId="0" fontId="3" fillId="0" borderId="0" xfId="46" applyFill="1" applyAlignment="1"/>
    <xf numFmtId="0" fontId="3" fillId="0" borderId="0" xfId="46" applyBorder="1" applyAlignment="1"/>
    <xf numFmtId="171" fontId="3" fillId="0" borderId="0" xfId="46" applyNumberFormat="1" applyFont="1" applyBorder="1" applyAlignment="1"/>
    <xf numFmtId="171" fontId="3" fillId="0" borderId="0" xfId="46" applyNumberFormat="1" applyFont="1" applyFill="1" applyBorder="1" applyAlignment="1"/>
    <xf numFmtId="186" fontId="25" fillId="0" borderId="44" xfId="0" applyNumberFormat="1" applyFont="1" applyFill="1" applyBorder="1" applyProtection="1"/>
    <xf numFmtId="186" fontId="25" fillId="0" borderId="57" xfId="0" applyNumberFormat="1" applyFont="1" applyFill="1" applyBorder="1" applyProtection="1"/>
    <xf numFmtId="0" fontId="24" fillId="0" borderId="25" xfId="0" applyFont="1" applyFill="1" applyBorder="1" applyAlignment="1">
      <alignment horizontal="center"/>
    </xf>
    <xf numFmtId="0" fontId="24" fillId="0" borderId="26" xfId="0" applyFont="1" applyFill="1" applyBorder="1" applyAlignment="1">
      <alignment horizontal="center"/>
    </xf>
    <xf numFmtId="0" fontId="24" fillId="0" borderId="27" xfId="0" applyFont="1" applyFill="1" applyBorder="1" applyAlignment="1">
      <alignment horizontal="center"/>
    </xf>
    <xf numFmtId="0" fontId="24" fillId="0" borderId="18" xfId="0" applyFont="1" applyFill="1" applyBorder="1" applyAlignment="1">
      <alignment horizontal="center"/>
    </xf>
    <xf numFmtId="0" fontId="24" fillId="0" borderId="19" xfId="0" applyFont="1" applyFill="1" applyBorder="1" applyAlignment="1">
      <alignment horizontal="center"/>
    </xf>
    <xf numFmtId="0" fontId="24" fillId="0" borderId="24" xfId="0" applyFont="1" applyFill="1" applyBorder="1" applyAlignment="1">
      <alignment horizontal="center"/>
    </xf>
    <xf numFmtId="0" fontId="7" fillId="0" borderId="25" xfId="0" applyFont="1" applyFill="1" applyBorder="1" applyAlignment="1" applyProtection="1">
      <alignment horizontal="center" vertical="center" wrapText="1"/>
    </xf>
    <xf numFmtId="0" fontId="0" fillId="0" borderId="26" xfId="0" applyBorder="1" applyAlignment="1">
      <alignment horizontal="center" vertical="center"/>
    </xf>
    <xf numFmtId="0" fontId="0" fillId="0" borderId="27" xfId="0" applyBorder="1" applyAlignment="1">
      <alignment horizontal="center" vertical="center"/>
    </xf>
    <xf numFmtId="0" fontId="15" fillId="0" borderId="25" xfId="0" applyFont="1" applyFill="1" applyBorder="1" applyAlignment="1">
      <alignment horizontal="center" vertical="center" wrapText="1"/>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20" fillId="0" borderId="0" xfId="0" applyFont="1" applyAlignment="1">
      <alignment horizontal="center"/>
    </xf>
    <xf numFmtId="0" fontId="0" fillId="0" borderId="0" xfId="0" applyAlignment="1">
      <alignment horizontal="center"/>
    </xf>
    <xf numFmtId="0" fontId="9" fillId="30" borderId="25" xfId="0" applyFont="1" applyFill="1" applyBorder="1" applyAlignment="1">
      <alignment horizontal="center"/>
    </xf>
    <xf numFmtId="0" fontId="9" fillId="30" borderId="26" xfId="0" applyFont="1" applyFill="1" applyBorder="1" applyAlignment="1">
      <alignment horizontal="center"/>
    </xf>
    <xf numFmtId="0" fontId="9" fillId="30" borderId="27" xfId="0" applyFont="1" applyFill="1" applyBorder="1" applyAlignment="1">
      <alignment horizontal="center"/>
    </xf>
    <xf numFmtId="0" fontId="2" fillId="0" borderId="19" xfId="0" applyFont="1" applyBorder="1" applyAlignment="1">
      <alignment horizontal="center"/>
    </xf>
    <xf numFmtId="0" fontId="18" fillId="0" borderId="29" xfId="0" applyFont="1" applyFill="1" applyBorder="1" applyAlignment="1" applyProtection="1">
      <alignment horizontal="center" vertical="center" wrapText="1"/>
    </xf>
    <xf numFmtId="0" fontId="18" fillId="0" borderId="10" xfId="0" applyFont="1" applyBorder="1" applyAlignment="1">
      <alignment horizontal="center" vertical="center"/>
    </xf>
    <xf numFmtId="181" fontId="18" fillId="0" borderId="10" xfId="0" applyNumberFormat="1" applyFont="1" applyBorder="1" applyAlignment="1">
      <alignment horizontal="center" vertical="center"/>
    </xf>
    <xf numFmtId="181" fontId="18" fillId="0" borderId="17" xfId="0" applyNumberFormat="1" applyFont="1" applyBorder="1" applyAlignment="1">
      <alignment horizontal="center" vertical="center"/>
    </xf>
    <xf numFmtId="0" fontId="18" fillId="0" borderId="64" xfId="0" applyFont="1" applyFill="1" applyBorder="1" applyAlignment="1" applyProtection="1">
      <alignment horizontal="center" vertical="center" wrapText="1"/>
    </xf>
    <xf numFmtId="0" fontId="18" fillId="0" borderId="33" xfId="0" applyFont="1" applyFill="1" applyBorder="1" applyAlignment="1" applyProtection="1">
      <alignment horizontal="center" vertical="center" wrapText="1"/>
    </xf>
    <xf numFmtId="0" fontId="18" fillId="0" borderId="31" xfId="0" applyFont="1" applyFill="1" applyBorder="1" applyAlignment="1" applyProtection="1">
      <alignment horizontal="center" vertical="center" wrapText="1"/>
    </xf>
    <xf numFmtId="181" fontId="18" fillId="0" borderId="12" xfId="0" applyNumberFormat="1" applyFont="1" applyFill="1" applyBorder="1" applyAlignment="1" applyProtection="1">
      <alignment horizontal="center" vertical="center" wrapText="1"/>
    </xf>
    <xf numFmtId="181" fontId="18" fillId="0" borderId="13" xfId="0" applyNumberFormat="1" applyFont="1" applyFill="1" applyBorder="1" applyAlignment="1" applyProtection="1">
      <alignment horizontal="center" vertical="center" wrapText="1"/>
    </xf>
    <xf numFmtId="181" fontId="18" fillId="0" borderId="22" xfId="0" applyNumberFormat="1"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181" fontId="18" fillId="0" borderId="10" xfId="0" applyNumberFormat="1" applyFont="1" applyFill="1" applyBorder="1" applyAlignment="1" applyProtection="1">
      <alignment horizontal="center" vertical="center" wrapText="1"/>
    </xf>
    <xf numFmtId="181" fontId="18" fillId="0" borderId="17" xfId="0" applyNumberFormat="1" applyFont="1" applyFill="1" applyBorder="1" applyAlignment="1" applyProtection="1">
      <alignment horizontal="center" vertical="center" wrapText="1"/>
    </xf>
    <xf numFmtId="169" fontId="3" fillId="0" borderId="54" xfId="45" applyNumberFormat="1" applyFont="1" applyFill="1" applyBorder="1" applyAlignment="1" applyProtection="1">
      <alignment horizontal="left" vertical="center" wrapText="1"/>
      <protection locked="0"/>
    </xf>
    <xf numFmtId="0" fontId="1" fillId="0" borderId="0" xfId="45" applyFont="1" applyFill="1" applyBorder="1" applyAlignment="1">
      <alignment horizontal="left" vertical="center" wrapText="1"/>
    </xf>
    <xf numFmtId="0" fontId="0" fillId="0" borderId="0" xfId="0" applyBorder="1" applyAlignment="1">
      <alignment vertical="center" wrapText="1"/>
    </xf>
    <xf numFmtId="0" fontId="0" fillId="0" borderId="23" xfId="0" applyBorder="1" applyAlignment="1">
      <alignment vertical="center" wrapText="1"/>
    </xf>
    <xf numFmtId="0" fontId="7" fillId="0" borderId="16" xfId="45" applyFont="1" applyFill="1" applyBorder="1" applyAlignment="1" applyProtection="1">
      <alignment horizontal="center" vertical="center" wrapText="1"/>
    </xf>
    <xf numFmtId="0" fontId="13" fillId="0" borderId="0" xfId="45" applyFont="1" applyBorder="1" applyAlignment="1">
      <alignment horizontal="center" vertical="center" wrapText="1"/>
    </xf>
    <xf numFmtId="174" fontId="3" fillId="0" borderId="54" xfId="45" applyNumberFormat="1" applyFont="1" applyFill="1" applyBorder="1" applyAlignment="1" applyProtection="1">
      <alignment horizontal="left" vertical="center" wrapText="1"/>
      <protection locked="0"/>
    </xf>
    <xf numFmtId="0" fontId="1" fillId="0" borderId="54" xfId="45" applyBorder="1" applyAlignment="1">
      <alignment horizontal="left" vertical="center" wrapText="1"/>
    </xf>
    <xf numFmtId="0" fontId="1" fillId="0" borderId="0" xfId="45" applyBorder="1" applyAlignment="1">
      <alignment horizontal="left" vertical="center" wrapText="1"/>
    </xf>
    <xf numFmtId="0" fontId="0" fillId="0" borderId="0" xfId="0" applyBorder="1" applyAlignment="1">
      <alignment wrapText="1"/>
    </xf>
    <xf numFmtId="0" fontId="0" fillId="0" borderId="23" xfId="0" applyBorder="1" applyAlignment="1">
      <alignment wrapText="1"/>
    </xf>
    <xf numFmtId="0" fontId="0" fillId="0" borderId="54" xfId="0" applyBorder="1" applyAlignment="1">
      <alignment wrapText="1"/>
    </xf>
    <xf numFmtId="164" fontId="2" fillId="0" borderId="51" xfId="45" applyNumberFormat="1" applyFont="1" applyFill="1" applyBorder="1" applyAlignment="1">
      <alignment horizontal="left" vertical="center" wrapText="1"/>
    </xf>
    <xf numFmtId="0" fontId="1" fillId="0" borderId="52" xfId="45" applyFont="1" applyFill="1" applyBorder="1" applyAlignment="1">
      <alignment horizontal="left" vertical="center" wrapText="1"/>
    </xf>
    <xf numFmtId="0" fontId="0" fillId="0" borderId="52" xfId="0" applyBorder="1" applyAlignment="1">
      <alignment vertical="center" wrapText="1"/>
    </xf>
    <xf numFmtId="0" fontId="0" fillId="0" borderId="65" xfId="0" applyBorder="1" applyAlignment="1">
      <alignment vertical="center" wrapText="1"/>
    </xf>
    <xf numFmtId="0" fontId="0" fillId="0" borderId="54" xfId="0" applyBorder="1" applyAlignment="1">
      <alignment vertical="center" wrapText="1"/>
    </xf>
    <xf numFmtId="0" fontId="0" fillId="0" borderId="52" xfId="0" applyBorder="1" applyAlignment="1">
      <alignment vertical="center"/>
    </xf>
    <xf numFmtId="0" fontId="7" fillId="0" borderId="12" xfId="45" applyFont="1" applyFill="1" applyBorder="1" applyAlignment="1" applyProtection="1">
      <alignment horizontal="center" vertical="center" wrapText="1"/>
    </xf>
    <xf numFmtId="0" fontId="1" fillId="0" borderId="13" xfId="45" applyBorder="1" applyAlignment="1">
      <alignment horizontal="center" vertical="center"/>
    </xf>
    <xf numFmtId="0" fontId="0" fillId="0" borderId="13" xfId="0" applyBorder="1" applyAlignment="1">
      <alignment vertical="center"/>
    </xf>
    <xf numFmtId="175" fontId="3" fillId="0" borderId="13" xfId="45" applyNumberFormat="1" applyFont="1" applyFill="1" applyBorder="1" applyAlignment="1" applyProtection="1">
      <alignment horizontal="left" vertical="center" wrapText="1"/>
    </xf>
    <xf numFmtId="0" fontId="1" fillId="0" borderId="13" xfId="45" applyBorder="1" applyAlignment="1">
      <alignment horizontal="left" vertical="center" wrapText="1"/>
    </xf>
    <xf numFmtId="0" fontId="0" fillId="0" borderId="0" xfId="0" applyBorder="1" applyAlignment="1">
      <alignment vertical="center"/>
    </xf>
    <xf numFmtId="0" fontId="1" fillId="0" borderId="66" xfId="45" applyBorder="1" applyAlignment="1">
      <alignment horizontal="left" vertical="center" wrapText="1"/>
    </xf>
    <xf numFmtId="0" fontId="1" fillId="0" borderId="19" xfId="45" applyBorder="1" applyAlignment="1">
      <alignment horizontal="left" vertical="center" wrapText="1"/>
    </xf>
    <xf numFmtId="0" fontId="0" fillId="0" borderId="19" xfId="0" applyBorder="1" applyAlignment="1">
      <alignment vertical="center" wrapText="1"/>
    </xf>
    <xf numFmtId="0" fontId="0" fillId="0" borderId="24" xfId="0" applyBorder="1" applyAlignment="1">
      <alignment vertical="center" wrapText="1"/>
    </xf>
    <xf numFmtId="0" fontId="7" fillId="0" borderId="0" xfId="45" applyFont="1" applyFill="1" applyBorder="1" applyAlignment="1" applyProtection="1">
      <alignment horizontal="center" vertical="center" wrapText="1"/>
    </xf>
    <xf numFmtId="0" fontId="0" fillId="0" borderId="23" xfId="0" applyBorder="1" applyAlignment="1">
      <alignment vertical="center"/>
    </xf>
    <xf numFmtId="0" fontId="7" fillId="0" borderId="13" xfId="45" applyFont="1" applyFill="1" applyBorder="1" applyAlignment="1" applyProtection="1">
      <alignment horizontal="center" vertical="center" wrapText="1"/>
    </xf>
    <xf numFmtId="0" fontId="2" fillId="0" borderId="67" xfId="45" applyNumberFormat="1" applyFont="1" applyFill="1" applyBorder="1" applyAlignment="1" applyProtection="1">
      <alignment horizontal="center" vertical="center" wrapText="1"/>
    </xf>
    <xf numFmtId="0" fontId="0" fillId="0" borderId="68" xfId="0" applyBorder="1" applyAlignment="1">
      <alignment horizontal="center" vertical="center" wrapText="1"/>
    </xf>
    <xf numFmtId="0" fontId="2" fillId="0" borderId="0" xfId="46" applyFont="1" applyAlignment="1">
      <alignment horizontal="center"/>
    </xf>
    <xf numFmtId="0" fontId="2" fillId="0" borderId="56" xfId="47" applyFont="1" applyBorder="1" applyAlignment="1">
      <alignment horizontal="center"/>
    </xf>
    <xf numFmtId="0" fontId="2" fillId="0" borderId="0" xfId="46" applyFont="1" applyFill="1" applyAlignment="1">
      <alignment horizontal="center"/>
    </xf>
    <xf numFmtId="0" fontId="1" fillId="0" borderId="25" xfId="42" applyBorder="1" applyAlignment="1">
      <alignment horizontal="center"/>
    </xf>
    <xf numFmtId="0" fontId="1" fillId="0" borderId="27" xfId="42" applyBorder="1" applyAlignment="1">
      <alignment horizontal="center"/>
    </xf>
    <xf numFmtId="0" fontId="20" fillId="0" borderId="0" xfId="42" applyFont="1" applyAlignment="1">
      <alignment horizontal="center" vertical="center"/>
    </xf>
    <xf numFmtId="0" fontId="1" fillId="0" borderId="26" xfId="42" applyBorder="1" applyAlignment="1">
      <alignment horizontal="center"/>
    </xf>
    <xf numFmtId="0" fontId="2" fillId="0" borderId="0" xfId="42" applyFont="1" applyBorder="1" applyAlignment="1">
      <alignment horizontal="center"/>
    </xf>
    <xf numFmtId="0" fontId="2" fillId="0" borderId="47" xfId="42" applyFont="1" applyBorder="1" applyAlignment="1">
      <alignment horizontal="center"/>
    </xf>
    <xf numFmtId="0" fontId="1" fillId="0" borderId="0" xfId="42" applyFont="1" applyAlignment="1">
      <alignment wrapText="1"/>
    </xf>
    <xf numFmtId="0" fontId="1" fillId="0" borderId="0" xfId="42" applyAlignment="1">
      <alignment wrapText="1"/>
    </xf>
    <xf numFmtId="0" fontId="2" fillId="0" borderId="0" xfId="42" applyFont="1" applyFill="1" applyBorder="1" applyAlignment="1">
      <alignment horizontal="center"/>
    </xf>
    <xf numFmtId="0" fontId="2" fillId="0" borderId="0" xfId="42" applyFont="1" applyAlignment="1">
      <alignment horizontal="center"/>
    </xf>
    <xf numFmtId="0" fontId="2" fillId="0" borderId="52" xfId="42" applyFont="1" applyBorder="1" applyAlignment="1">
      <alignment horizontal="center"/>
    </xf>
    <xf numFmtId="0" fontId="8" fillId="0" borderId="26" xfId="0" applyFont="1" applyBorder="1" applyAlignment="1">
      <alignment horizontal="center" vertical="center" wrapText="1"/>
    </xf>
    <xf numFmtId="0" fontId="0" fillId="0" borderId="27" xfId="0" applyBorder="1" applyAlignment="1">
      <alignment horizontal="center" vertical="center" wrapText="1"/>
    </xf>
    <xf numFmtId="0" fontId="0" fillId="0" borderId="26" xfId="0" applyBorder="1" applyAlignment="1">
      <alignment horizontal="center" vertical="center" wrapText="1"/>
    </xf>
    <xf numFmtId="0" fontId="13" fillId="0" borderId="26" xfId="0" applyFont="1" applyBorder="1" applyAlignment="1">
      <alignment horizontal="center" vertical="center" wrapText="1"/>
    </xf>
  </cellXfs>
  <cellStyles count="5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3" xfId="30"/>
    <cellStyle name="Currency" xfId="31" builtinId="4"/>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Input" xfId="38" builtinId="20" customBuiltin="1"/>
    <cellStyle name="Linked Cell" xfId="39" builtinId="24" customBuiltin="1"/>
    <cellStyle name="Neutral" xfId="40" builtinId="28" customBuiltin="1"/>
    <cellStyle name="Normal" xfId="0" builtinId="0"/>
    <cellStyle name="Normal 2" xfId="41"/>
    <cellStyle name="Normal_2010-2014 System Delivery total co.  Rev 070909" xfId="42"/>
    <cellStyle name="Normal_Chemical Variance Analysis 5-year averages 2005-2009" xfId="43"/>
    <cellStyle name="Normal_Chemicals_Model" xfId="44"/>
    <cellStyle name="Normal_F&amp;P 4th revision avg demand cost wo 3% to energy cost" xfId="45"/>
    <cellStyle name="Normal_Revenue Analysis - KY - June 2011" xfId="46"/>
    <cellStyle name="Normal_Revenue Analysis - KY - June 2011 2" xfId="47"/>
    <cellStyle name="Note" xfId="48" builtinId="10" customBuiltin="1"/>
    <cellStyle name="Output" xfId="49" builtinId="21" customBuiltin="1"/>
    <cellStyle name="Percent" xfId="50" builtinId="5"/>
    <cellStyle name="Percent 2" xfId="51"/>
    <cellStyle name="Title" xfId="52" builtinId="15" customBuiltin="1"/>
    <cellStyle name="Total" xfId="53" builtinId="25" customBuiltin="1"/>
    <cellStyle name="Warning Text" xfId="5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41"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514350</xdr:colOff>
      <xdr:row>15</xdr:row>
      <xdr:rowOff>76200</xdr:rowOff>
    </xdr:from>
    <xdr:to>
      <xdr:col>1</xdr:col>
      <xdr:colOff>476250</xdr:colOff>
      <xdr:row>15</xdr:row>
      <xdr:rowOff>76200</xdr:rowOff>
    </xdr:to>
    <xdr:sp macro="" textlink="">
      <xdr:nvSpPr>
        <xdr:cNvPr id="30721" name="Line 1"/>
        <xdr:cNvSpPr>
          <a:spLocks noChangeShapeType="1"/>
        </xdr:cNvSpPr>
      </xdr:nvSpPr>
      <xdr:spPr bwMode="auto">
        <a:xfrm>
          <a:off x="514350" y="3752850"/>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30722" name="Line 2"/>
        <xdr:cNvSpPr>
          <a:spLocks noChangeShapeType="1"/>
        </xdr:cNvSpPr>
      </xdr:nvSpPr>
      <xdr:spPr bwMode="auto">
        <a:xfrm>
          <a:off x="514350" y="3752850"/>
          <a:ext cx="552450" cy="0"/>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514350</xdr:colOff>
      <xdr:row>15</xdr:row>
      <xdr:rowOff>76200</xdr:rowOff>
    </xdr:from>
    <xdr:to>
      <xdr:col>1</xdr:col>
      <xdr:colOff>476250</xdr:colOff>
      <xdr:row>15</xdr:row>
      <xdr:rowOff>76200</xdr:rowOff>
    </xdr:to>
    <xdr:sp macro="" textlink="">
      <xdr:nvSpPr>
        <xdr:cNvPr id="21505" name="Line 1"/>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1506" name="Line 2"/>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1507" name="Line 3"/>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1508" name="Line 4"/>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1509" name="Line 5"/>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1510" name="Line 6"/>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1511" name="Line 7"/>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1512" name="Line 8"/>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1513" name="Line 9"/>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1514" name="Line 10"/>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1515" name="Line 1"/>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1516" name="Line 2"/>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514350</xdr:colOff>
      <xdr:row>15</xdr:row>
      <xdr:rowOff>76200</xdr:rowOff>
    </xdr:from>
    <xdr:to>
      <xdr:col>1</xdr:col>
      <xdr:colOff>476250</xdr:colOff>
      <xdr:row>15</xdr:row>
      <xdr:rowOff>76200</xdr:rowOff>
    </xdr:to>
    <xdr:sp macro="" textlink="">
      <xdr:nvSpPr>
        <xdr:cNvPr id="22529" name="Line 1"/>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30" name="Line 2"/>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31" name="Line 3"/>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32" name="Line 4"/>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33" name="Line 5"/>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34" name="Line 6"/>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35" name="Line 7"/>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36" name="Line 8"/>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37" name="Line 9"/>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38" name="Line 10"/>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39" name="Line 11"/>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40" name="Line 12"/>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42" name="Line 1"/>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twoCellAnchor>
    <xdr:from>
      <xdr:col>0</xdr:col>
      <xdr:colOff>514350</xdr:colOff>
      <xdr:row>15</xdr:row>
      <xdr:rowOff>76200</xdr:rowOff>
    </xdr:from>
    <xdr:to>
      <xdr:col>1</xdr:col>
      <xdr:colOff>476250</xdr:colOff>
      <xdr:row>15</xdr:row>
      <xdr:rowOff>76200</xdr:rowOff>
    </xdr:to>
    <xdr:sp macro="" textlink="">
      <xdr:nvSpPr>
        <xdr:cNvPr id="22543" name="Line 2"/>
        <xdr:cNvSpPr>
          <a:spLocks noChangeShapeType="1"/>
        </xdr:cNvSpPr>
      </xdr:nvSpPr>
      <xdr:spPr bwMode="auto">
        <a:xfrm>
          <a:off x="514350" y="3667125"/>
          <a:ext cx="552450" cy="0"/>
        </a:xfrm>
        <a:prstGeom prst="line">
          <a:avLst/>
        </a:prstGeom>
        <a:noFill/>
        <a:ln w="9525">
          <a:solidFill>
            <a:srgbClr val="000000"/>
          </a:solidFill>
          <a:round/>
          <a:headEnd/>
          <a:tailEnd type="triangle" w="med" len="me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heheedb/My%20Documents/EXCEL/2009/Budget/Forecasting%202010%20-%202014/Plan%20Numbers%20Submitted/Final%20Numbers/Rate%20Case/Chemicals%20Model%20KY%20121509%20Rate%20C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SHEHEEDB/My%20Documents/EXCEL/2011/Budget/2011%20Budget%20Numbers/Projections/2011%20Chemicals%20December%20Actuals%2001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sheheedb/My%20Documents/EXCEL/2010/Rate%20Case/FP&amp;CHEM10%20Shehee%20Revised%20with%20Updated%20Chemical%20Assumptions%200416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ROD\Pumpage\PUMPC2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OD\Chemical%20Usage\Stock%20C%20Folder\2012%20Chemical%20Issues-Usag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HEHEEDB/My%20Documents/EXCEL/2011/Budget/2012/2012-2016%20Chemicals%20082611%203%20y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ROD\RRS%20MOR\RRS%20MOR%202012\January\KY0340250B%20MOR%20January%202012.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KY0340250B%20MOR%20February%20201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KY0340250B%20MOR%20March%202012.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KY0340250B%20MOR%20April%202012.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KY0340250B%20MOR%20May%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millersa/LOCALS~1/Temp/notes0DB5F3/Chemicals%20Model%20KY%20121509%20Rate%20Case.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KY0340250B%20MOR%20June%202012.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KY0340250B%20MOR%20July%202012.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KY0340250B%20MOR%20August%202012.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KY0340250B%20MOR%20September%202012.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KY0340250B%20MOR%20October%202012.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KY0340250B%20MOR%20November%202012.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KY0340250B%20MOR%20December%2020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SHEHEEDB/My%20Documents/EXCEL/2012/Budget/Projections/2012%20Chemicals%20April%20Actuals%200503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shared\Production\Owenton%20Water%20Plant\Water%20Plant%20Files\Withdrawal%20Reporting\Withdrawal%20Reporting_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hared\Production\KRS%20II\2012\KRSII%202012%20Withdraw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SHEHEEDB/My%20Documents/EXCEL/2011/Budget/2012/2012-2016%20Chemicals%20082611%204%20y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colers/Desktop/Budget%202011/Fuel%20and%20Power/Final%20Fuel%20and%20Power%202011-2013%20with%20New%20SD%201115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3-2014%20Chemicals%20061512%204%20y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heheedb/My%20Documents/EXCEL/2008/Budget/Variance/Chemical%20Variance%20Analysis%20December%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sheheedb/My%20Documents/EXCEL/2009/Budget/Variance/Chemical%20Variance%20Analysis%20Decembe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sheheedb/My%20Documents/EXCEL/2010/Budget/Variance/Chemical%20Variance%20Analysis%20December%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sheheedb/My%20Documents/EXCEL/2007/Budget/Variance/Chemical%20Variance%20Analysis%20December%20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ROD\Chemical%20Usage\Stock%20C%20Folder\2011%20Chemical%20Issues-Usag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Task List"/>
      <sheetName val="P&amp;L - Link Out"/>
      <sheetName val="Data Summary Sheet"/>
      <sheetName val="Link In-Sys Dlvy"/>
      <sheetName val="Historical Data Start"/>
      <sheetName val="Historical Usage lbs"/>
      <sheetName val="Avg Sys Delivery"/>
      <sheetName val="Dosage per 000 Gal"/>
      <sheetName val="Historical Data End"/>
      <sheetName val="Link In-Chemical Price"/>
      <sheetName val="Assumptions"/>
      <sheetName val="Reports Start"/>
      <sheetName val="Expense Summary"/>
      <sheetName val="Usage (lbs) Summary"/>
      <sheetName val="Dosage per 000 Gal Summary"/>
      <sheetName val="Alloc Validation"/>
      <sheetName val="Reports End"/>
      <sheetName val="Worksheets&gt;&gt;"/>
      <sheetName val="Fixed Costs"/>
      <sheetName val="Start"/>
      <sheetName val="KRS I Pool 9"/>
      <sheetName val="RRS"/>
      <sheetName val="KRS II Pool 3"/>
      <sheetName val="ND WTP"/>
      <sheetName val="End"/>
      <sheetName val="Blank_Template"/>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C3" t="str">
            <v>Kentucky American</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ummary"/>
      <sheetName val="Budget"/>
      <sheetName val="Actual"/>
      <sheetName val="Difference"/>
      <sheetName val="Price Changes"/>
      <sheetName val="Pumpage"/>
      <sheetName val="Lex WTPs 2007-2009"/>
      <sheetName val="ND WTP 2008-2009"/>
      <sheetName val="ND WWTP 2010-2014"/>
      <sheetName val="RWV 2010-2014"/>
      <sheetName val="Chemical Assumptions"/>
      <sheetName val="FY11 Plan Sys Del  11.7%"/>
      <sheetName val="In Plant Usage"/>
    </sheetNames>
    <sheetDataSet>
      <sheetData sheetId="0"/>
      <sheetData sheetId="1"/>
      <sheetData sheetId="2"/>
      <sheetData sheetId="3"/>
      <sheetData sheetId="4">
        <row r="4">
          <cell r="F4">
            <v>0.88580000000000003</v>
          </cell>
        </row>
        <row r="6">
          <cell r="F6">
            <v>1.4008</v>
          </cell>
        </row>
        <row r="8">
          <cell r="F8">
            <v>0.10692</v>
          </cell>
        </row>
        <row r="12">
          <cell r="F12">
            <v>0</v>
          </cell>
        </row>
        <row r="15">
          <cell r="F15">
            <v>0</v>
          </cell>
        </row>
        <row r="16">
          <cell r="F16">
            <v>8.0799999999999997E-2</v>
          </cell>
        </row>
        <row r="17">
          <cell r="F17">
            <v>0</v>
          </cell>
        </row>
        <row r="18">
          <cell r="F18">
            <v>0</v>
          </cell>
        </row>
        <row r="22">
          <cell r="F22">
            <v>0.87549999999999994</v>
          </cell>
        </row>
        <row r="26">
          <cell r="F26">
            <v>0.10692</v>
          </cell>
        </row>
        <row r="31">
          <cell r="F31">
            <v>2.6780000000000004</v>
          </cell>
        </row>
        <row r="35">
          <cell r="F35">
            <v>0.98365000000000002</v>
          </cell>
        </row>
        <row r="36">
          <cell r="F36">
            <v>0</v>
          </cell>
        </row>
        <row r="39">
          <cell r="F39">
            <v>0</v>
          </cell>
        </row>
        <row r="43">
          <cell r="F43">
            <v>0</v>
          </cell>
        </row>
        <row r="46">
          <cell r="F46">
            <v>0</v>
          </cell>
        </row>
        <row r="50">
          <cell r="F50">
            <v>0</v>
          </cell>
        </row>
        <row r="58">
          <cell r="F58">
            <v>0.88580000000000003</v>
          </cell>
        </row>
        <row r="60">
          <cell r="F60">
            <v>0</v>
          </cell>
        </row>
        <row r="62">
          <cell r="F62">
            <v>0.32669999999999999</v>
          </cell>
        </row>
        <row r="66">
          <cell r="F66">
            <v>0.81090000000000007</v>
          </cell>
        </row>
        <row r="70">
          <cell r="F70">
            <v>8.0799999999999997E-2</v>
          </cell>
        </row>
        <row r="71">
          <cell r="F71">
            <v>0</v>
          </cell>
        </row>
        <row r="72">
          <cell r="F72">
            <v>0</v>
          </cell>
        </row>
      </sheetData>
      <sheetData sheetId="5"/>
      <sheetData sheetId="6">
        <row r="50">
          <cell r="Q50">
            <v>0</v>
          </cell>
          <cell r="V50">
            <v>0</v>
          </cell>
          <cell r="AA50">
            <v>0</v>
          </cell>
          <cell r="AF50">
            <v>0.97805922333277862</v>
          </cell>
          <cell r="AK50">
            <v>0</v>
          </cell>
          <cell r="AP50">
            <v>0</v>
          </cell>
          <cell r="BE50">
            <v>0</v>
          </cell>
          <cell r="BJ50">
            <v>0</v>
          </cell>
        </row>
        <row r="57">
          <cell r="G57">
            <v>0</v>
          </cell>
          <cell r="L57">
            <v>0</v>
          </cell>
          <cell r="Q57">
            <v>0</v>
          </cell>
          <cell r="V57">
            <v>0</v>
          </cell>
          <cell r="AA57">
            <v>0</v>
          </cell>
          <cell r="AK57">
            <v>1.5796026706846475</v>
          </cell>
          <cell r="BJ57">
            <v>0</v>
          </cell>
        </row>
      </sheetData>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inks"/>
      <sheetName val="Linkin"/>
      <sheetName val="Assumptions 9-2009"/>
      <sheetName val="2010 F&amp;P Budget"/>
      <sheetName val="2011 F&amp;P budget"/>
      <sheetName val="F&amp;P Rate Case Assumptions"/>
      <sheetName val="TYFPBD"/>
      <sheetName val="Pivot Table F&amp;P"/>
      <sheetName val="F&amp;P Rates"/>
      <sheetName val="Pumpage"/>
      <sheetName val="Chemical Assumptions"/>
      <sheetName val="Chem F10"/>
      <sheetName val="Chem F11"/>
      <sheetName val="Chem TYF"/>
      <sheetName val="Chem KFTY"/>
      <sheetName val="Chemical prices"/>
      <sheetName val="Pivot Table Chem"/>
      <sheetName val="databas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85">
          <cell r="O385">
            <v>16190.465736759388</v>
          </cell>
        </row>
      </sheetData>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Year 2012"/>
      <sheetName val="January 2012"/>
      <sheetName val="February 2012"/>
      <sheetName val="March 2012"/>
      <sheetName val="April 2012"/>
      <sheetName val="May 2012"/>
      <sheetName val="June 2012"/>
      <sheetName val="July 2012"/>
      <sheetName val="August 2012"/>
      <sheetName val="September 2012"/>
      <sheetName val="October 2012"/>
      <sheetName val="November 2012"/>
      <sheetName val="December 2012"/>
      <sheetName val="Chart_Data"/>
      <sheetName val="Chart"/>
    </sheetNames>
    <sheetDataSet>
      <sheetData sheetId="0"/>
      <sheetData sheetId="1">
        <row r="46">
          <cell r="G46">
            <v>559.33400000000006</v>
          </cell>
          <cell r="J46">
            <v>309.98</v>
          </cell>
        </row>
      </sheetData>
      <sheetData sheetId="2">
        <row r="46">
          <cell r="G46">
            <v>486.59099999999995</v>
          </cell>
          <cell r="J46">
            <v>319.49</v>
          </cell>
        </row>
      </sheetData>
      <sheetData sheetId="3">
        <row r="46">
          <cell r="G46">
            <v>516.16899999999998</v>
          </cell>
          <cell r="J46">
            <v>344.80999999999995</v>
          </cell>
        </row>
      </sheetData>
      <sheetData sheetId="4">
        <row r="46">
          <cell r="G46">
            <v>559.46900000000005</v>
          </cell>
          <cell r="J46">
            <v>325.31</v>
          </cell>
        </row>
      </sheetData>
      <sheetData sheetId="5">
        <row r="46">
          <cell r="G46">
            <v>744.83100000000013</v>
          </cell>
          <cell r="J46">
            <v>349.74999999999989</v>
          </cell>
        </row>
      </sheetData>
      <sheetData sheetId="6">
        <row r="46">
          <cell r="G46">
            <v>338.63</v>
          </cell>
          <cell r="J46">
            <v>159.76</v>
          </cell>
        </row>
      </sheetData>
      <sheetData sheetId="7">
        <row r="46">
          <cell r="G46">
            <v>0</v>
          </cell>
          <cell r="J46">
            <v>0</v>
          </cell>
        </row>
      </sheetData>
      <sheetData sheetId="8">
        <row r="46">
          <cell r="G46">
            <v>0</v>
          </cell>
          <cell r="J46">
            <v>0</v>
          </cell>
        </row>
      </sheetData>
      <sheetData sheetId="9">
        <row r="46">
          <cell r="G46">
            <v>0</v>
          </cell>
          <cell r="J46">
            <v>0</v>
          </cell>
        </row>
      </sheetData>
      <sheetData sheetId="10">
        <row r="46">
          <cell r="G46">
            <v>0</v>
          </cell>
          <cell r="J46">
            <v>0</v>
          </cell>
        </row>
      </sheetData>
      <sheetData sheetId="11">
        <row r="46">
          <cell r="G46">
            <v>0</v>
          </cell>
          <cell r="J46">
            <v>0</v>
          </cell>
        </row>
      </sheetData>
      <sheetData sheetId="12">
        <row r="46">
          <cell r="G46">
            <v>0</v>
          </cell>
          <cell r="J46">
            <v>0</v>
          </cell>
        </row>
      </sheetData>
      <sheetData sheetId="13"/>
      <sheetData sheetId="14"/>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January 2012 KRS "/>
      <sheetName val="January 2012 RRS"/>
      <sheetName val="January 2012 Rockwell"/>
      <sheetName val="February 2012 KRS "/>
      <sheetName val="February 2012 RRS"/>
      <sheetName val="February 2012 Rockwell"/>
      <sheetName val="March 2012 KRS "/>
      <sheetName val="March 2012 RRS"/>
      <sheetName val="March 2012 Rockwell"/>
      <sheetName val="April 2012 KRS "/>
      <sheetName val="April 2012 RRS"/>
      <sheetName val="April 2012 Rockwell"/>
      <sheetName val="May 2012 KRS "/>
      <sheetName val="May 2012 RRS"/>
      <sheetName val="May 2012 Rockwell"/>
      <sheetName val="June 2012 RRS"/>
      <sheetName val="KAW Instructions"/>
      <sheetName val="JDE Screenshots"/>
      <sheetName val="Example"/>
      <sheetName val="Example 2"/>
      <sheetName val="Instructions"/>
      <sheetName val="Template"/>
    </sheetNames>
    <sheetDataSet>
      <sheetData sheetId="0"/>
      <sheetData sheetId="1">
        <row r="6">
          <cell r="J6">
            <v>-7336</v>
          </cell>
          <cell r="L6">
            <v>3062.05</v>
          </cell>
        </row>
        <row r="7">
          <cell r="J7">
            <v>-1597</v>
          </cell>
          <cell r="L7">
            <v>811.91</v>
          </cell>
        </row>
        <row r="9">
          <cell r="J9">
            <v>0</v>
          </cell>
        </row>
        <row r="10">
          <cell r="J10">
            <v>-19330</v>
          </cell>
          <cell r="L10">
            <v>3867.93</v>
          </cell>
        </row>
        <row r="11">
          <cell r="J11">
            <v>0</v>
          </cell>
        </row>
        <row r="12">
          <cell r="J12">
            <v>-11008</v>
          </cell>
          <cell r="L12">
            <v>3060.22</v>
          </cell>
        </row>
        <row r="13">
          <cell r="J13">
            <v>-140324</v>
          </cell>
          <cell r="L13">
            <v>21048.6</v>
          </cell>
        </row>
        <row r="15">
          <cell r="J15">
            <v>-11115</v>
          </cell>
          <cell r="L15">
            <v>3460.1</v>
          </cell>
        </row>
        <row r="16">
          <cell r="J16">
            <v>0</v>
          </cell>
        </row>
        <row r="17">
          <cell r="J17">
            <v>-1980</v>
          </cell>
          <cell r="L17">
            <v>4902.68</v>
          </cell>
        </row>
        <row r="18">
          <cell r="J18">
            <v>-750</v>
          </cell>
          <cell r="L18">
            <v>106</v>
          </cell>
        </row>
        <row r="19">
          <cell r="J19">
            <v>0</v>
          </cell>
        </row>
        <row r="21">
          <cell r="J21">
            <v>0</v>
          </cell>
        </row>
      </sheetData>
      <sheetData sheetId="2">
        <row r="10">
          <cell r="L10">
            <v>294.67</v>
          </cell>
        </row>
      </sheetData>
      <sheetData sheetId="3"/>
      <sheetData sheetId="4">
        <row r="6">
          <cell r="J6">
            <v>-7921</v>
          </cell>
          <cell r="L6">
            <v>3188.99</v>
          </cell>
        </row>
        <row r="7">
          <cell r="J7">
            <v>-2877</v>
          </cell>
          <cell r="L7">
            <v>1462.67</v>
          </cell>
        </row>
        <row r="9">
          <cell r="J9">
            <v>0</v>
          </cell>
        </row>
        <row r="10">
          <cell r="J10">
            <v>-19764</v>
          </cell>
          <cell r="L10">
            <v>3954.78</v>
          </cell>
        </row>
        <row r="11">
          <cell r="J11">
            <v>0</v>
          </cell>
        </row>
        <row r="12">
          <cell r="J12">
            <v>-11880</v>
          </cell>
          <cell r="L12">
            <v>3302.64</v>
          </cell>
        </row>
        <row r="13">
          <cell r="J13">
            <v>-139945</v>
          </cell>
          <cell r="L13">
            <v>21397.59</v>
          </cell>
        </row>
        <row r="15">
          <cell r="J15">
            <v>0</v>
          </cell>
        </row>
        <row r="16">
          <cell r="J16">
            <v>-3088</v>
          </cell>
          <cell r="L16">
            <v>7695.6</v>
          </cell>
        </row>
        <row r="17">
          <cell r="J17">
            <v>-700</v>
          </cell>
          <cell r="L17">
            <v>99.68</v>
          </cell>
        </row>
        <row r="18">
          <cell r="J18">
            <v>0</v>
          </cell>
        </row>
        <row r="19">
          <cell r="J19">
            <v>-1595</v>
          </cell>
          <cell r="L19">
            <v>811.54</v>
          </cell>
        </row>
        <row r="21">
          <cell r="J21">
            <v>-275</v>
          </cell>
          <cell r="L21">
            <v>655.88</v>
          </cell>
        </row>
      </sheetData>
      <sheetData sheetId="5">
        <row r="10">
          <cell r="L10">
            <v>141.25</v>
          </cell>
        </row>
      </sheetData>
      <sheetData sheetId="6"/>
      <sheetData sheetId="7">
        <row r="6">
          <cell r="J6">
            <v>-8498</v>
          </cell>
          <cell r="L6">
            <v>3421.29</v>
          </cell>
        </row>
        <row r="7">
          <cell r="J7">
            <v>-2783</v>
          </cell>
          <cell r="L7">
            <v>1414.88</v>
          </cell>
        </row>
        <row r="9">
          <cell r="J9">
            <v>0</v>
          </cell>
        </row>
        <row r="10">
          <cell r="J10">
            <v>-23871</v>
          </cell>
          <cell r="L10">
            <v>4776.59</v>
          </cell>
        </row>
        <row r="11">
          <cell r="J11">
            <v>0</v>
          </cell>
        </row>
        <row r="12">
          <cell r="J12">
            <v>-13080</v>
          </cell>
          <cell r="L12">
            <v>3470.12</v>
          </cell>
        </row>
        <row r="13">
          <cell r="J13">
            <v>-152105</v>
          </cell>
          <cell r="L13">
            <v>23439.38</v>
          </cell>
        </row>
        <row r="15">
          <cell r="J15">
            <v>0</v>
          </cell>
        </row>
        <row r="16">
          <cell r="J16">
            <v>-2860</v>
          </cell>
          <cell r="L16">
            <v>7155.43</v>
          </cell>
        </row>
        <row r="17">
          <cell r="J17">
            <v>-1000</v>
          </cell>
          <cell r="L17">
            <v>142.4</v>
          </cell>
        </row>
        <row r="18">
          <cell r="J18">
            <v>0</v>
          </cell>
        </row>
        <row r="19">
          <cell r="J19">
            <v>-1604</v>
          </cell>
          <cell r="L19">
            <v>888.78</v>
          </cell>
        </row>
        <row r="21">
          <cell r="J21">
            <v>-330</v>
          </cell>
          <cell r="L21">
            <v>780.45</v>
          </cell>
        </row>
      </sheetData>
      <sheetData sheetId="8">
        <row r="10">
          <cell r="L10">
            <v>224.03</v>
          </cell>
        </row>
      </sheetData>
      <sheetData sheetId="9"/>
      <sheetData sheetId="10">
        <row r="6">
          <cell r="J6">
            <v>-8176</v>
          </cell>
          <cell r="L6">
            <v>3069.27</v>
          </cell>
        </row>
        <row r="7">
          <cell r="J7">
            <v>-2367</v>
          </cell>
          <cell r="L7">
            <v>1203.3800000000001</v>
          </cell>
        </row>
        <row r="9">
          <cell r="J9">
            <v>0</v>
          </cell>
        </row>
        <row r="10">
          <cell r="J10">
            <v>-21790</v>
          </cell>
          <cell r="L10">
            <v>4360.18</v>
          </cell>
        </row>
        <row r="11">
          <cell r="J11">
            <v>0</v>
          </cell>
        </row>
        <row r="12">
          <cell r="J12">
            <v>-12997</v>
          </cell>
          <cell r="L12">
            <v>3091.99</v>
          </cell>
        </row>
        <row r="13">
          <cell r="J13">
            <v>-144128</v>
          </cell>
          <cell r="L13">
            <v>22296.6</v>
          </cell>
        </row>
        <row r="15">
          <cell r="J15">
            <v>0</v>
          </cell>
        </row>
        <row r="16">
          <cell r="J16">
            <v>-1430</v>
          </cell>
          <cell r="L16">
            <v>3577.72</v>
          </cell>
        </row>
        <row r="17">
          <cell r="J17">
            <v>-750</v>
          </cell>
          <cell r="L17">
            <v>106.8</v>
          </cell>
        </row>
        <row r="18">
          <cell r="J18">
            <v>0</v>
          </cell>
        </row>
        <row r="19">
          <cell r="J19">
            <v>-1870</v>
          </cell>
          <cell r="L19">
            <v>987.55</v>
          </cell>
        </row>
        <row r="21">
          <cell r="J21">
            <v>-495</v>
          </cell>
          <cell r="L21">
            <v>1170.68</v>
          </cell>
        </row>
      </sheetData>
      <sheetData sheetId="11">
        <row r="10">
          <cell r="L10">
            <v>177.31</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ummary"/>
      <sheetName val="Lex WTPs 2008-2010"/>
      <sheetName val="KRS II WTP 2010-2011"/>
      <sheetName val="ND WTP 2011"/>
      <sheetName val="ND WWTP 2012-2016"/>
      <sheetName val="RWV 2012-2016"/>
      <sheetName val="Supply Chain Assumptions"/>
      <sheetName val="Price Changes"/>
      <sheetName val="Chemical Assumptions"/>
      <sheetName val="2012-2016 System Delivery"/>
      <sheetName val="Pumpage 2012"/>
      <sheetName val="Pumpage 2013"/>
      <sheetName val="Pumpage 2014"/>
      <sheetName val="Pumpage 2015"/>
      <sheetName val="Pumpage 2016"/>
      <sheetName val="Chem F12"/>
      <sheetName val="Chem F13"/>
      <sheetName val="Chem F14"/>
      <sheetName val="Chem F15"/>
      <sheetName val="Chem F16"/>
    </sheetNames>
    <sheetDataSet>
      <sheetData sheetId="0"/>
      <sheetData sheetId="1"/>
      <sheetData sheetId="2">
        <row r="8">
          <cell r="G8">
            <v>37.329871109853464</v>
          </cell>
          <cell r="H8">
            <v>55.643703341344619</v>
          </cell>
          <cell r="I8">
            <v>48.519745188452966</v>
          </cell>
          <cell r="J8">
            <v>74.925069064361182</v>
          </cell>
          <cell r="K8">
            <v>45.765685442701219</v>
          </cell>
          <cell r="L8">
            <v>51.56461386148878</v>
          </cell>
          <cell r="M8">
            <v>40.652281337506174</v>
          </cell>
          <cell r="N8">
            <v>49.393856383978687</v>
          </cell>
        </row>
        <row r="13">
          <cell r="C13">
            <v>0</v>
          </cell>
          <cell r="D13">
            <v>0</v>
          </cell>
          <cell r="E13">
            <v>0</v>
          </cell>
          <cell r="F13">
            <v>0</v>
          </cell>
          <cell r="G13">
            <v>0</v>
          </cell>
          <cell r="H13">
            <v>0</v>
          </cell>
          <cell r="I13">
            <v>0</v>
          </cell>
          <cell r="J13">
            <v>0</v>
          </cell>
          <cell r="K13">
            <v>0</v>
          </cell>
          <cell r="L13">
            <v>0</v>
          </cell>
          <cell r="M13">
            <v>0</v>
          </cell>
          <cell r="N13">
            <v>0</v>
          </cell>
        </row>
        <row r="18">
          <cell r="F18">
            <v>42.998646630576815</v>
          </cell>
          <cell r="G18">
            <v>48.615388029806198</v>
          </cell>
          <cell r="H18">
            <v>53.04464342684561</v>
          </cell>
          <cell r="I18">
            <v>54.592325206112498</v>
          </cell>
          <cell r="J18">
            <v>84.302457083502745</v>
          </cell>
          <cell r="K18">
            <v>48.28225887631401</v>
          </cell>
          <cell r="L18">
            <v>24.844108789517062</v>
          </cell>
          <cell r="M18">
            <v>103.36572777686268</v>
          </cell>
          <cell r="N18">
            <v>50.328450882762105</v>
          </cell>
        </row>
        <row r="23">
          <cell r="C23">
            <v>0</v>
          </cell>
          <cell r="D23">
            <v>0</v>
          </cell>
          <cell r="E23">
            <v>0</v>
          </cell>
          <cell r="F23">
            <v>0</v>
          </cell>
          <cell r="G23">
            <v>0</v>
          </cell>
          <cell r="H23">
            <v>0</v>
          </cell>
          <cell r="I23">
            <v>0</v>
          </cell>
          <cell r="J23">
            <v>0</v>
          </cell>
          <cell r="K23">
            <v>0</v>
          </cell>
          <cell r="L23">
            <v>0</v>
          </cell>
          <cell r="M23">
            <v>0</v>
          </cell>
          <cell r="N23">
            <v>0</v>
          </cell>
        </row>
        <row r="28">
          <cell r="F28">
            <v>20.358876236699643</v>
          </cell>
          <cell r="G28">
            <v>19.991011535196499</v>
          </cell>
          <cell r="H28">
            <v>22.621604951400556</v>
          </cell>
          <cell r="I28">
            <v>18.786092945996327</v>
          </cell>
          <cell r="J28">
            <v>29.009824885957162</v>
          </cell>
          <cell r="K28">
            <v>33.949294640417612</v>
          </cell>
          <cell r="L28">
            <v>26.725688487116621</v>
          </cell>
          <cell r="M28">
            <v>29.429528358864548</v>
          </cell>
          <cell r="N28">
            <v>25.067543251851735</v>
          </cell>
        </row>
        <row r="33">
          <cell r="C33">
            <v>0</v>
          </cell>
          <cell r="D33">
            <v>0</v>
          </cell>
          <cell r="E33">
            <v>0</v>
          </cell>
          <cell r="F33">
            <v>0</v>
          </cell>
          <cell r="G33">
            <v>0</v>
          </cell>
          <cell r="H33">
            <v>0</v>
          </cell>
          <cell r="I33">
            <v>0</v>
          </cell>
          <cell r="J33">
            <v>0</v>
          </cell>
          <cell r="K33">
            <v>0</v>
          </cell>
          <cell r="L33">
            <v>0</v>
          </cell>
          <cell r="M33">
            <v>0</v>
          </cell>
          <cell r="N33">
            <v>0</v>
          </cell>
        </row>
        <row r="38">
          <cell r="F38">
            <v>34.365083068881837</v>
          </cell>
          <cell r="G38">
            <v>32.968801149635745</v>
          </cell>
          <cell r="H38">
            <v>34.795924878235532</v>
          </cell>
          <cell r="I38">
            <v>33.343369723706068</v>
          </cell>
          <cell r="J38">
            <v>51.489435273904881</v>
          </cell>
          <cell r="K38">
            <v>40.393879693409453</v>
          </cell>
          <cell r="L38">
            <v>36.387574317214643</v>
          </cell>
          <cell r="M38">
            <v>36.633174106407509</v>
          </cell>
          <cell r="N38">
            <v>40.794512748620939</v>
          </cell>
        </row>
        <row r="43">
          <cell r="F43">
            <v>490.19973865969757</v>
          </cell>
          <cell r="G43">
            <v>465.76338143826536</v>
          </cell>
          <cell r="H43">
            <v>324.45711125763023</v>
          </cell>
          <cell r="I43">
            <v>523.33460761660535</v>
          </cell>
          <cell r="J43">
            <v>808.14277707246015</v>
          </cell>
          <cell r="K43">
            <v>292.40210529343244</v>
          </cell>
          <cell r="L43">
            <v>496.37420110614079</v>
          </cell>
          <cell r="M43">
            <v>435.04090484818539</v>
          </cell>
          <cell r="N43">
            <v>433.36180086691701</v>
          </cell>
        </row>
        <row r="48">
          <cell r="F48">
            <v>0</v>
          </cell>
          <cell r="G48">
            <v>0</v>
          </cell>
          <cell r="H48">
            <v>0.12335963587638513</v>
          </cell>
          <cell r="I48">
            <v>0</v>
          </cell>
          <cell r="J48">
            <v>0</v>
          </cell>
          <cell r="K48">
            <v>5.7521678482578125</v>
          </cell>
          <cell r="L48">
            <v>1.7623611492668059</v>
          </cell>
          <cell r="M48">
            <v>0</v>
          </cell>
          <cell r="N48">
            <v>0</v>
          </cell>
        </row>
        <row r="53">
          <cell r="C53">
            <v>0</v>
          </cell>
          <cell r="D53">
            <v>0</v>
          </cell>
          <cell r="E53">
            <v>0</v>
          </cell>
          <cell r="F53">
            <v>0</v>
          </cell>
          <cell r="G53">
            <v>0</v>
          </cell>
          <cell r="H53">
            <v>0</v>
          </cell>
          <cell r="I53">
            <v>0</v>
          </cell>
          <cell r="J53">
            <v>0</v>
          </cell>
          <cell r="K53">
            <v>0</v>
          </cell>
          <cell r="L53">
            <v>0</v>
          </cell>
          <cell r="M53">
            <v>0</v>
          </cell>
          <cell r="N53">
            <v>0</v>
          </cell>
        </row>
        <row r="58">
          <cell r="G58">
            <v>5.5040475833791085</v>
          </cell>
          <cell r="H58">
            <v>6.3296254546227955</v>
          </cell>
          <cell r="I58">
            <v>7.6490826851967748</v>
          </cell>
          <cell r="J58">
            <v>11.811851983999485</v>
          </cell>
          <cell r="K58">
            <v>0</v>
          </cell>
          <cell r="L58">
            <v>7.710330028042276</v>
          </cell>
          <cell r="M58">
            <v>1.8228737714819085</v>
          </cell>
          <cell r="N58">
            <v>5.3228916568641669</v>
          </cell>
        </row>
        <row r="63">
          <cell r="F63">
            <v>2.333395557214859</v>
          </cell>
          <cell r="G63">
            <v>4.7161698043066957</v>
          </cell>
          <cell r="H63">
            <v>4.4664695748346341</v>
          </cell>
          <cell r="I63">
            <v>2.5372897009719511</v>
          </cell>
          <cell r="J63">
            <v>3.9181286988056674</v>
          </cell>
          <cell r="K63">
            <v>0</v>
          </cell>
          <cell r="L63">
            <v>1.1662684076030334</v>
          </cell>
          <cell r="M63">
            <v>0</v>
          </cell>
          <cell r="N63">
            <v>0.93996573153504459</v>
          </cell>
        </row>
        <row r="68">
          <cell r="D68">
            <v>0</v>
          </cell>
          <cell r="F68">
            <v>114.82639537054321</v>
          </cell>
          <cell r="G68">
            <v>55.317897586985595</v>
          </cell>
          <cell r="H68">
            <v>10.158027947338196</v>
          </cell>
          <cell r="I68">
            <v>103.62967749356373</v>
          </cell>
          <cell r="J68">
            <v>160.02682440242029</v>
          </cell>
          <cell r="K68">
            <v>0</v>
          </cell>
          <cell r="L68">
            <v>0</v>
          </cell>
          <cell r="M68">
            <v>0</v>
          </cell>
          <cell r="N68">
            <v>34.671307411764076</v>
          </cell>
        </row>
        <row r="73">
          <cell r="C73">
            <v>0</v>
          </cell>
          <cell r="D73">
            <v>0</v>
          </cell>
          <cell r="E73">
            <v>0</v>
          </cell>
          <cell r="F73">
            <v>0</v>
          </cell>
          <cell r="G73">
            <v>0</v>
          </cell>
          <cell r="H73">
            <v>0</v>
          </cell>
          <cell r="I73">
            <v>0</v>
          </cell>
          <cell r="J73">
            <v>0</v>
          </cell>
          <cell r="K73">
            <v>0</v>
          </cell>
          <cell r="L73">
            <v>0</v>
          </cell>
          <cell r="M73">
            <v>0</v>
          </cell>
          <cell r="N73">
            <v>0</v>
          </cell>
        </row>
        <row r="78">
          <cell r="C78">
            <v>0</v>
          </cell>
          <cell r="D78">
            <v>0</v>
          </cell>
          <cell r="E78">
            <v>0</v>
          </cell>
          <cell r="F78">
            <v>0</v>
          </cell>
          <cell r="G78">
            <v>0</v>
          </cell>
          <cell r="H78">
            <v>0</v>
          </cell>
          <cell r="I78">
            <v>0</v>
          </cell>
          <cell r="J78">
            <v>0</v>
          </cell>
          <cell r="K78">
            <v>0</v>
          </cell>
          <cell r="L78">
            <v>0</v>
          </cell>
          <cell r="M78">
            <v>0</v>
          </cell>
          <cell r="N78">
            <v>0</v>
          </cell>
        </row>
      </sheetData>
      <sheetData sheetId="3">
        <row r="5">
          <cell r="AE5">
            <v>34524</v>
          </cell>
          <cell r="AF5">
            <v>33135</v>
          </cell>
          <cell r="AG5">
            <v>33733</v>
          </cell>
          <cell r="AH5">
            <v>33146</v>
          </cell>
          <cell r="AI5">
            <v>33146</v>
          </cell>
          <cell r="AJ5">
            <v>33146</v>
          </cell>
          <cell r="AK5">
            <v>33146</v>
          </cell>
          <cell r="AL5">
            <v>33146</v>
          </cell>
        </row>
        <row r="22">
          <cell r="AE22">
            <v>98</v>
          </cell>
          <cell r="AF22">
            <v>276</v>
          </cell>
          <cell r="AG22">
            <v>180</v>
          </cell>
          <cell r="AH22">
            <v>77.851329046387733</v>
          </cell>
          <cell r="AI22">
            <v>74.228059644228807</v>
          </cell>
          <cell r="AJ22">
            <v>52.586369431333615</v>
          </cell>
          <cell r="AK22">
            <v>159.57074299508025</v>
          </cell>
          <cell r="AL22">
            <v>30.406085118117474</v>
          </cell>
        </row>
        <row r="39">
          <cell r="AE39">
            <v>775</v>
          </cell>
          <cell r="AF39">
            <v>942</v>
          </cell>
          <cell r="AG39">
            <v>1023</v>
          </cell>
          <cell r="AH39">
            <v>713.49029362513352</v>
          </cell>
          <cell r="AI39">
            <v>702.27774371845237</v>
          </cell>
          <cell r="AJ39">
            <v>866.05931331604165</v>
          </cell>
          <cell r="AK39">
            <v>746.78520164497218</v>
          </cell>
          <cell r="AL39">
            <v>512.4478049053422</v>
          </cell>
        </row>
        <row r="56">
          <cell r="AE56">
            <v>960</v>
          </cell>
          <cell r="AF56">
            <v>1184</v>
          </cell>
          <cell r="AG56">
            <v>663</v>
          </cell>
          <cell r="AH56">
            <v>823.06971149042636</v>
          </cell>
          <cell r="AI56">
            <v>840.69642750092919</v>
          </cell>
          <cell r="AJ56">
            <v>742.28059644228813</v>
          </cell>
          <cell r="AK56">
            <v>603.71502335972377</v>
          </cell>
          <cell r="AL56">
            <v>693.31749641311342</v>
          </cell>
        </row>
        <row r="73">
          <cell r="AE73">
            <v>3552</v>
          </cell>
          <cell r="AF73">
            <v>4156</v>
          </cell>
          <cell r="AG73">
            <v>3957</v>
          </cell>
          <cell r="AH73">
            <v>3227</v>
          </cell>
          <cell r="AI73">
            <v>3227</v>
          </cell>
          <cell r="AJ73">
            <v>3227</v>
          </cell>
          <cell r="AK73">
            <v>3227</v>
          </cell>
          <cell r="AL73">
            <v>3227</v>
          </cell>
        </row>
        <row r="90">
          <cell r="AE90">
            <v>1778</v>
          </cell>
          <cell r="AF90">
            <v>360</v>
          </cell>
          <cell r="AG90">
            <v>0</v>
          </cell>
          <cell r="AH90">
            <v>0</v>
          </cell>
          <cell r="AI90">
            <v>0</v>
          </cell>
          <cell r="AJ90">
            <v>3090.0367612911991</v>
          </cell>
          <cell r="AK90">
            <v>15168</v>
          </cell>
          <cell r="AL90">
            <v>15168</v>
          </cell>
        </row>
        <row r="107">
          <cell r="AA107">
            <v>0</v>
          </cell>
          <cell r="AB107">
            <v>0</v>
          </cell>
          <cell r="AC107">
            <v>0</v>
          </cell>
          <cell r="AE107">
            <v>9472</v>
          </cell>
          <cell r="AF107">
            <v>11556</v>
          </cell>
          <cell r="AG107">
            <v>10290</v>
          </cell>
          <cell r="AH107">
            <v>4322.6093598756279</v>
          </cell>
          <cell r="AI107">
            <v>5170.5523261808748</v>
          </cell>
          <cell r="AJ107">
            <v>3090.0367612911991</v>
          </cell>
          <cell r="AK107">
            <v>0</v>
          </cell>
          <cell r="AL107">
            <v>0</v>
          </cell>
        </row>
        <row r="124">
          <cell r="AA124">
            <v>0</v>
          </cell>
          <cell r="AB124">
            <v>0</v>
          </cell>
          <cell r="AC124">
            <v>0</v>
          </cell>
          <cell r="AD124">
            <v>0</v>
          </cell>
          <cell r="AE124">
            <v>0</v>
          </cell>
          <cell r="AF124">
            <v>480</v>
          </cell>
          <cell r="AG124">
            <v>0</v>
          </cell>
          <cell r="AH124">
            <v>0</v>
          </cell>
          <cell r="AI124">
            <v>0</v>
          </cell>
          <cell r="AJ124">
            <v>0</v>
          </cell>
          <cell r="AK124">
            <v>0</v>
          </cell>
          <cell r="AL124">
            <v>0</v>
          </cell>
        </row>
        <row r="141">
          <cell r="AE141">
            <v>1467</v>
          </cell>
          <cell r="AF141">
            <v>2721</v>
          </cell>
          <cell r="AG141">
            <v>2716</v>
          </cell>
          <cell r="AH141">
            <v>2289</v>
          </cell>
          <cell r="AI141">
            <v>2289</v>
          </cell>
          <cell r="AJ141">
            <v>2289</v>
          </cell>
          <cell r="AK141">
            <v>2289</v>
          </cell>
          <cell r="AL141">
            <v>2289</v>
          </cell>
        </row>
        <row r="158">
          <cell r="AE158">
            <v>5183</v>
          </cell>
          <cell r="AF158">
            <v>5897</v>
          </cell>
          <cell r="AG158">
            <v>7567</v>
          </cell>
          <cell r="AH158">
            <v>6311</v>
          </cell>
          <cell r="AI158">
            <v>6311</v>
          </cell>
          <cell r="AJ158">
            <v>6311</v>
          </cell>
          <cell r="AK158">
            <v>6311</v>
          </cell>
          <cell r="AL158">
            <v>6311</v>
          </cell>
        </row>
      </sheetData>
      <sheetData sheetId="4">
        <row r="69">
          <cell r="F69">
            <v>1925.6302299999998</v>
          </cell>
          <cell r="G69">
            <v>1651.6733599999998</v>
          </cell>
          <cell r="H69">
            <v>2289.3539899999996</v>
          </cell>
          <cell r="I69">
            <v>2209.6095879999998</v>
          </cell>
          <cell r="J69">
            <v>1774.3273879999999</v>
          </cell>
          <cell r="K69">
            <v>2385.6097879999998</v>
          </cell>
          <cell r="L69">
            <v>2445.9096519999994</v>
          </cell>
          <cell r="M69">
            <v>1678.9802439999999</v>
          </cell>
        </row>
      </sheetData>
      <sheetData sheetId="5"/>
      <sheetData sheetId="6"/>
      <sheetData sheetId="7">
        <row r="18">
          <cell r="D18">
            <v>0</v>
          </cell>
          <cell r="E18">
            <v>0.01</v>
          </cell>
          <cell r="F18">
            <v>0</v>
          </cell>
          <cell r="G18">
            <v>0.03</v>
          </cell>
          <cell r="H18">
            <v>0</v>
          </cell>
          <cell r="I18">
            <v>0.01</v>
          </cell>
          <cell r="J18">
            <v>0</v>
          </cell>
          <cell r="K18">
            <v>0.03</v>
          </cell>
          <cell r="L18">
            <v>0</v>
          </cell>
        </row>
        <row r="22">
          <cell r="D22">
            <v>0.87719999999999998</v>
          </cell>
        </row>
        <row r="25">
          <cell r="D25">
            <v>0.42745</v>
          </cell>
        </row>
        <row r="26">
          <cell r="D26">
            <v>9.5950000000000008E-2</v>
          </cell>
        </row>
        <row r="29">
          <cell r="D29">
            <v>0.32368000000000002</v>
          </cell>
        </row>
        <row r="30">
          <cell r="D30">
            <v>1.1536000000000002</v>
          </cell>
        </row>
        <row r="31">
          <cell r="D31">
            <v>0</v>
          </cell>
        </row>
        <row r="32">
          <cell r="D32">
            <v>0.14280000000000001</v>
          </cell>
        </row>
        <row r="34">
          <cell r="D34">
            <v>0.15840000000000001</v>
          </cell>
        </row>
        <row r="35">
          <cell r="D35">
            <v>0</v>
          </cell>
        </row>
        <row r="36">
          <cell r="D36">
            <v>0</v>
          </cell>
        </row>
        <row r="39">
          <cell r="D39">
            <v>0</v>
          </cell>
        </row>
        <row r="42">
          <cell r="D42">
            <v>1.7825520000000001</v>
          </cell>
        </row>
        <row r="43">
          <cell r="D43">
            <v>0</v>
          </cell>
        </row>
        <row r="46">
          <cell r="D46">
            <v>0</v>
          </cell>
        </row>
        <row r="48">
          <cell r="D48">
            <v>0</v>
          </cell>
        </row>
        <row r="49">
          <cell r="D49">
            <v>2.5194000000000001</v>
          </cell>
        </row>
        <row r="50">
          <cell r="D50">
            <v>0</v>
          </cell>
        </row>
        <row r="52">
          <cell r="D52">
            <v>0.252</v>
          </cell>
        </row>
        <row r="58">
          <cell r="D58">
            <v>0.9373800000000001</v>
          </cell>
        </row>
        <row r="60">
          <cell r="D60">
            <v>0</v>
          </cell>
        </row>
        <row r="62">
          <cell r="D62">
            <v>9.5950000000000008E-2</v>
          </cell>
        </row>
        <row r="66">
          <cell r="D66">
            <v>0</v>
          </cell>
        </row>
        <row r="70">
          <cell r="D70">
            <v>0</v>
          </cell>
        </row>
        <row r="71">
          <cell r="D71">
            <v>0</v>
          </cell>
        </row>
        <row r="72">
          <cell r="D72">
            <v>0</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verSheet "/>
      <sheetName val="Page 1 Chemicals"/>
      <sheetName val="Page 2 Chemicals"/>
      <sheetName val="Page 3 Water Quality"/>
      <sheetName val="Page 4 AWOP TURBIDITY"/>
      <sheetName val="Page 5 Water Quality"/>
      <sheetName val="Water Quality"/>
      <sheetName val="Page 6 Filters"/>
      <sheetName val="Page 6 Filters (2)"/>
      <sheetName val="Page 6 Filters (3)"/>
      <sheetName val="Page 6 Filters (4)"/>
      <sheetName val="Page 7 Distribution"/>
      <sheetName val="Page 8 4-Hr Turbidity"/>
      <sheetName val="Page 9 Individual Filter Turb"/>
      <sheetName val="Page10 Chlorite&amp;ChlorineDioxide"/>
      <sheetName val="Additional Data"/>
      <sheetName val="Plant Summary Sheet"/>
      <sheetName val="Summary Sheet"/>
      <sheetName val="Annual Data"/>
      <sheetName val="eMOR"/>
    </sheetNames>
    <sheetDataSet>
      <sheetData sheetId="0"/>
      <sheetData sheetId="1"/>
      <sheetData sheetId="2"/>
      <sheetData sheetId="3">
        <row r="46">
          <cell r="M46">
            <v>6.612903225806452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verSheet "/>
      <sheetName val="Page 1 Chemicals"/>
      <sheetName val="Page 2 Chemicals"/>
      <sheetName val="Page 3 Water Quality"/>
      <sheetName val="Page 4 AWOP TURBIDITY"/>
      <sheetName val="Page 5 Water Quality"/>
      <sheetName val="Water Quality"/>
      <sheetName val="Page 6 Filters"/>
      <sheetName val="Page 6 Filters (2)"/>
      <sheetName val="Page 6 Filters (3)"/>
      <sheetName val="Page 6 Filters (4)"/>
      <sheetName val="Page 7 Distribution"/>
      <sheetName val="Page 8 4-Hr Turbidity"/>
      <sheetName val="Page 9 Individual Filter Turb"/>
      <sheetName val="Page10 Chlorite&amp;ChlorineDioxide"/>
      <sheetName val="Additional Data"/>
      <sheetName val="Plant Summary Sheet"/>
      <sheetName val="Summary Sheet"/>
      <sheetName val="Annual Data"/>
      <sheetName val="eMOR"/>
    </sheetNames>
    <sheetDataSet>
      <sheetData sheetId="0" refreshError="1"/>
      <sheetData sheetId="1" refreshError="1"/>
      <sheetData sheetId="2" refreshError="1"/>
      <sheetData sheetId="3" refreshError="1">
        <row r="46">
          <cell r="M46">
            <v>5.8620689655172411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verSheet "/>
      <sheetName val="Page 1 Chemicals"/>
      <sheetName val="Page 2 Chemicals"/>
      <sheetName val="Page 3 Water Quality"/>
      <sheetName val="Page 4 AWOP TURBIDITY"/>
      <sheetName val="Page 5 Water Quality"/>
      <sheetName val="Water Quality"/>
      <sheetName val="Page 6 Filters"/>
      <sheetName val="Page 6 Filters (2)"/>
      <sheetName val="Page 6 Filters (3)"/>
      <sheetName val="Page 6 Filters (4)"/>
      <sheetName val="Page 7 Distribution"/>
      <sheetName val="Page 8 4-Hr Turbidity"/>
      <sheetName val="Page 9 Individual Filter Turb"/>
      <sheetName val="Page10 Chlorite&amp;ChlorineDioxide"/>
      <sheetName val="Additional Data"/>
      <sheetName val="Plant Summary Sheet"/>
      <sheetName val="Summary Sheet"/>
      <sheetName val="Annual Data"/>
      <sheetName val="eMOR"/>
    </sheetNames>
    <sheetDataSet>
      <sheetData sheetId="0" refreshError="1"/>
      <sheetData sheetId="1" refreshError="1"/>
      <sheetData sheetId="2" refreshError="1"/>
      <sheetData sheetId="3" refreshError="1">
        <row r="46">
          <cell r="M46">
            <v>8.0967741935483879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verSheet "/>
      <sheetName val="Page 1 Chemicals"/>
      <sheetName val="Page 2 Chemicals"/>
      <sheetName val="Page 3 Water Quality"/>
      <sheetName val="Page 4 AWOP TURBIDITY"/>
      <sheetName val="Page 5 Water Quality"/>
      <sheetName val="Water Quality"/>
      <sheetName val="Page 6 Filters"/>
      <sheetName val="Page 6 Filters (2)"/>
      <sheetName val="Page 6 Filters (3)"/>
      <sheetName val="Page 6 Filters (4)"/>
      <sheetName val="Page 7 Distribution"/>
      <sheetName val="Page 8 4-Hr Turbidity"/>
      <sheetName val="Page 9 Individual Filter Turb"/>
      <sheetName val="Page10 Chlorite&amp;ChlorineDioxide"/>
      <sheetName val="Additional Data"/>
      <sheetName val="Plant Summary Sheet"/>
      <sheetName val="Summary Sheet"/>
      <sheetName val="Annual Data"/>
      <sheetName val="eMOR"/>
    </sheetNames>
    <sheetDataSet>
      <sheetData sheetId="0" refreshError="1"/>
      <sheetData sheetId="1" refreshError="1"/>
      <sheetData sheetId="2" refreshError="1"/>
      <sheetData sheetId="3" refreshError="1">
        <row r="46">
          <cell r="M46">
            <v>18.2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overSheet "/>
      <sheetName val="Page 1 Chemicals"/>
      <sheetName val="Page 2 Chemicals"/>
      <sheetName val="Page 3 Water Quality"/>
      <sheetName val="Page 4 AWOP TURBIDITY"/>
      <sheetName val="Page 5 Water Quality"/>
      <sheetName val="Water Quality"/>
      <sheetName val="Page 6 Filters"/>
      <sheetName val="Page 6 Filters (2)"/>
      <sheetName val="Page 6 Filters (3)"/>
      <sheetName val="Page 6 Filters (4)"/>
      <sheetName val="Page 7 Distribution"/>
      <sheetName val="Page 8 4-Hr Turbidity"/>
      <sheetName val="Page 9 Individual Filter Turb"/>
      <sheetName val="Page10 Chlorite&amp;ChlorineDioxide"/>
      <sheetName val="Additional Data"/>
      <sheetName val="Plant Summary Sheet"/>
      <sheetName val="Summary Sheet"/>
      <sheetName val="Annual Data"/>
      <sheetName val="eMOR"/>
    </sheetNames>
    <sheetDataSet>
      <sheetData sheetId="0" refreshError="1"/>
      <sheetData sheetId="1" refreshError="1"/>
      <sheetData sheetId="2" refreshError="1"/>
      <sheetData sheetId="3" refreshError="1">
        <row r="46">
          <cell r="M46">
            <v>27.933333333333334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Task List"/>
      <sheetName val="P&amp;L - Link Out"/>
      <sheetName val="Data Summary Sheet"/>
      <sheetName val="Link In-Sys Dlvy"/>
      <sheetName val="Historical Data Start"/>
      <sheetName val="Historical Usage lbs"/>
      <sheetName val="Avg Sys Delivery"/>
      <sheetName val="Dosage per 000 Gal"/>
      <sheetName val="Historical Data End"/>
      <sheetName val="Link In-Chemical Price"/>
      <sheetName val="Assumptions"/>
      <sheetName val="Reports Start"/>
      <sheetName val="Expense Summary"/>
      <sheetName val="Usage (lbs) Summary"/>
      <sheetName val="Dosage per 000 Gal Summary"/>
      <sheetName val="Alloc Validation"/>
      <sheetName val="Reports End"/>
      <sheetName val="Worksheets&gt;&gt;"/>
      <sheetName val="Fixed Costs"/>
      <sheetName val="Start"/>
      <sheetName val="KRS I Pool 9"/>
      <sheetName val="RRS"/>
      <sheetName val="KRS II Pool 3"/>
      <sheetName val="ND WTP"/>
      <sheetName val="End"/>
      <sheetName val="Blank_Template"/>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C3" t="str">
            <v>Kentucky American</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age 3 Water Quality"/>
    </sheetNames>
    <sheetDataSet>
      <sheetData sheetId="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Page 3 Water Quality"/>
    </sheetNames>
    <sheetDataSet>
      <sheetData sheetId="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Page 3 Water Quality"/>
    </sheetNames>
    <sheetDataSet>
      <sheetData sheetId="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Page 3 Water Quality"/>
    </sheetNames>
    <sheetDataSet>
      <sheetData sheetId="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Page 3 Water Quality"/>
    </sheetNames>
    <sheetDataSet>
      <sheetData sheetId="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Page 3 Water Quality"/>
    </sheetNames>
    <sheetDataSet>
      <sheetData sheetId="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Page 3 Water Quality"/>
    </sheetNames>
    <sheetDataSet>
      <sheetData sheetId="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Summary"/>
      <sheetName val="Budget"/>
      <sheetName val="Actuals"/>
      <sheetName val="Difference"/>
      <sheetName val="Lex WTPs 2007-2010"/>
      <sheetName val="KRS II WTP 2010-2011"/>
      <sheetName val="ND WTP 2011"/>
      <sheetName val="ND WWTP 2012-2016"/>
      <sheetName val="RWV 2012-2016"/>
      <sheetName val="Supply Chain Assumptions"/>
      <sheetName val="Price Changes"/>
      <sheetName val="Chemical Assumptions"/>
      <sheetName val="2012-2016 System Delivery"/>
      <sheetName val="Pumpage 2012"/>
    </sheetNames>
    <sheetDataSet>
      <sheetData sheetId="0"/>
      <sheetData sheetId="1"/>
      <sheetData sheetId="2"/>
      <sheetData sheetId="3"/>
      <sheetData sheetId="4">
        <row r="47">
          <cell r="G47">
            <v>29.954543242884206</v>
          </cell>
          <cell r="L47">
            <v>31.320825088674415</v>
          </cell>
          <cell r="Q47">
            <v>28.75079723419503</v>
          </cell>
          <cell r="V47">
            <v>28.364345219563045</v>
          </cell>
          <cell r="AA47">
            <v>31.463640592651075</v>
          </cell>
          <cell r="AF47">
            <v>30.871441557560285</v>
          </cell>
          <cell r="AK47">
            <v>29.386012714275623</v>
          </cell>
          <cell r="AP47">
            <v>27.751731976139943</v>
          </cell>
          <cell r="AU47">
            <v>31.323470860108017</v>
          </cell>
          <cell r="AZ47">
            <v>31.338254532430479</v>
          </cell>
          <cell r="BE47">
            <v>34.620406027025908</v>
          </cell>
          <cell r="BJ47">
            <v>34.843615394706546</v>
          </cell>
        </row>
        <row r="48">
          <cell r="G48">
            <v>46.803221989981175</v>
          </cell>
          <cell r="L48">
            <v>46.669602621101298</v>
          </cell>
          <cell r="Q48">
            <v>47.067472846068455</v>
          </cell>
          <cell r="V48">
            <v>47.449551444984692</v>
          </cell>
          <cell r="AA48">
            <v>51.307466362695052</v>
          </cell>
          <cell r="AF48">
            <v>56.830692482765109</v>
          </cell>
          <cell r="AK48">
            <v>60.126982635912285</v>
          </cell>
          <cell r="AP48">
            <v>61.829715068192243</v>
          </cell>
          <cell r="AU48">
            <v>60.705626008815102</v>
          </cell>
          <cell r="AZ48">
            <v>58.394595430718105</v>
          </cell>
          <cell r="BE48">
            <v>56.322606200669647</v>
          </cell>
          <cell r="BJ48">
            <v>50.870208400577241</v>
          </cell>
        </row>
        <row r="49">
          <cell r="G49">
            <v>40.146220242047548</v>
          </cell>
          <cell r="L49">
            <v>41.175448922365227</v>
          </cell>
          <cell r="Q49">
            <v>39.085584053915298</v>
          </cell>
          <cell r="V49">
            <v>40.886145912778716</v>
          </cell>
          <cell r="AA49">
            <v>41.704033156774315</v>
          </cell>
          <cell r="AF49">
            <v>42.656064737830334</v>
          </cell>
          <cell r="AK49">
            <v>43.174798732653414</v>
          </cell>
          <cell r="AP49">
            <v>42.251249245997471</v>
          </cell>
          <cell r="AU49">
            <v>37.538558981259371</v>
          </cell>
          <cell r="AZ49">
            <v>36.777677838297066</v>
          </cell>
          <cell r="BE49">
            <v>42.365431135458586</v>
          </cell>
          <cell r="BJ49">
            <v>42.512338499983031</v>
          </cell>
        </row>
        <row r="50">
          <cell r="G50">
            <v>1.4079978026053339</v>
          </cell>
          <cell r="L50">
            <v>7.6719122087742134E-2</v>
          </cell>
          <cell r="Q50">
            <v>0</v>
          </cell>
          <cell r="V50">
            <v>0</v>
          </cell>
          <cell r="AA50">
            <v>0</v>
          </cell>
          <cell r="AF50">
            <v>0.73354441749958399</v>
          </cell>
          <cell r="AK50">
            <v>0</v>
          </cell>
          <cell r="AP50">
            <v>0</v>
          </cell>
          <cell r="AU50">
            <v>3.7592367708406909</v>
          </cell>
          <cell r="AZ50">
            <v>12.118780150515144</v>
          </cell>
          <cell r="BE50">
            <v>0</v>
          </cell>
          <cell r="BJ50">
            <v>0</v>
          </cell>
        </row>
        <row r="52">
          <cell r="G52">
            <v>18.814148065282922</v>
          </cell>
          <cell r="L52">
            <v>19.429910550482322</v>
          </cell>
          <cell r="Q52">
            <v>21.756786013364383</v>
          </cell>
          <cell r="V52">
            <v>20.452665456945557</v>
          </cell>
          <cell r="AA52">
            <v>20.401566973704494</v>
          </cell>
          <cell r="AF52">
            <v>18.368174668086375</v>
          </cell>
          <cell r="AK52">
            <v>20.5599809878961</v>
          </cell>
          <cell r="AP52">
            <v>21.735148546030178</v>
          </cell>
          <cell r="AU52">
            <v>20.637903593489916</v>
          </cell>
          <cell r="AZ52">
            <v>19.132303903842271</v>
          </cell>
          <cell r="BE52">
            <v>21.311873943764791</v>
          </cell>
          <cell r="BJ52">
            <v>20.868895298365178</v>
          </cell>
        </row>
        <row r="54">
          <cell r="G54">
            <v>3.8199765162724431</v>
          </cell>
          <cell r="L54">
            <v>3.9633447429236299</v>
          </cell>
          <cell r="Q54">
            <v>4.7714962787503037</v>
          </cell>
          <cell r="V54">
            <v>2.8842359457902011</v>
          </cell>
          <cell r="AA54">
            <v>1.241794765157382</v>
          </cell>
          <cell r="AF54">
            <v>4.3802209225529616</v>
          </cell>
          <cell r="AK54">
            <v>2.2415612466588422</v>
          </cell>
          <cell r="AP54">
            <v>2.4510242012393904</v>
          </cell>
          <cell r="AU54">
            <v>3.0864083184960598</v>
          </cell>
          <cell r="AZ54">
            <v>2.4161188715935116</v>
          </cell>
          <cell r="BE54">
            <v>3.3819798337691962</v>
          </cell>
          <cell r="BJ54">
            <v>3.7459087823503774</v>
          </cell>
        </row>
        <row r="55">
          <cell r="G55">
            <v>9.031267187314505</v>
          </cell>
          <cell r="L55">
            <v>9.1955546016682401</v>
          </cell>
          <cell r="Q55">
            <v>9.3031148546752966</v>
          </cell>
          <cell r="V55">
            <v>5.4398875360040941</v>
          </cell>
          <cell r="AA55">
            <v>6.8108088093808306</v>
          </cell>
          <cell r="AF55">
            <v>8.9186890225694242</v>
          </cell>
          <cell r="AK55">
            <v>8.9066331002865091</v>
          </cell>
          <cell r="AP55">
            <v>9.193035093711373</v>
          </cell>
          <cell r="AU55">
            <v>8.6182530437159279</v>
          </cell>
          <cell r="AZ55">
            <v>9.0231869357960441</v>
          </cell>
          <cell r="BE55">
            <v>12.462216603425396</v>
          </cell>
          <cell r="BJ55">
            <v>9.4394573971600408</v>
          </cell>
        </row>
        <row r="56">
          <cell r="G56">
            <v>15.711292824679242</v>
          </cell>
          <cell r="L56">
            <v>25.130667647437022</v>
          </cell>
          <cell r="Q56">
            <v>14.000847158202768</v>
          </cell>
          <cell r="V56">
            <v>24.660992316044648</v>
          </cell>
          <cell r="AA56">
            <v>33.435740537318487</v>
          </cell>
          <cell r="AF56">
            <v>18.846370158160113</v>
          </cell>
          <cell r="AK56">
            <v>14.59016335686133</v>
          </cell>
          <cell r="AP56">
            <v>88.402706887198917</v>
          </cell>
          <cell r="AU56">
            <v>77.495562769814683</v>
          </cell>
          <cell r="AZ56">
            <v>110.29031138765606</v>
          </cell>
          <cell r="BE56">
            <v>37.067144150861466</v>
          </cell>
          <cell r="BJ56">
            <v>12.897794208830847</v>
          </cell>
        </row>
        <row r="57">
          <cell r="G57">
            <v>0</v>
          </cell>
          <cell r="L57">
            <v>0</v>
          </cell>
          <cell r="Q57">
            <v>0</v>
          </cell>
          <cell r="V57">
            <v>0</v>
          </cell>
          <cell r="AA57">
            <v>0</v>
          </cell>
          <cell r="AF57">
            <v>0.7311515702495579</v>
          </cell>
          <cell r="AK57">
            <v>1.1847020030134856</v>
          </cell>
          <cell r="AP57">
            <v>0.49520599226905038</v>
          </cell>
          <cell r="AU57">
            <v>6.6328555399857159E-2</v>
          </cell>
          <cell r="AZ57">
            <v>2.639744556002531</v>
          </cell>
          <cell r="BE57">
            <v>0.33979493951587786</v>
          </cell>
          <cell r="BJ57">
            <v>0</v>
          </cell>
        </row>
        <row r="58">
          <cell r="G58">
            <v>1.7776841323276424</v>
          </cell>
          <cell r="L58">
            <v>0.94829776008767253</v>
          </cell>
          <cell r="Q58">
            <v>1.3358236783174342</v>
          </cell>
          <cell r="V58">
            <v>0.83968464467817916</v>
          </cell>
          <cell r="AA58">
            <v>1.0988702984058678</v>
          </cell>
          <cell r="AF58">
            <v>0.79177943399176576</v>
          </cell>
          <cell r="AK58">
            <v>0.54464273602883884</v>
          </cell>
          <cell r="AP58">
            <v>1.0191182897331303</v>
          </cell>
          <cell r="AU58">
            <v>0.59739506418249266</v>
          </cell>
          <cell r="AZ58">
            <v>0.35233935301611302</v>
          </cell>
          <cell r="BE58">
            <v>1.109306647450693</v>
          </cell>
          <cell r="BJ58">
            <v>1.0175712769147631</v>
          </cell>
        </row>
        <row r="59">
          <cell r="G59">
            <v>2.1669819149400804</v>
          </cell>
          <cell r="L59">
            <v>25.538179794243852</v>
          </cell>
          <cell r="Q59">
            <v>0</v>
          </cell>
          <cell r="V59">
            <v>0</v>
          </cell>
          <cell r="AA59">
            <v>9.6916923061896085</v>
          </cell>
          <cell r="AF59">
            <v>27.733796614678468</v>
          </cell>
          <cell r="AK59">
            <v>48.521786468749447</v>
          </cell>
          <cell r="AP59">
            <v>308.19297361843343</v>
          </cell>
          <cell r="AU59">
            <v>306.52801044664528</v>
          </cell>
          <cell r="AZ59">
            <v>432.16370882759441</v>
          </cell>
          <cell r="BE59">
            <v>169.48711473128071</v>
          </cell>
          <cell r="BJ59">
            <v>10.365641735867333</v>
          </cell>
        </row>
        <row r="60">
          <cell r="G60">
            <v>325.26066475604307</v>
          </cell>
          <cell r="L60">
            <v>298.20666621560474</v>
          </cell>
          <cell r="Q60">
            <v>231.89032634199037</v>
          </cell>
          <cell r="V60">
            <v>245.73679742445483</v>
          </cell>
          <cell r="AA60">
            <v>287.95571146768566</v>
          </cell>
          <cell r="AF60">
            <v>310.35933681706837</v>
          </cell>
          <cell r="AK60">
            <v>208.13309912382749</v>
          </cell>
          <cell r="AP60">
            <v>218.4240324658839</v>
          </cell>
          <cell r="AU60">
            <v>165.79771295119389</v>
          </cell>
          <cell r="AZ60">
            <v>146.94888456382969</v>
          </cell>
          <cell r="BE60">
            <v>155.5546847734131</v>
          </cell>
          <cell r="BJ60">
            <v>423.00689123760003</v>
          </cell>
        </row>
      </sheetData>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Withdrawal Form Letter-0863"/>
      <sheetName val="Withdrawal Form Letter-0874"/>
      <sheetName val="January"/>
      <sheetName val="January Report"/>
      <sheetName val="February"/>
      <sheetName val="February Report"/>
      <sheetName val="March"/>
      <sheetName val="March Report"/>
      <sheetName val="1st Quarter Report"/>
      <sheetName val="April"/>
      <sheetName val="April Report"/>
      <sheetName val="May"/>
      <sheetName val="May Report"/>
      <sheetName val="June"/>
      <sheetName val="June Report"/>
      <sheetName val="2nd Qtr Report"/>
      <sheetName val="July"/>
      <sheetName val="July Report"/>
      <sheetName val="August"/>
      <sheetName val="August Report"/>
      <sheetName val="September"/>
      <sheetName val="September Report"/>
      <sheetName val="3rd Qtr Report"/>
      <sheetName val="October"/>
      <sheetName val="October Report"/>
      <sheetName val="November"/>
      <sheetName val="November Report"/>
      <sheetName val="December"/>
      <sheetName val="December Report"/>
      <sheetName val="4th Qtr Report"/>
    </sheetNames>
    <sheetDataSet>
      <sheetData sheetId="0"/>
      <sheetData sheetId="1"/>
      <sheetData sheetId="2"/>
      <sheetData sheetId="3">
        <row r="8">
          <cell r="C8">
            <v>0.811087</v>
          </cell>
          <cell r="L8">
            <v>0</v>
          </cell>
        </row>
        <row r="9">
          <cell r="C9">
            <v>0.77820500000000004</v>
          </cell>
          <cell r="L9">
            <v>0</v>
          </cell>
        </row>
        <row r="10">
          <cell r="C10">
            <v>0.72801199999999999</v>
          </cell>
          <cell r="L10">
            <v>0</v>
          </cell>
        </row>
        <row r="11">
          <cell r="C11">
            <v>0.746197</v>
          </cell>
          <cell r="L11">
            <v>0</v>
          </cell>
        </row>
        <row r="12">
          <cell r="C12">
            <v>0.72850000000000004</v>
          </cell>
          <cell r="L12">
            <v>0</v>
          </cell>
        </row>
        <row r="13">
          <cell r="C13">
            <v>0.77434099999999995</v>
          </cell>
          <cell r="L13">
            <v>0</v>
          </cell>
        </row>
        <row r="14">
          <cell r="C14">
            <v>0.85240000000000005</v>
          </cell>
          <cell r="L14">
            <v>0</v>
          </cell>
        </row>
        <row r="15">
          <cell r="C15">
            <v>0.86996600000000002</v>
          </cell>
          <cell r="L15">
            <v>0</v>
          </cell>
        </row>
        <row r="16">
          <cell r="C16">
            <v>0.86752899999999999</v>
          </cell>
          <cell r="L16">
            <v>0</v>
          </cell>
        </row>
        <row r="17">
          <cell r="C17">
            <v>0.75404199999999999</v>
          </cell>
          <cell r="L17">
            <v>0</v>
          </cell>
        </row>
        <row r="18">
          <cell r="C18">
            <v>0.70034700000000005</v>
          </cell>
          <cell r="L18">
            <v>0</v>
          </cell>
        </row>
        <row r="19">
          <cell r="C19">
            <v>0.80851099999999998</v>
          </cell>
          <cell r="L19">
            <v>0</v>
          </cell>
        </row>
        <row r="20">
          <cell r="C20">
            <v>0.74109100000000006</v>
          </cell>
          <cell r="L20">
            <v>0</v>
          </cell>
        </row>
        <row r="21">
          <cell r="C21">
            <v>0.80542599999999998</v>
          </cell>
          <cell r="L21">
            <v>0</v>
          </cell>
        </row>
        <row r="22">
          <cell r="C22">
            <v>0.81085499999999999</v>
          </cell>
          <cell r="L22">
            <v>0</v>
          </cell>
        </row>
        <row r="23">
          <cell r="C23">
            <v>0.78280700000000003</v>
          </cell>
          <cell r="L23">
            <v>0</v>
          </cell>
        </row>
        <row r="24">
          <cell r="C24">
            <v>0.55959499999999995</v>
          </cell>
          <cell r="L24">
            <v>0.27562199999999998</v>
          </cell>
        </row>
        <row r="25">
          <cell r="C25">
            <v>0</v>
          </cell>
          <cell r="L25">
            <v>0.79859000000000002</v>
          </cell>
        </row>
        <row r="26">
          <cell r="C26">
            <v>0</v>
          </cell>
          <cell r="L26">
            <v>0.89608299999999996</v>
          </cell>
        </row>
        <row r="27">
          <cell r="C27">
            <v>0.26439499999999999</v>
          </cell>
          <cell r="L27">
            <v>0.61692000000000002</v>
          </cell>
        </row>
        <row r="28">
          <cell r="C28">
            <v>0.81193400000000004</v>
          </cell>
          <cell r="L28">
            <v>0</v>
          </cell>
        </row>
        <row r="29">
          <cell r="C29">
            <v>0.82009699999999996</v>
          </cell>
          <cell r="L29">
            <v>0</v>
          </cell>
        </row>
        <row r="30">
          <cell r="C30">
            <v>0.41017199999999998</v>
          </cell>
          <cell r="L30">
            <v>0.44435200000000002</v>
          </cell>
        </row>
        <row r="31">
          <cell r="C31">
            <v>0.94483099999999998</v>
          </cell>
          <cell r="L31">
            <v>0</v>
          </cell>
        </row>
        <row r="32">
          <cell r="C32">
            <v>0.921068</v>
          </cell>
          <cell r="L32">
            <v>0</v>
          </cell>
        </row>
        <row r="33">
          <cell r="C33">
            <v>0.89049599999999995</v>
          </cell>
          <cell r="L33">
            <v>0</v>
          </cell>
        </row>
        <row r="34">
          <cell r="C34">
            <v>0.91264599999999996</v>
          </cell>
          <cell r="L34">
            <v>0</v>
          </cell>
        </row>
        <row r="35">
          <cell r="C35">
            <v>1.1111880000000001</v>
          </cell>
          <cell r="L35">
            <v>0</v>
          </cell>
        </row>
        <row r="36">
          <cell r="C36">
            <v>0.89787399999999995</v>
          </cell>
          <cell r="L36">
            <v>0</v>
          </cell>
        </row>
        <row r="37">
          <cell r="C37">
            <v>1.022516</v>
          </cell>
          <cell r="L37">
            <v>0</v>
          </cell>
        </row>
        <row r="38">
          <cell r="C38">
            <v>1.069699</v>
          </cell>
          <cell r="L38">
            <v>0</v>
          </cell>
        </row>
      </sheetData>
      <sheetData sheetId="4"/>
      <sheetData sheetId="5">
        <row r="8">
          <cell r="C8">
            <v>1.054427</v>
          </cell>
          <cell r="L8">
            <v>0</v>
          </cell>
        </row>
        <row r="9">
          <cell r="C9">
            <v>1.0791299999999999</v>
          </cell>
          <cell r="L9">
            <v>0</v>
          </cell>
        </row>
        <row r="10">
          <cell r="C10">
            <v>0.96154200000000001</v>
          </cell>
          <cell r="L10">
            <v>0</v>
          </cell>
        </row>
        <row r="11">
          <cell r="C11">
            <v>0.72347300000000003</v>
          </cell>
          <cell r="L11">
            <v>0</v>
          </cell>
        </row>
        <row r="12">
          <cell r="C12">
            <v>0.80143500000000001</v>
          </cell>
          <cell r="L12">
            <v>0</v>
          </cell>
        </row>
        <row r="13">
          <cell r="C13">
            <v>0.74179700000000004</v>
          </cell>
          <cell r="L13">
            <v>0</v>
          </cell>
        </row>
        <row r="14">
          <cell r="C14">
            <v>0.71524600000000005</v>
          </cell>
          <cell r="L14">
            <v>0</v>
          </cell>
        </row>
        <row r="15">
          <cell r="C15">
            <v>0.75852200000000003</v>
          </cell>
          <cell r="L15">
            <v>0</v>
          </cell>
        </row>
        <row r="16">
          <cell r="C16">
            <v>0.77555700000000005</v>
          </cell>
          <cell r="L16">
            <v>0</v>
          </cell>
        </row>
        <row r="17">
          <cell r="C17">
            <v>0.73487100000000005</v>
          </cell>
          <cell r="L17">
            <v>0</v>
          </cell>
        </row>
        <row r="18">
          <cell r="C18">
            <v>0.79330400000000001</v>
          </cell>
          <cell r="L18">
            <v>0</v>
          </cell>
        </row>
        <row r="19">
          <cell r="C19">
            <v>0.66564500000000004</v>
          </cell>
          <cell r="L19">
            <v>0</v>
          </cell>
        </row>
        <row r="20">
          <cell r="C20">
            <v>0.83265400000000001</v>
          </cell>
          <cell r="L20">
            <v>0</v>
          </cell>
        </row>
        <row r="21">
          <cell r="C21">
            <v>0.76447600000000004</v>
          </cell>
          <cell r="L21">
            <v>0</v>
          </cell>
        </row>
        <row r="22">
          <cell r="C22">
            <v>0.78227000000000002</v>
          </cell>
          <cell r="L22">
            <v>0</v>
          </cell>
        </row>
        <row r="23">
          <cell r="C23">
            <v>0.77736799999999995</v>
          </cell>
          <cell r="L23">
            <v>0</v>
          </cell>
        </row>
        <row r="24">
          <cell r="C24">
            <v>0.75551100000000004</v>
          </cell>
          <cell r="L24">
            <v>0</v>
          </cell>
        </row>
        <row r="25">
          <cell r="C25">
            <v>0.79019499999999998</v>
          </cell>
          <cell r="L25">
            <v>0</v>
          </cell>
        </row>
        <row r="26">
          <cell r="C26">
            <v>0.79805300000000001</v>
          </cell>
          <cell r="L26">
            <v>0</v>
          </cell>
        </row>
        <row r="27">
          <cell r="C27">
            <v>0.74783599999999995</v>
          </cell>
          <cell r="L27">
            <v>0</v>
          </cell>
        </row>
        <row r="28">
          <cell r="C28">
            <v>0.79840100000000003</v>
          </cell>
          <cell r="L28">
            <v>0</v>
          </cell>
        </row>
        <row r="29">
          <cell r="C29">
            <v>0.73518399999999995</v>
          </cell>
          <cell r="L29">
            <v>0</v>
          </cell>
        </row>
        <row r="30">
          <cell r="C30">
            <v>0.88442399999999999</v>
          </cell>
          <cell r="L30">
            <v>0</v>
          </cell>
        </row>
        <row r="31">
          <cell r="C31">
            <v>0.70136600000000004</v>
          </cell>
          <cell r="L31">
            <v>0</v>
          </cell>
        </row>
        <row r="32">
          <cell r="C32">
            <v>0.81102399999999997</v>
          </cell>
          <cell r="L32">
            <v>0</v>
          </cell>
        </row>
        <row r="33">
          <cell r="C33">
            <v>0.77131499999999997</v>
          </cell>
          <cell r="L33">
            <v>0</v>
          </cell>
        </row>
        <row r="34">
          <cell r="C34">
            <v>0.76383999999999996</v>
          </cell>
          <cell r="L34">
            <v>0</v>
          </cell>
        </row>
        <row r="35">
          <cell r="C35">
            <v>0.78981999999999997</v>
          </cell>
          <cell r="L35">
            <v>0</v>
          </cell>
        </row>
        <row r="36">
          <cell r="C36">
            <v>0.76113699999999995</v>
          </cell>
          <cell r="L36">
            <v>0</v>
          </cell>
        </row>
        <row r="37">
          <cell r="C37">
            <v>0</v>
          </cell>
          <cell r="L37">
            <v>0</v>
          </cell>
        </row>
        <row r="38">
          <cell r="C38">
            <v>0</v>
          </cell>
          <cell r="L38">
            <v>0</v>
          </cell>
        </row>
      </sheetData>
      <sheetData sheetId="6"/>
      <sheetData sheetId="7">
        <row r="8">
          <cell r="C8">
            <v>0.78234800000000004</v>
          </cell>
          <cell r="L8">
            <v>0</v>
          </cell>
        </row>
        <row r="9">
          <cell r="C9">
            <v>0.49170000000000003</v>
          </cell>
          <cell r="L9">
            <v>0</v>
          </cell>
        </row>
        <row r="10">
          <cell r="C10">
            <v>0.48852000000000001</v>
          </cell>
          <cell r="L10">
            <v>0</v>
          </cell>
        </row>
        <row r="11">
          <cell r="C11">
            <v>0.94463399999999997</v>
          </cell>
          <cell r="L11">
            <v>0</v>
          </cell>
        </row>
        <row r="12">
          <cell r="C12">
            <v>0.84849399999999997</v>
          </cell>
          <cell r="L12">
            <v>0</v>
          </cell>
        </row>
        <row r="13">
          <cell r="C13">
            <v>0.85277099999999995</v>
          </cell>
          <cell r="L13">
            <v>0</v>
          </cell>
        </row>
        <row r="14">
          <cell r="C14">
            <v>0.714584</v>
          </cell>
          <cell r="L14">
            <v>0</v>
          </cell>
        </row>
        <row r="15">
          <cell r="C15">
            <v>0.81918999999999997</v>
          </cell>
          <cell r="L15">
            <v>0</v>
          </cell>
        </row>
        <row r="16">
          <cell r="C16">
            <v>0.76350499999999999</v>
          </cell>
          <cell r="L16">
            <v>0</v>
          </cell>
        </row>
        <row r="17">
          <cell r="C17">
            <v>0.82986300000000002</v>
          </cell>
          <cell r="L17">
            <v>0</v>
          </cell>
        </row>
        <row r="18">
          <cell r="C18">
            <v>0.765019</v>
          </cell>
          <cell r="L18">
            <v>0</v>
          </cell>
        </row>
        <row r="19">
          <cell r="C19">
            <v>0.81623999999999997</v>
          </cell>
          <cell r="L19">
            <v>0</v>
          </cell>
        </row>
        <row r="20">
          <cell r="C20">
            <v>0.81124300000000005</v>
          </cell>
          <cell r="L20">
            <v>0</v>
          </cell>
        </row>
        <row r="21">
          <cell r="C21">
            <v>0.82726299999999997</v>
          </cell>
          <cell r="L21">
            <v>0</v>
          </cell>
        </row>
        <row r="22">
          <cell r="C22">
            <v>0.61028000000000004</v>
          </cell>
          <cell r="L22">
            <v>0</v>
          </cell>
        </row>
        <row r="23">
          <cell r="C23">
            <v>0.836117</v>
          </cell>
          <cell r="L23">
            <v>0</v>
          </cell>
        </row>
        <row r="24">
          <cell r="C24">
            <v>0.78410199999999997</v>
          </cell>
          <cell r="L24">
            <v>0</v>
          </cell>
        </row>
        <row r="25">
          <cell r="C25">
            <v>0.781412</v>
          </cell>
          <cell r="L25">
            <v>0</v>
          </cell>
        </row>
        <row r="26">
          <cell r="C26">
            <v>0.77774799999999999</v>
          </cell>
          <cell r="L26">
            <v>0</v>
          </cell>
        </row>
        <row r="27">
          <cell r="C27">
            <v>0.74246999999999996</v>
          </cell>
          <cell r="L27">
            <v>0</v>
          </cell>
        </row>
        <row r="28">
          <cell r="C28">
            <v>0.80215400000000003</v>
          </cell>
          <cell r="L28">
            <v>0</v>
          </cell>
        </row>
        <row r="29">
          <cell r="C29">
            <v>0.74838899999999997</v>
          </cell>
          <cell r="L29">
            <v>0</v>
          </cell>
        </row>
        <row r="30">
          <cell r="C30">
            <v>0.68159800000000004</v>
          </cell>
          <cell r="L30">
            <v>0</v>
          </cell>
        </row>
        <row r="31">
          <cell r="C31">
            <v>0.77402000000000004</v>
          </cell>
          <cell r="L31">
            <v>0</v>
          </cell>
        </row>
        <row r="32">
          <cell r="C32">
            <v>0.75134599999999996</v>
          </cell>
          <cell r="L32">
            <v>0</v>
          </cell>
        </row>
        <row r="33">
          <cell r="C33">
            <v>0.76991100000000001</v>
          </cell>
          <cell r="L33">
            <v>0</v>
          </cell>
        </row>
        <row r="34">
          <cell r="C34">
            <v>0.70689299999999999</v>
          </cell>
          <cell r="L34">
            <v>0</v>
          </cell>
        </row>
        <row r="35">
          <cell r="C35">
            <v>0.81545199999999995</v>
          </cell>
          <cell r="L35">
            <v>0</v>
          </cell>
        </row>
        <row r="36">
          <cell r="C36">
            <v>0.72418700000000003</v>
          </cell>
          <cell r="L36">
            <v>0</v>
          </cell>
        </row>
        <row r="37">
          <cell r="C37">
            <v>0.72911999999999999</v>
          </cell>
          <cell r="L37">
            <v>0</v>
          </cell>
        </row>
        <row r="38">
          <cell r="C38">
            <v>0.83647400000000005</v>
          </cell>
          <cell r="L38">
            <v>0</v>
          </cell>
        </row>
      </sheetData>
      <sheetData sheetId="8"/>
      <sheetData sheetId="9"/>
      <sheetData sheetId="10">
        <row r="8">
          <cell r="C8">
            <v>0.72552399999999995</v>
          </cell>
          <cell r="L8">
            <v>0</v>
          </cell>
        </row>
        <row r="9">
          <cell r="C9">
            <v>0.69366399999999995</v>
          </cell>
          <cell r="L9">
            <v>0</v>
          </cell>
        </row>
        <row r="10">
          <cell r="C10">
            <v>0.80221799999999999</v>
          </cell>
          <cell r="L10">
            <v>0</v>
          </cell>
        </row>
        <row r="11">
          <cell r="C11">
            <v>0.831704</v>
          </cell>
          <cell r="L11">
            <v>0</v>
          </cell>
        </row>
        <row r="12">
          <cell r="C12">
            <v>0.67052599999999996</v>
          </cell>
          <cell r="L12">
            <v>0</v>
          </cell>
        </row>
        <row r="13">
          <cell r="C13">
            <v>0.74646299999999999</v>
          </cell>
          <cell r="L13">
            <v>0</v>
          </cell>
        </row>
        <row r="14">
          <cell r="C14">
            <v>0.75265300000000002</v>
          </cell>
          <cell r="L14">
            <v>0</v>
          </cell>
        </row>
        <row r="15">
          <cell r="C15">
            <v>0.82004900000000003</v>
          </cell>
          <cell r="L15">
            <v>0</v>
          </cell>
        </row>
        <row r="16">
          <cell r="C16">
            <v>0.67591400000000001</v>
          </cell>
          <cell r="L16">
            <v>0</v>
          </cell>
        </row>
        <row r="17">
          <cell r="C17">
            <v>0.77593699999999999</v>
          </cell>
          <cell r="L17">
            <v>0</v>
          </cell>
        </row>
        <row r="18">
          <cell r="C18">
            <v>0.80450699999999997</v>
          </cell>
          <cell r="L18">
            <v>0</v>
          </cell>
        </row>
        <row r="19">
          <cell r="C19">
            <v>0.76387499999999997</v>
          </cell>
          <cell r="L19">
            <v>0</v>
          </cell>
        </row>
        <row r="20">
          <cell r="C20">
            <v>0.73309400000000002</v>
          </cell>
          <cell r="L20">
            <v>0</v>
          </cell>
        </row>
        <row r="21">
          <cell r="C21">
            <v>0.78440500000000002</v>
          </cell>
          <cell r="L21">
            <v>0</v>
          </cell>
        </row>
        <row r="22">
          <cell r="C22">
            <v>0.48983500000000002</v>
          </cell>
          <cell r="L22">
            <v>0.26375700000000002</v>
          </cell>
        </row>
        <row r="23">
          <cell r="C23">
            <v>0.23020399999999999</v>
          </cell>
          <cell r="L23">
            <v>0.52875000000000005</v>
          </cell>
        </row>
        <row r="24">
          <cell r="C24">
            <v>0</v>
          </cell>
          <cell r="L24">
            <v>0.79328500000000002</v>
          </cell>
        </row>
        <row r="25">
          <cell r="C25">
            <v>0.81563099999999999</v>
          </cell>
          <cell r="L25">
            <v>0</v>
          </cell>
        </row>
        <row r="26">
          <cell r="C26">
            <v>0.905061</v>
          </cell>
          <cell r="L26">
            <v>0</v>
          </cell>
        </row>
        <row r="27">
          <cell r="C27">
            <v>0.76160300000000003</v>
          </cell>
          <cell r="L27">
            <v>0</v>
          </cell>
        </row>
        <row r="28">
          <cell r="C28">
            <v>0.72269300000000003</v>
          </cell>
          <cell r="L28">
            <v>0</v>
          </cell>
        </row>
        <row r="29">
          <cell r="C29">
            <v>0.86435899999999999</v>
          </cell>
          <cell r="L29">
            <v>0</v>
          </cell>
        </row>
        <row r="30">
          <cell r="C30">
            <v>0.81811900000000004</v>
          </cell>
          <cell r="L30">
            <v>0</v>
          </cell>
        </row>
        <row r="31">
          <cell r="C31">
            <v>0.84996000000000005</v>
          </cell>
          <cell r="L31">
            <v>0</v>
          </cell>
        </row>
        <row r="32">
          <cell r="C32">
            <v>0.84769799999999995</v>
          </cell>
          <cell r="L32">
            <v>0</v>
          </cell>
        </row>
        <row r="33">
          <cell r="C33">
            <v>0.86355700000000002</v>
          </cell>
          <cell r="L33">
            <v>0</v>
          </cell>
        </row>
        <row r="34">
          <cell r="C34">
            <v>0.72853000000000001</v>
          </cell>
          <cell r="L34">
            <v>0</v>
          </cell>
        </row>
        <row r="35">
          <cell r="C35">
            <v>0.66891100000000003</v>
          </cell>
          <cell r="L35">
            <v>0</v>
          </cell>
        </row>
        <row r="36">
          <cell r="C36">
            <v>0.77043600000000001</v>
          </cell>
          <cell r="L36">
            <v>0</v>
          </cell>
        </row>
        <row r="37">
          <cell r="C37">
            <v>0.79600300000000002</v>
          </cell>
          <cell r="L37">
            <v>0</v>
          </cell>
        </row>
        <row r="38">
          <cell r="C38">
            <v>0</v>
          </cell>
          <cell r="L38">
            <v>0</v>
          </cell>
        </row>
      </sheetData>
      <sheetData sheetId="11"/>
      <sheetData sheetId="12">
        <row r="8">
          <cell r="C8">
            <v>0.73513799999999996</v>
          </cell>
          <cell r="L8">
            <v>0</v>
          </cell>
        </row>
        <row r="9">
          <cell r="C9">
            <v>0.70294900000000005</v>
          </cell>
          <cell r="L9">
            <v>0</v>
          </cell>
        </row>
        <row r="10">
          <cell r="C10">
            <v>0.80799399999999999</v>
          </cell>
          <cell r="L10">
            <v>0</v>
          </cell>
        </row>
        <row r="11">
          <cell r="C11">
            <v>0.78213200000000005</v>
          </cell>
          <cell r="L11">
            <v>0</v>
          </cell>
        </row>
        <row r="12">
          <cell r="C12">
            <v>0.78095199999999998</v>
          </cell>
          <cell r="L12">
            <v>0</v>
          </cell>
        </row>
        <row r="13">
          <cell r="C13">
            <v>0.79173800000000005</v>
          </cell>
          <cell r="L13">
            <v>0</v>
          </cell>
        </row>
        <row r="14">
          <cell r="C14">
            <v>0.84632499999999999</v>
          </cell>
          <cell r="L14">
            <v>0</v>
          </cell>
        </row>
        <row r="15">
          <cell r="C15">
            <v>0.83531100000000003</v>
          </cell>
          <cell r="L15">
            <v>0</v>
          </cell>
        </row>
        <row r="16">
          <cell r="C16">
            <v>0.86891499999999999</v>
          </cell>
          <cell r="L16">
            <v>0</v>
          </cell>
        </row>
        <row r="17">
          <cell r="C17">
            <v>0.87646400000000002</v>
          </cell>
          <cell r="L17">
            <v>0</v>
          </cell>
        </row>
        <row r="18">
          <cell r="C18">
            <v>0.88763999999999998</v>
          </cell>
          <cell r="L18">
            <v>0</v>
          </cell>
        </row>
        <row r="19">
          <cell r="C19">
            <v>1.024251</v>
          </cell>
          <cell r="L19">
            <v>0</v>
          </cell>
        </row>
        <row r="20">
          <cell r="C20">
            <v>0.73638400000000004</v>
          </cell>
          <cell r="L20">
            <v>0</v>
          </cell>
        </row>
        <row r="21">
          <cell r="C21">
            <v>0.73872099999999996</v>
          </cell>
          <cell r="L21">
            <v>0</v>
          </cell>
        </row>
        <row r="22">
          <cell r="C22">
            <v>0.93455299999999997</v>
          </cell>
          <cell r="L22">
            <v>0</v>
          </cell>
        </row>
        <row r="23">
          <cell r="C23">
            <v>0.75952900000000001</v>
          </cell>
          <cell r="L23">
            <v>0</v>
          </cell>
        </row>
        <row r="24">
          <cell r="C24">
            <v>0.79659100000000005</v>
          </cell>
          <cell r="L24">
            <v>0</v>
          </cell>
        </row>
        <row r="25">
          <cell r="C25">
            <v>0.73485900000000004</v>
          </cell>
          <cell r="L25">
            <v>0</v>
          </cell>
        </row>
        <row r="26">
          <cell r="C26">
            <v>0.84265500000000004</v>
          </cell>
          <cell r="L26">
            <v>0</v>
          </cell>
        </row>
        <row r="27">
          <cell r="C27">
            <v>0.79267100000000001</v>
          </cell>
          <cell r="L27">
            <v>0</v>
          </cell>
        </row>
        <row r="28">
          <cell r="C28">
            <v>0.85367899999999997</v>
          </cell>
          <cell r="L28">
            <v>0</v>
          </cell>
        </row>
        <row r="29">
          <cell r="C29">
            <v>0.89472099999999999</v>
          </cell>
          <cell r="L29">
            <v>0</v>
          </cell>
        </row>
        <row r="30">
          <cell r="C30">
            <v>0.83228800000000003</v>
          </cell>
          <cell r="L30">
            <v>0</v>
          </cell>
        </row>
        <row r="31">
          <cell r="C31">
            <v>0.85076700000000005</v>
          </cell>
          <cell r="L31">
            <v>0</v>
          </cell>
        </row>
        <row r="32">
          <cell r="C32">
            <v>0.89211200000000002</v>
          </cell>
          <cell r="L32">
            <v>0</v>
          </cell>
        </row>
        <row r="33">
          <cell r="C33">
            <v>0.82576799999999995</v>
          </cell>
          <cell r="L33">
            <v>0</v>
          </cell>
        </row>
        <row r="34">
          <cell r="C34">
            <v>0.932064</v>
          </cell>
          <cell r="L34">
            <v>0</v>
          </cell>
        </row>
        <row r="35">
          <cell r="C35">
            <v>1.033442</v>
          </cell>
          <cell r="L35">
            <v>0</v>
          </cell>
        </row>
        <row r="36">
          <cell r="C36">
            <v>0.90488599999999997</v>
          </cell>
          <cell r="L36">
            <v>0</v>
          </cell>
        </row>
        <row r="37">
          <cell r="C37">
            <v>0.72991700000000004</v>
          </cell>
          <cell r="L37">
            <v>0</v>
          </cell>
        </row>
        <row r="38">
          <cell r="C38">
            <v>0.75605999999999995</v>
          </cell>
          <cell r="L38">
            <v>0</v>
          </cell>
        </row>
      </sheetData>
      <sheetData sheetId="13"/>
      <sheetData sheetId="14">
        <row r="8">
          <cell r="C8">
            <v>0.68220099999999995</v>
          </cell>
          <cell r="L8">
            <v>0</v>
          </cell>
        </row>
        <row r="9">
          <cell r="C9">
            <v>0.757857</v>
          </cell>
          <cell r="L9">
            <v>0</v>
          </cell>
        </row>
        <row r="10">
          <cell r="C10">
            <v>0.827515</v>
          </cell>
          <cell r="L10">
            <v>0</v>
          </cell>
        </row>
        <row r="11">
          <cell r="C11">
            <v>0.71537300000000004</v>
          </cell>
          <cell r="L11">
            <v>0</v>
          </cell>
        </row>
        <row r="12">
          <cell r="C12">
            <v>0.83699800000000002</v>
          </cell>
          <cell r="L12">
            <v>0</v>
          </cell>
        </row>
        <row r="13">
          <cell r="C13">
            <v>0.71799100000000005</v>
          </cell>
          <cell r="L13">
            <v>0</v>
          </cell>
        </row>
        <row r="14">
          <cell r="C14">
            <v>0.80976599999999999</v>
          </cell>
          <cell r="L14">
            <v>0</v>
          </cell>
        </row>
        <row r="15">
          <cell r="C15">
            <v>0.83787</v>
          </cell>
          <cell r="L15">
            <v>0</v>
          </cell>
        </row>
        <row r="16">
          <cell r="C16">
            <v>0.89356599999999997</v>
          </cell>
          <cell r="L16">
            <v>0</v>
          </cell>
        </row>
        <row r="17">
          <cell r="C17">
            <v>0.80822300000000002</v>
          </cell>
          <cell r="L17">
            <v>0</v>
          </cell>
        </row>
        <row r="18">
          <cell r="C18">
            <v>0.86114999999999997</v>
          </cell>
          <cell r="L18">
            <v>0</v>
          </cell>
        </row>
        <row r="19">
          <cell r="C19">
            <v>0.77073700000000001</v>
          </cell>
          <cell r="L19">
            <v>0</v>
          </cell>
        </row>
        <row r="20">
          <cell r="C20">
            <v>0.83117200000000002</v>
          </cell>
          <cell r="L20">
            <v>0</v>
          </cell>
        </row>
        <row r="21">
          <cell r="C21">
            <v>1.089167</v>
          </cell>
          <cell r="L21">
            <v>0</v>
          </cell>
        </row>
        <row r="22">
          <cell r="C22">
            <v>0</v>
          </cell>
          <cell r="L22">
            <v>0</v>
          </cell>
        </row>
        <row r="23">
          <cell r="C23">
            <v>0</v>
          </cell>
          <cell r="L23">
            <v>0</v>
          </cell>
        </row>
        <row r="24">
          <cell r="C24">
            <v>0</v>
          </cell>
          <cell r="L24">
            <v>0</v>
          </cell>
        </row>
        <row r="25">
          <cell r="C25">
            <v>0</v>
          </cell>
          <cell r="L25">
            <v>0</v>
          </cell>
        </row>
        <row r="26">
          <cell r="C26">
            <v>0</v>
          </cell>
          <cell r="L26">
            <v>0</v>
          </cell>
        </row>
        <row r="27">
          <cell r="C27">
            <v>0</v>
          </cell>
          <cell r="L27">
            <v>0</v>
          </cell>
        </row>
        <row r="28">
          <cell r="C28">
            <v>0</v>
          </cell>
          <cell r="L28">
            <v>0</v>
          </cell>
        </row>
        <row r="29">
          <cell r="C29">
            <v>0</v>
          </cell>
          <cell r="L29">
            <v>0</v>
          </cell>
        </row>
        <row r="30">
          <cell r="C30">
            <v>0</v>
          </cell>
          <cell r="L30">
            <v>0</v>
          </cell>
        </row>
        <row r="31">
          <cell r="C31">
            <v>0</v>
          </cell>
          <cell r="L31">
            <v>0</v>
          </cell>
        </row>
        <row r="32">
          <cell r="C32">
            <v>0</v>
          </cell>
          <cell r="L32">
            <v>0</v>
          </cell>
        </row>
        <row r="33">
          <cell r="C33">
            <v>0</v>
          </cell>
          <cell r="L33">
            <v>0</v>
          </cell>
        </row>
        <row r="34">
          <cell r="C34">
            <v>0</v>
          </cell>
          <cell r="L34">
            <v>0</v>
          </cell>
        </row>
        <row r="35">
          <cell r="C35">
            <v>0</v>
          </cell>
          <cell r="L35">
            <v>0</v>
          </cell>
        </row>
        <row r="36">
          <cell r="C36">
            <v>0</v>
          </cell>
          <cell r="L36">
            <v>0</v>
          </cell>
        </row>
        <row r="37">
          <cell r="C37">
            <v>0</v>
          </cell>
          <cell r="L37">
            <v>0</v>
          </cell>
        </row>
        <row r="38">
          <cell r="C38">
            <v>0</v>
          </cell>
          <cell r="L38">
            <v>0</v>
          </cell>
        </row>
      </sheetData>
      <sheetData sheetId="15"/>
      <sheetData sheetId="16"/>
      <sheetData sheetId="17">
        <row r="8">
          <cell r="C8">
            <v>0</v>
          </cell>
          <cell r="L8">
            <v>0</v>
          </cell>
        </row>
        <row r="9">
          <cell r="C9">
            <v>0</v>
          </cell>
          <cell r="L9">
            <v>0</v>
          </cell>
        </row>
        <row r="10">
          <cell r="C10">
            <v>0</v>
          </cell>
          <cell r="L10">
            <v>0</v>
          </cell>
        </row>
        <row r="11">
          <cell r="C11">
            <v>0</v>
          </cell>
          <cell r="L11">
            <v>0</v>
          </cell>
        </row>
        <row r="12">
          <cell r="C12">
            <v>0</v>
          </cell>
          <cell r="L12">
            <v>0</v>
          </cell>
        </row>
        <row r="13">
          <cell r="C13">
            <v>0</v>
          </cell>
          <cell r="L13">
            <v>0</v>
          </cell>
        </row>
        <row r="14">
          <cell r="C14">
            <v>0</v>
          </cell>
          <cell r="L14">
            <v>0</v>
          </cell>
        </row>
        <row r="15">
          <cell r="C15">
            <v>0</v>
          </cell>
          <cell r="L15">
            <v>0</v>
          </cell>
        </row>
        <row r="16">
          <cell r="C16">
            <v>0</v>
          </cell>
          <cell r="L16">
            <v>0</v>
          </cell>
        </row>
        <row r="17">
          <cell r="C17">
            <v>0</v>
          </cell>
          <cell r="L17">
            <v>0</v>
          </cell>
        </row>
        <row r="18">
          <cell r="C18">
            <v>0</v>
          </cell>
          <cell r="L18">
            <v>0</v>
          </cell>
        </row>
        <row r="19">
          <cell r="C19">
            <v>0</v>
          </cell>
          <cell r="L19">
            <v>0</v>
          </cell>
        </row>
        <row r="20">
          <cell r="C20">
            <v>0</v>
          </cell>
          <cell r="L20">
            <v>0</v>
          </cell>
        </row>
        <row r="21">
          <cell r="C21">
            <v>0</v>
          </cell>
          <cell r="L21">
            <v>0</v>
          </cell>
        </row>
        <row r="22">
          <cell r="C22">
            <v>0</v>
          </cell>
          <cell r="L22">
            <v>0</v>
          </cell>
        </row>
        <row r="23">
          <cell r="C23">
            <v>0</v>
          </cell>
          <cell r="L23">
            <v>0</v>
          </cell>
        </row>
        <row r="24">
          <cell r="C24">
            <v>0</v>
          </cell>
          <cell r="L24">
            <v>0</v>
          </cell>
        </row>
        <row r="25">
          <cell r="C25">
            <v>0</v>
          </cell>
          <cell r="L25">
            <v>0</v>
          </cell>
        </row>
        <row r="26">
          <cell r="C26">
            <v>0</v>
          </cell>
          <cell r="L26">
            <v>0</v>
          </cell>
        </row>
        <row r="27">
          <cell r="C27">
            <v>0</v>
          </cell>
          <cell r="L27">
            <v>0</v>
          </cell>
        </row>
        <row r="28">
          <cell r="C28">
            <v>0</v>
          </cell>
          <cell r="L28">
            <v>0</v>
          </cell>
        </row>
        <row r="29">
          <cell r="C29">
            <v>0</v>
          </cell>
          <cell r="L29">
            <v>0</v>
          </cell>
        </row>
        <row r="30">
          <cell r="C30">
            <v>0</v>
          </cell>
          <cell r="L30">
            <v>0</v>
          </cell>
        </row>
        <row r="31">
          <cell r="C31">
            <v>0</v>
          </cell>
          <cell r="L31">
            <v>0</v>
          </cell>
        </row>
        <row r="32">
          <cell r="C32">
            <v>0</v>
          </cell>
          <cell r="L32">
            <v>0</v>
          </cell>
        </row>
        <row r="33">
          <cell r="C33">
            <v>0</v>
          </cell>
          <cell r="L33">
            <v>0</v>
          </cell>
        </row>
        <row r="34">
          <cell r="C34">
            <v>0</v>
          </cell>
          <cell r="L34">
            <v>0</v>
          </cell>
        </row>
        <row r="35">
          <cell r="C35">
            <v>0</v>
          </cell>
          <cell r="L35">
            <v>0</v>
          </cell>
        </row>
        <row r="36">
          <cell r="C36">
            <v>0</v>
          </cell>
          <cell r="L36">
            <v>0</v>
          </cell>
        </row>
        <row r="37">
          <cell r="C37">
            <v>0</v>
          </cell>
          <cell r="L37">
            <v>0</v>
          </cell>
        </row>
        <row r="38">
          <cell r="C38">
            <v>0</v>
          </cell>
          <cell r="L38">
            <v>0</v>
          </cell>
        </row>
      </sheetData>
      <sheetData sheetId="18"/>
      <sheetData sheetId="19">
        <row r="8">
          <cell r="C8">
            <v>0</v>
          </cell>
          <cell r="L8">
            <v>0</v>
          </cell>
        </row>
        <row r="9">
          <cell r="C9">
            <v>0</v>
          </cell>
          <cell r="L9">
            <v>0</v>
          </cell>
        </row>
        <row r="10">
          <cell r="C10">
            <v>0</v>
          </cell>
          <cell r="L10">
            <v>0</v>
          </cell>
        </row>
        <row r="11">
          <cell r="C11">
            <v>0</v>
          </cell>
          <cell r="L11">
            <v>0</v>
          </cell>
        </row>
        <row r="12">
          <cell r="C12">
            <v>0</v>
          </cell>
          <cell r="L12">
            <v>0</v>
          </cell>
        </row>
        <row r="13">
          <cell r="C13">
            <v>0</v>
          </cell>
          <cell r="L13">
            <v>0</v>
          </cell>
        </row>
        <row r="14">
          <cell r="C14">
            <v>0</v>
          </cell>
          <cell r="L14">
            <v>0</v>
          </cell>
        </row>
        <row r="15">
          <cell r="C15">
            <v>0</v>
          </cell>
          <cell r="L15">
            <v>0</v>
          </cell>
        </row>
        <row r="16">
          <cell r="C16">
            <v>0</v>
          </cell>
          <cell r="L16">
            <v>0</v>
          </cell>
        </row>
        <row r="17">
          <cell r="C17">
            <v>0</v>
          </cell>
          <cell r="L17">
            <v>0</v>
          </cell>
        </row>
        <row r="18">
          <cell r="C18">
            <v>0</v>
          </cell>
          <cell r="L18">
            <v>0</v>
          </cell>
        </row>
        <row r="19">
          <cell r="C19">
            <v>0</v>
          </cell>
          <cell r="L19">
            <v>0</v>
          </cell>
        </row>
        <row r="20">
          <cell r="C20">
            <v>0</v>
          </cell>
          <cell r="L20">
            <v>0</v>
          </cell>
        </row>
        <row r="21">
          <cell r="C21">
            <v>0</v>
          </cell>
          <cell r="L21">
            <v>0</v>
          </cell>
        </row>
        <row r="22">
          <cell r="C22">
            <v>0</v>
          </cell>
          <cell r="L22">
            <v>0</v>
          </cell>
        </row>
        <row r="23">
          <cell r="C23">
            <v>0</v>
          </cell>
          <cell r="L23">
            <v>0</v>
          </cell>
        </row>
        <row r="24">
          <cell r="C24">
            <v>0</v>
          </cell>
          <cell r="L24">
            <v>0</v>
          </cell>
        </row>
        <row r="25">
          <cell r="C25">
            <v>0</v>
          </cell>
          <cell r="L25">
            <v>0</v>
          </cell>
        </row>
        <row r="26">
          <cell r="C26">
            <v>0</v>
          </cell>
          <cell r="L26">
            <v>0</v>
          </cell>
        </row>
        <row r="27">
          <cell r="C27">
            <v>0</v>
          </cell>
          <cell r="L27">
            <v>0</v>
          </cell>
        </row>
        <row r="28">
          <cell r="C28">
            <v>0</v>
          </cell>
          <cell r="L28">
            <v>0</v>
          </cell>
        </row>
        <row r="29">
          <cell r="C29">
            <v>0</v>
          </cell>
          <cell r="L29">
            <v>0</v>
          </cell>
        </row>
        <row r="30">
          <cell r="C30">
            <v>0</v>
          </cell>
          <cell r="L30">
            <v>0</v>
          </cell>
        </row>
        <row r="31">
          <cell r="C31">
            <v>0</v>
          </cell>
          <cell r="L31">
            <v>0</v>
          </cell>
        </row>
        <row r="32">
          <cell r="C32">
            <v>0</v>
          </cell>
          <cell r="L32">
            <v>0</v>
          </cell>
        </row>
        <row r="33">
          <cell r="C33">
            <v>0</v>
          </cell>
          <cell r="L33">
            <v>0</v>
          </cell>
        </row>
        <row r="34">
          <cell r="C34">
            <v>0</v>
          </cell>
          <cell r="L34">
            <v>0</v>
          </cell>
        </row>
        <row r="35">
          <cell r="C35">
            <v>0</v>
          </cell>
          <cell r="L35">
            <v>0</v>
          </cell>
        </row>
        <row r="36">
          <cell r="C36">
            <v>0</v>
          </cell>
          <cell r="L36">
            <v>0</v>
          </cell>
        </row>
        <row r="37">
          <cell r="C37">
            <v>0</v>
          </cell>
          <cell r="L37">
            <v>0</v>
          </cell>
        </row>
        <row r="38">
          <cell r="C38">
            <v>0</v>
          </cell>
          <cell r="L38">
            <v>0</v>
          </cell>
        </row>
      </sheetData>
      <sheetData sheetId="20"/>
      <sheetData sheetId="21">
        <row r="8">
          <cell r="C8">
            <v>0</v>
          </cell>
          <cell r="L8">
            <v>0</v>
          </cell>
        </row>
        <row r="9">
          <cell r="C9">
            <v>0</v>
          </cell>
          <cell r="L9">
            <v>0</v>
          </cell>
        </row>
        <row r="10">
          <cell r="C10">
            <v>0</v>
          </cell>
          <cell r="L10">
            <v>0</v>
          </cell>
        </row>
        <row r="11">
          <cell r="C11">
            <v>0</v>
          </cell>
          <cell r="L11">
            <v>0</v>
          </cell>
        </row>
        <row r="12">
          <cell r="C12">
            <v>0</v>
          </cell>
          <cell r="L12">
            <v>0</v>
          </cell>
        </row>
        <row r="13">
          <cell r="C13">
            <v>0</v>
          </cell>
          <cell r="L13">
            <v>0</v>
          </cell>
        </row>
        <row r="14">
          <cell r="C14">
            <v>0</v>
          </cell>
          <cell r="L14">
            <v>0</v>
          </cell>
        </row>
        <row r="15">
          <cell r="C15">
            <v>0</v>
          </cell>
          <cell r="L15">
            <v>0</v>
          </cell>
        </row>
        <row r="16">
          <cell r="C16">
            <v>0</v>
          </cell>
          <cell r="L16">
            <v>0</v>
          </cell>
        </row>
        <row r="17">
          <cell r="C17">
            <v>0</v>
          </cell>
          <cell r="L17">
            <v>0</v>
          </cell>
        </row>
        <row r="18">
          <cell r="C18">
            <v>0</v>
          </cell>
          <cell r="L18">
            <v>0</v>
          </cell>
        </row>
        <row r="19">
          <cell r="C19">
            <v>0</v>
          </cell>
          <cell r="L19">
            <v>0</v>
          </cell>
        </row>
        <row r="20">
          <cell r="C20">
            <v>0</v>
          </cell>
          <cell r="L20">
            <v>0</v>
          </cell>
        </row>
        <row r="21">
          <cell r="C21">
            <v>0</v>
          </cell>
          <cell r="L21">
            <v>0</v>
          </cell>
        </row>
        <row r="22">
          <cell r="C22">
            <v>0</v>
          </cell>
          <cell r="L22">
            <v>0</v>
          </cell>
        </row>
        <row r="23">
          <cell r="C23">
            <v>0</v>
          </cell>
          <cell r="L23">
            <v>0</v>
          </cell>
        </row>
        <row r="24">
          <cell r="C24">
            <v>0</v>
          </cell>
          <cell r="L24">
            <v>0</v>
          </cell>
        </row>
        <row r="25">
          <cell r="C25">
            <v>0</v>
          </cell>
          <cell r="L25">
            <v>0</v>
          </cell>
        </row>
        <row r="26">
          <cell r="C26">
            <v>0</v>
          </cell>
          <cell r="L26">
            <v>0</v>
          </cell>
        </row>
        <row r="27">
          <cell r="C27">
            <v>0</v>
          </cell>
          <cell r="L27">
            <v>0</v>
          </cell>
        </row>
        <row r="28">
          <cell r="C28">
            <v>0</v>
          </cell>
          <cell r="L28">
            <v>0</v>
          </cell>
        </row>
        <row r="29">
          <cell r="C29">
            <v>0</v>
          </cell>
          <cell r="L29">
            <v>0</v>
          </cell>
        </row>
        <row r="30">
          <cell r="C30">
            <v>0</v>
          </cell>
          <cell r="L30">
            <v>0</v>
          </cell>
        </row>
        <row r="31">
          <cell r="C31">
            <v>0</v>
          </cell>
          <cell r="L31">
            <v>0</v>
          </cell>
        </row>
        <row r="32">
          <cell r="C32">
            <v>0</v>
          </cell>
          <cell r="L32">
            <v>0</v>
          </cell>
        </row>
        <row r="33">
          <cell r="C33">
            <v>0</v>
          </cell>
          <cell r="L33">
            <v>0</v>
          </cell>
        </row>
        <row r="34">
          <cell r="C34">
            <v>0</v>
          </cell>
          <cell r="L34">
            <v>0</v>
          </cell>
        </row>
        <row r="35">
          <cell r="C35">
            <v>0</v>
          </cell>
          <cell r="L35">
            <v>0</v>
          </cell>
        </row>
        <row r="36">
          <cell r="C36">
            <v>0</v>
          </cell>
          <cell r="L36">
            <v>0</v>
          </cell>
        </row>
        <row r="37">
          <cell r="C37">
            <v>0</v>
          </cell>
          <cell r="L37">
            <v>0</v>
          </cell>
        </row>
        <row r="38">
          <cell r="C38">
            <v>0</v>
          </cell>
          <cell r="L38">
            <v>0</v>
          </cell>
        </row>
      </sheetData>
      <sheetData sheetId="22"/>
      <sheetData sheetId="23"/>
      <sheetData sheetId="24">
        <row r="8">
          <cell r="C8">
            <v>0</v>
          </cell>
          <cell r="L8">
            <v>0</v>
          </cell>
        </row>
        <row r="9">
          <cell r="C9">
            <v>0</v>
          </cell>
          <cell r="L9">
            <v>0</v>
          </cell>
        </row>
        <row r="10">
          <cell r="C10">
            <v>0</v>
          </cell>
          <cell r="L10">
            <v>0</v>
          </cell>
        </row>
        <row r="11">
          <cell r="C11">
            <v>0</v>
          </cell>
          <cell r="L11">
            <v>0</v>
          </cell>
        </row>
        <row r="12">
          <cell r="C12">
            <v>0</v>
          </cell>
          <cell r="L12">
            <v>0</v>
          </cell>
        </row>
        <row r="13">
          <cell r="C13">
            <v>0</v>
          </cell>
          <cell r="L13">
            <v>0</v>
          </cell>
        </row>
        <row r="14">
          <cell r="C14">
            <v>0</v>
          </cell>
          <cell r="L14">
            <v>0</v>
          </cell>
        </row>
        <row r="15">
          <cell r="C15">
            <v>0</v>
          </cell>
          <cell r="L15">
            <v>0</v>
          </cell>
        </row>
        <row r="16">
          <cell r="C16">
            <v>0</v>
          </cell>
          <cell r="L16">
            <v>0</v>
          </cell>
        </row>
        <row r="17">
          <cell r="C17">
            <v>0</v>
          </cell>
          <cell r="L17">
            <v>0</v>
          </cell>
        </row>
        <row r="18">
          <cell r="C18">
            <v>0</v>
          </cell>
          <cell r="L18">
            <v>0</v>
          </cell>
        </row>
        <row r="19">
          <cell r="C19">
            <v>0</v>
          </cell>
          <cell r="L19">
            <v>0</v>
          </cell>
        </row>
        <row r="20">
          <cell r="C20">
            <v>0</v>
          </cell>
          <cell r="L20">
            <v>0</v>
          </cell>
        </row>
        <row r="21">
          <cell r="C21">
            <v>0</v>
          </cell>
          <cell r="L21">
            <v>0</v>
          </cell>
        </row>
        <row r="22">
          <cell r="C22">
            <v>0</v>
          </cell>
          <cell r="L22">
            <v>0</v>
          </cell>
        </row>
        <row r="23">
          <cell r="C23">
            <v>0</v>
          </cell>
          <cell r="L23">
            <v>0</v>
          </cell>
        </row>
        <row r="24">
          <cell r="C24">
            <v>0</v>
          </cell>
          <cell r="L24">
            <v>0</v>
          </cell>
        </row>
        <row r="25">
          <cell r="C25">
            <v>0</v>
          </cell>
          <cell r="L25">
            <v>0</v>
          </cell>
        </row>
        <row r="26">
          <cell r="C26">
            <v>0</v>
          </cell>
          <cell r="L26">
            <v>0</v>
          </cell>
        </row>
        <row r="27">
          <cell r="C27">
            <v>0</v>
          </cell>
          <cell r="L27">
            <v>0</v>
          </cell>
        </row>
        <row r="28">
          <cell r="C28">
            <v>0</v>
          </cell>
          <cell r="L28">
            <v>0</v>
          </cell>
        </row>
        <row r="29">
          <cell r="C29">
            <v>0</v>
          </cell>
          <cell r="L29">
            <v>0</v>
          </cell>
        </row>
        <row r="30">
          <cell r="C30">
            <v>0</v>
          </cell>
          <cell r="L30">
            <v>0</v>
          </cell>
        </row>
        <row r="31">
          <cell r="C31">
            <v>0</v>
          </cell>
          <cell r="L31">
            <v>0</v>
          </cell>
        </row>
        <row r="32">
          <cell r="C32">
            <v>0</v>
          </cell>
          <cell r="L32">
            <v>0</v>
          </cell>
        </row>
        <row r="33">
          <cell r="C33">
            <v>0</v>
          </cell>
          <cell r="L33">
            <v>0</v>
          </cell>
        </row>
        <row r="34">
          <cell r="C34">
            <v>0</v>
          </cell>
          <cell r="L34">
            <v>0</v>
          </cell>
        </row>
        <row r="35">
          <cell r="C35">
            <v>0</v>
          </cell>
          <cell r="L35">
            <v>0</v>
          </cell>
        </row>
        <row r="36">
          <cell r="C36">
            <v>0</v>
          </cell>
          <cell r="L36">
            <v>0</v>
          </cell>
        </row>
        <row r="37">
          <cell r="C37">
            <v>0</v>
          </cell>
          <cell r="L37">
            <v>0</v>
          </cell>
        </row>
        <row r="38">
          <cell r="C38">
            <v>0</v>
          </cell>
          <cell r="L38">
            <v>0</v>
          </cell>
        </row>
      </sheetData>
      <sheetData sheetId="25"/>
      <sheetData sheetId="26">
        <row r="8">
          <cell r="C8">
            <v>0</v>
          </cell>
          <cell r="L8">
            <v>0</v>
          </cell>
        </row>
        <row r="9">
          <cell r="C9">
            <v>0</v>
          </cell>
          <cell r="L9">
            <v>0</v>
          </cell>
        </row>
        <row r="10">
          <cell r="C10">
            <v>0</v>
          </cell>
          <cell r="L10">
            <v>0</v>
          </cell>
        </row>
        <row r="11">
          <cell r="C11">
            <v>0</v>
          </cell>
          <cell r="L11">
            <v>0</v>
          </cell>
        </row>
        <row r="12">
          <cell r="C12">
            <v>0</v>
          </cell>
          <cell r="L12">
            <v>0</v>
          </cell>
        </row>
        <row r="13">
          <cell r="C13">
            <v>0</v>
          </cell>
          <cell r="L13">
            <v>0</v>
          </cell>
        </row>
        <row r="14">
          <cell r="C14">
            <v>0</v>
          </cell>
          <cell r="L14">
            <v>0</v>
          </cell>
        </row>
        <row r="15">
          <cell r="C15">
            <v>0</v>
          </cell>
          <cell r="L15">
            <v>0</v>
          </cell>
        </row>
        <row r="16">
          <cell r="C16">
            <v>0</v>
          </cell>
          <cell r="L16">
            <v>0</v>
          </cell>
        </row>
        <row r="17">
          <cell r="C17">
            <v>0</v>
          </cell>
          <cell r="L17">
            <v>0</v>
          </cell>
        </row>
        <row r="18">
          <cell r="C18">
            <v>0</v>
          </cell>
          <cell r="L18">
            <v>0</v>
          </cell>
        </row>
        <row r="19">
          <cell r="C19">
            <v>0</v>
          </cell>
          <cell r="L19">
            <v>0</v>
          </cell>
        </row>
        <row r="20">
          <cell r="C20">
            <v>0</v>
          </cell>
          <cell r="L20">
            <v>0</v>
          </cell>
        </row>
        <row r="21">
          <cell r="C21">
            <v>0</v>
          </cell>
          <cell r="L21">
            <v>0</v>
          </cell>
        </row>
        <row r="22">
          <cell r="C22">
            <v>0</v>
          </cell>
          <cell r="L22">
            <v>0</v>
          </cell>
        </row>
        <row r="23">
          <cell r="C23">
            <v>0</v>
          </cell>
          <cell r="L23">
            <v>0</v>
          </cell>
        </row>
        <row r="24">
          <cell r="C24">
            <v>0</v>
          </cell>
          <cell r="L24">
            <v>0</v>
          </cell>
        </row>
        <row r="25">
          <cell r="C25">
            <v>0</v>
          </cell>
          <cell r="L25">
            <v>0</v>
          </cell>
        </row>
        <row r="26">
          <cell r="C26">
            <v>0</v>
          </cell>
          <cell r="L26">
            <v>0</v>
          </cell>
        </row>
        <row r="27">
          <cell r="C27">
            <v>0</v>
          </cell>
          <cell r="L27">
            <v>0</v>
          </cell>
        </row>
        <row r="28">
          <cell r="C28">
            <v>0</v>
          </cell>
          <cell r="L28">
            <v>0</v>
          </cell>
        </row>
        <row r="29">
          <cell r="C29">
            <v>0</v>
          </cell>
          <cell r="L29">
            <v>0</v>
          </cell>
        </row>
        <row r="30">
          <cell r="C30">
            <v>0</v>
          </cell>
          <cell r="L30">
            <v>0</v>
          </cell>
        </row>
        <row r="31">
          <cell r="C31">
            <v>0</v>
          </cell>
          <cell r="L31">
            <v>0</v>
          </cell>
        </row>
        <row r="32">
          <cell r="C32">
            <v>0</v>
          </cell>
          <cell r="L32">
            <v>0</v>
          </cell>
        </row>
        <row r="33">
          <cell r="C33">
            <v>0</v>
          </cell>
          <cell r="L33">
            <v>0</v>
          </cell>
        </row>
        <row r="34">
          <cell r="C34">
            <v>0</v>
          </cell>
          <cell r="L34">
            <v>0</v>
          </cell>
        </row>
        <row r="35">
          <cell r="C35">
            <v>0</v>
          </cell>
          <cell r="L35">
            <v>0</v>
          </cell>
        </row>
        <row r="36">
          <cell r="C36">
            <v>0</v>
          </cell>
          <cell r="L36">
            <v>0</v>
          </cell>
        </row>
        <row r="37">
          <cell r="C37">
            <v>0</v>
          </cell>
          <cell r="L37">
            <v>0</v>
          </cell>
        </row>
        <row r="38">
          <cell r="C38">
            <v>0</v>
          </cell>
          <cell r="L38">
            <v>0</v>
          </cell>
        </row>
      </sheetData>
      <sheetData sheetId="27"/>
      <sheetData sheetId="28">
        <row r="8">
          <cell r="C8">
            <v>0</v>
          </cell>
          <cell r="L8">
            <v>0</v>
          </cell>
        </row>
        <row r="9">
          <cell r="C9">
            <v>0</v>
          </cell>
          <cell r="L9">
            <v>0</v>
          </cell>
        </row>
        <row r="10">
          <cell r="C10">
            <v>0</v>
          </cell>
          <cell r="L10">
            <v>0</v>
          </cell>
        </row>
        <row r="11">
          <cell r="C11">
            <v>0</v>
          </cell>
          <cell r="L11">
            <v>0</v>
          </cell>
        </row>
        <row r="12">
          <cell r="C12">
            <v>0</v>
          </cell>
          <cell r="L12">
            <v>0</v>
          </cell>
        </row>
        <row r="13">
          <cell r="C13">
            <v>0</v>
          </cell>
          <cell r="L13">
            <v>0</v>
          </cell>
        </row>
        <row r="14">
          <cell r="C14">
            <v>0</v>
          </cell>
          <cell r="L14">
            <v>0</v>
          </cell>
        </row>
        <row r="15">
          <cell r="C15">
            <v>0</v>
          </cell>
          <cell r="L15">
            <v>0</v>
          </cell>
        </row>
        <row r="16">
          <cell r="C16">
            <v>0</v>
          </cell>
          <cell r="L16">
            <v>0</v>
          </cell>
        </row>
        <row r="17">
          <cell r="C17">
            <v>0</v>
          </cell>
          <cell r="L17">
            <v>0</v>
          </cell>
        </row>
        <row r="18">
          <cell r="C18">
            <v>0</v>
          </cell>
          <cell r="L18">
            <v>0</v>
          </cell>
        </row>
        <row r="19">
          <cell r="C19">
            <v>0</v>
          </cell>
          <cell r="L19">
            <v>0</v>
          </cell>
        </row>
        <row r="20">
          <cell r="C20">
            <v>0</v>
          </cell>
          <cell r="L20">
            <v>0</v>
          </cell>
        </row>
        <row r="21">
          <cell r="C21">
            <v>0</v>
          </cell>
          <cell r="L21">
            <v>0</v>
          </cell>
        </row>
        <row r="22">
          <cell r="C22">
            <v>0</v>
          </cell>
          <cell r="L22">
            <v>0</v>
          </cell>
        </row>
        <row r="23">
          <cell r="C23">
            <v>0</v>
          </cell>
          <cell r="L23">
            <v>0</v>
          </cell>
        </row>
        <row r="24">
          <cell r="C24">
            <v>0</v>
          </cell>
          <cell r="L24">
            <v>0</v>
          </cell>
        </row>
        <row r="25">
          <cell r="C25">
            <v>0</v>
          </cell>
          <cell r="L25">
            <v>0</v>
          </cell>
        </row>
        <row r="26">
          <cell r="C26">
            <v>0</v>
          </cell>
          <cell r="L26">
            <v>0</v>
          </cell>
        </row>
        <row r="27">
          <cell r="C27">
            <v>0</v>
          </cell>
          <cell r="L27">
            <v>0</v>
          </cell>
        </row>
        <row r="28">
          <cell r="C28">
            <v>0</v>
          </cell>
          <cell r="L28">
            <v>0</v>
          </cell>
        </row>
        <row r="29">
          <cell r="C29">
            <v>0</v>
          </cell>
          <cell r="L29">
            <v>0</v>
          </cell>
        </row>
        <row r="30">
          <cell r="C30">
            <v>0</v>
          </cell>
          <cell r="L30">
            <v>0</v>
          </cell>
        </row>
        <row r="31">
          <cell r="C31">
            <v>0</v>
          </cell>
          <cell r="L31">
            <v>0</v>
          </cell>
        </row>
        <row r="32">
          <cell r="C32">
            <v>0</v>
          </cell>
          <cell r="L32">
            <v>0</v>
          </cell>
        </row>
        <row r="33">
          <cell r="C33">
            <v>0</v>
          </cell>
          <cell r="L33">
            <v>0</v>
          </cell>
        </row>
        <row r="34">
          <cell r="C34">
            <v>0</v>
          </cell>
          <cell r="L34">
            <v>0</v>
          </cell>
        </row>
        <row r="35">
          <cell r="C35">
            <v>0</v>
          </cell>
          <cell r="L35">
            <v>0</v>
          </cell>
        </row>
        <row r="36">
          <cell r="C36">
            <v>0</v>
          </cell>
          <cell r="L36">
            <v>0</v>
          </cell>
        </row>
        <row r="37">
          <cell r="C37">
            <v>0</v>
          </cell>
          <cell r="L37">
            <v>0</v>
          </cell>
        </row>
        <row r="38">
          <cell r="C38">
            <v>0</v>
          </cell>
          <cell r="L38">
            <v>0</v>
          </cell>
        </row>
      </sheetData>
      <sheetData sheetId="29"/>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Letter-1572"/>
      <sheetName val="Jan"/>
      <sheetName val="Feb"/>
      <sheetName val="Mar"/>
      <sheetName val="1st Qtr Report"/>
      <sheetName val="Apr"/>
      <sheetName val="May"/>
      <sheetName val="Jun"/>
      <sheetName val="2nd Qtr Report"/>
      <sheetName val="Jul"/>
      <sheetName val="Aug"/>
      <sheetName val="Sep"/>
      <sheetName val="3rd Qtr Report"/>
      <sheetName val="Oct"/>
      <sheetName val="Nov"/>
      <sheetName val="Dec"/>
      <sheetName val="4th Qtr Report"/>
    </sheetNames>
    <sheetDataSet>
      <sheetData sheetId="0"/>
      <sheetData sheetId="1">
        <row r="8">
          <cell r="C8">
            <v>5.7919999999999998</v>
          </cell>
        </row>
        <row r="9">
          <cell r="C9">
            <v>5.6269999999999998</v>
          </cell>
        </row>
        <row r="10">
          <cell r="C10">
            <v>5.907</v>
          </cell>
        </row>
        <row r="11">
          <cell r="C11">
            <v>5.6269999999999998</v>
          </cell>
        </row>
        <row r="12">
          <cell r="C12">
            <v>5.78</v>
          </cell>
        </row>
        <row r="13">
          <cell r="C13">
            <v>5.6219999999999999</v>
          </cell>
        </row>
        <row r="14">
          <cell r="C14">
            <v>5.7869999999999999</v>
          </cell>
        </row>
        <row r="15">
          <cell r="C15">
            <v>5.6289999999999996</v>
          </cell>
        </row>
        <row r="16">
          <cell r="C16">
            <v>5.8860000000000001</v>
          </cell>
        </row>
        <row r="17">
          <cell r="C17">
            <v>5.7039999999999997</v>
          </cell>
        </row>
        <row r="18">
          <cell r="C18">
            <v>5.7949999999999999</v>
          </cell>
        </row>
        <row r="19">
          <cell r="C19">
            <v>5.6210000000000004</v>
          </cell>
        </row>
        <row r="20">
          <cell r="C20">
            <v>5.6239999999999997</v>
          </cell>
        </row>
        <row r="21">
          <cell r="C21">
            <v>5.5049999999999999</v>
          </cell>
        </row>
        <row r="22">
          <cell r="C22">
            <v>5.7359999999999998</v>
          </cell>
        </row>
        <row r="23">
          <cell r="C23">
            <v>5.6150000000000002</v>
          </cell>
        </row>
        <row r="24">
          <cell r="C24">
            <v>5.65</v>
          </cell>
        </row>
        <row r="25">
          <cell r="C25">
            <v>5.28</v>
          </cell>
        </row>
        <row r="26">
          <cell r="C26">
            <v>5.758</v>
          </cell>
        </row>
        <row r="27">
          <cell r="C27">
            <v>5.4459999999999997</v>
          </cell>
        </row>
        <row r="28">
          <cell r="C28">
            <v>5.5209999999999999</v>
          </cell>
        </row>
        <row r="29">
          <cell r="C29">
            <v>5.2560000000000002</v>
          </cell>
        </row>
        <row r="30">
          <cell r="C30">
            <v>5.8220000000000001</v>
          </cell>
        </row>
        <row r="31">
          <cell r="C31">
            <v>5.7590000000000003</v>
          </cell>
        </row>
        <row r="32">
          <cell r="C32">
            <v>5.718</v>
          </cell>
        </row>
        <row r="33">
          <cell r="C33">
            <v>5.5659999999999998</v>
          </cell>
        </row>
        <row r="34">
          <cell r="C34">
            <v>5.6260000000000003</v>
          </cell>
        </row>
        <row r="35">
          <cell r="C35">
            <v>5.1740000000000004</v>
          </cell>
        </row>
        <row r="36">
          <cell r="C36">
            <v>5.806</v>
          </cell>
        </row>
        <row r="37">
          <cell r="C37">
            <v>5.6150000000000002</v>
          </cell>
        </row>
        <row r="38">
          <cell r="C38">
            <v>5.718</v>
          </cell>
        </row>
      </sheetData>
      <sheetData sheetId="2">
        <row r="8">
          <cell r="C8">
            <v>5.7050000000000001</v>
          </cell>
        </row>
        <row r="9">
          <cell r="C9">
            <v>5.6219999999999999</v>
          </cell>
        </row>
        <row r="10">
          <cell r="C10">
            <v>5.8140000000000001</v>
          </cell>
        </row>
        <row r="11">
          <cell r="C11">
            <v>5.6070000000000002</v>
          </cell>
        </row>
        <row r="12">
          <cell r="C12">
            <v>5.5650000000000004</v>
          </cell>
        </row>
        <row r="13">
          <cell r="C13">
            <v>5.8380000000000001</v>
          </cell>
        </row>
        <row r="14">
          <cell r="C14">
            <v>5.8239999999999998</v>
          </cell>
        </row>
        <row r="15">
          <cell r="C15">
            <v>5.7080000000000002</v>
          </cell>
        </row>
        <row r="16">
          <cell r="C16">
            <v>5.6150000000000002</v>
          </cell>
        </row>
        <row r="17">
          <cell r="C17">
            <v>5.8120000000000003</v>
          </cell>
        </row>
        <row r="18">
          <cell r="C18">
            <v>5.6139999999999999</v>
          </cell>
        </row>
        <row r="19">
          <cell r="C19">
            <v>5.4589999999999996</v>
          </cell>
        </row>
        <row r="20">
          <cell r="C20">
            <v>5.6630000000000003</v>
          </cell>
        </row>
        <row r="21">
          <cell r="C21">
            <v>5.9219999999999997</v>
          </cell>
        </row>
        <row r="22">
          <cell r="C22">
            <v>5.54</v>
          </cell>
        </row>
        <row r="23">
          <cell r="C23">
            <v>5.7130000000000001</v>
          </cell>
        </row>
        <row r="24">
          <cell r="C24">
            <v>5.6079999999999997</v>
          </cell>
        </row>
        <row r="25">
          <cell r="C25">
            <v>5.6120000000000001</v>
          </cell>
        </row>
        <row r="26">
          <cell r="C26">
            <v>5.74</v>
          </cell>
        </row>
        <row r="27">
          <cell r="C27">
            <v>7.9740000000000002</v>
          </cell>
        </row>
        <row r="28">
          <cell r="C28">
            <v>7.2359999999999998</v>
          </cell>
        </row>
        <row r="29">
          <cell r="C29">
            <v>5.8109999999999999</v>
          </cell>
        </row>
        <row r="30">
          <cell r="C30">
            <v>5.907</v>
          </cell>
        </row>
        <row r="31">
          <cell r="C31">
            <v>5.8460000000000001</v>
          </cell>
        </row>
        <row r="32">
          <cell r="C32">
            <v>5.7089999999999996</v>
          </cell>
        </row>
        <row r="33">
          <cell r="C33">
            <v>5.7119999999999997</v>
          </cell>
        </row>
        <row r="34">
          <cell r="C34">
            <v>5.7080000000000002</v>
          </cell>
        </row>
        <row r="35">
          <cell r="C35">
            <v>5.6749999999999998</v>
          </cell>
        </row>
        <row r="36">
          <cell r="C36">
            <v>5.5659999999999998</v>
          </cell>
        </row>
        <row r="37">
          <cell r="C37">
            <v>0</v>
          </cell>
        </row>
        <row r="38">
          <cell r="C38">
            <v>0</v>
          </cell>
        </row>
      </sheetData>
      <sheetData sheetId="3">
        <row r="8">
          <cell r="C8">
            <v>5.718</v>
          </cell>
        </row>
        <row r="9">
          <cell r="C9">
            <v>4.9189999999999996</v>
          </cell>
        </row>
        <row r="10">
          <cell r="C10">
            <v>5.9329999999999998</v>
          </cell>
        </row>
        <row r="11">
          <cell r="C11">
            <v>5.8710000000000004</v>
          </cell>
        </row>
        <row r="12">
          <cell r="C12">
            <v>5.3780000000000001</v>
          </cell>
        </row>
        <row r="13">
          <cell r="C13">
            <v>5.7089999999999996</v>
          </cell>
        </row>
        <row r="14">
          <cell r="C14">
            <v>5.798</v>
          </cell>
        </row>
        <row r="15">
          <cell r="C15">
            <v>5.8650000000000002</v>
          </cell>
        </row>
        <row r="16">
          <cell r="C16">
            <v>5.7960000000000003</v>
          </cell>
        </row>
        <row r="17">
          <cell r="C17">
            <v>5.7969999999999997</v>
          </cell>
        </row>
        <row r="18">
          <cell r="C18">
            <v>5.4470000000000001</v>
          </cell>
        </row>
        <row r="19">
          <cell r="C19">
            <v>5.9969999999999999</v>
          </cell>
        </row>
        <row r="20">
          <cell r="C20">
            <v>5.83</v>
          </cell>
        </row>
        <row r="21">
          <cell r="C21">
            <v>5.7880000000000003</v>
          </cell>
        </row>
        <row r="22">
          <cell r="C22">
            <v>6.1970000000000001</v>
          </cell>
        </row>
        <row r="23">
          <cell r="C23">
            <v>5.0419999999999998</v>
          </cell>
        </row>
        <row r="24">
          <cell r="C24">
            <v>5.8959999999999999</v>
          </cell>
        </row>
        <row r="25">
          <cell r="C25">
            <v>5.7549999999999999</v>
          </cell>
        </row>
        <row r="26">
          <cell r="C26">
            <v>5.819</v>
          </cell>
        </row>
        <row r="27">
          <cell r="C27">
            <v>5.734</v>
          </cell>
        </row>
        <row r="28">
          <cell r="C28">
            <v>5.95</v>
          </cell>
        </row>
        <row r="29">
          <cell r="C29">
            <v>5.782</v>
          </cell>
        </row>
        <row r="30">
          <cell r="C30">
            <v>5.9340000000000002</v>
          </cell>
        </row>
        <row r="31">
          <cell r="C31">
            <v>6.0679999999999996</v>
          </cell>
        </row>
        <row r="32">
          <cell r="C32">
            <v>6.524</v>
          </cell>
        </row>
        <row r="33">
          <cell r="C33">
            <v>6.5780000000000003</v>
          </cell>
        </row>
        <row r="34">
          <cell r="C34">
            <v>6.8470000000000004</v>
          </cell>
        </row>
        <row r="35">
          <cell r="C35">
            <v>6.53</v>
          </cell>
        </row>
        <row r="36">
          <cell r="C36">
            <v>6.62</v>
          </cell>
        </row>
        <row r="37">
          <cell r="C37">
            <v>6.617</v>
          </cell>
        </row>
        <row r="38">
          <cell r="C38">
            <v>6.6440000000000001</v>
          </cell>
        </row>
      </sheetData>
      <sheetData sheetId="4"/>
      <sheetData sheetId="5">
        <row r="8">
          <cell r="C8">
            <v>6.5090000000000003</v>
          </cell>
        </row>
        <row r="9">
          <cell r="C9">
            <v>6.7439999999999998</v>
          </cell>
        </row>
        <row r="10">
          <cell r="C10">
            <v>6.5750000000000002</v>
          </cell>
        </row>
        <row r="11">
          <cell r="C11">
            <v>6.7130000000000001</v>
          </cell>
        </row>
        <row r="12">
          <cell r="C12">
            <v>6.476</v>
          </cell>
        </row>
        <row r="13">
          <cell r="C13">
            <v>6.766</v>
          </cell>
        </row>
        <row r="14">
          <cell r="C14">
            <v>6.54</v>
          </cell>
        </row>
        <row r="15">
          <cell r="C15">
            <v>6.7350000000000003</v>
          </cell>
        </row>
        <row r="16">
          <cell r="C16">
            <v>6.7309999999999999</v>
          </cell>
        </row>
        <row r="17">
          <cell r="C17">
            <v>6.7430000000000003</v>
          </cell>
        </row>
        <row r="18">
          <cell r="C18">
            <v>6.641</v>
          </cell>
        </row>
        <row r="19">
          <cell r="C19">
            <v>6.5659999999999998</v>
          </cell>
        </row>
        <row r="20">
          <cell r="C20">
            <v>6.0250000000000004</v>
          </cell>
        </row>
        <row r="21">
          <cell r="C21">
            <v>6.2309999999999999</v>
          </cell>
        </row>
        <row r="22">
          <cell r="C22">
            <v>6.6420000000000003</v>
          </cell>
        </row>
        <row r="23">
          <cell r="C23">
            <v>5.6210000000000004</v>
          </cell>
        </row>
        <row r="24">
          <cell r="C24">
            <v>6.548</v>
          </cell>
        </row>
        <row r="25">
          <cell r="C25">
            <v>6.5170000000000003</v>
          </cell>
        </row>
        <row r="26">
          <cell r="C26">
            <v>6.5990000000000002</v>
          </cell>
        </row>
        <row r="27">
          <cell r="C27">
            <v>7.125</v>
          </cell>
        </row>
        <row r="28">
          <cell r="C28">
            <v>4.1719999999999997</v>
          </cell>
        </row>
        <row r="29">
          <cell r="C29">
            <v>6.3959999999999999</v>
          </cell>
        </row>
        <row r="30">
          <cell r="C30">
            <v>5.875</v>
          </cell>
        </row>
        <row r="31">
          <cell r="C31">
            <v>6.7439999999999998</v>
          </cell>
        </row>
        <row r="32">
          <cell r="C32">
            <v>6.4980000000000002</v>
          </cell>
        </row>
        <row r="33">
          <cell r="C33">
            <v>6.5049999999999999</v>
          </cell>
        </row>
        <row r="34">
          <cell r="C34">
            <v>6.6660000000000004</v>
          </cell>
        </row>
        <row r="35">
          <cell r="C35">
            <v>6.6689999999999996</v>
          </cell>
        </row>
        <row r="36">
          <cell r="C36">
            <v>6.3860000000000001</v>
          </cell>
        </row>
        <row r="37">
          <cell r="C37">
            <v>6.4960000000000004</v>
          </cell>
        </row>
        <row r="38">
          <cell r="C38">
            <v>0</v>
          </cell>
        </row>
      </sheetData>
      <sheetData sheetId="6">
        <row r="8">
          <cell r="C8">
            <v>6.5830000000000002</v>
          </cell>
        </row>
        <row r="9">
          <cell r="C9">
            <v>7.0279999999999996</v>
          </cell>
        </row>
        <row r="10">
          <cell r="C10">
            <v>7.157</v>
          </cell>
        </row>
        <row r="11">
          <cell r="C11">
            <v>7.1630000000000003</v>
          </cell>
        </row>
        <row r="12">
          <cell r="C12">
            <v>7.2809999999999997</v>
          </cell>
        </row>
        <row r="13">
          <cell r="C13">
            <v>7.2569999999999997</v>
          </cell>
        </row>
        <row r="14">
          <cell r="C14">
            <v>7.319</v>
          </cell>
        </row>
        <row r="15">
          <cell r="C15">
            <v>7.1459999999999999</v>
          </cell>
        </row>
        <row r="16">
          <cell r="C16">
            <v>7.3140000000000001</v>
          </cell>
        </row>
        <row r="17">
          <cell r="C17">
            <v>7.3179999999999996</v>
          </cell>
        </row>
        <row r="18">
          <cell r="C18">
            <v>7.1989999999999998</v>
          </cell>
        </row>
        <row r="19">
          <cell r="C19">
            <v>7.1390000000000002</v>
          </cell>
        </row>
        <row r="20">
          <cell r="C20">
            <v>6.7720000000000002</v>
          </cell>
        </row>
        <row r="21">
          <cell r="C21">
            <v>4.9859999999999998</v>
          </cell>
        </row>
        <row r="22">
          <cell r="C22">
            <v>5.3920000000000003</v>
          </cell>
        </row>
        <row r="23">
          <cell r="C23">
            <v>5.21</v>
          </cell>
        </row>
        <row r="24">
          <cell r="C24">
            <v>5.1390000000000002</v>
          </cell>
        </row>
        <row r="25">
          <cell r="C25">
            <v>5.3170000000000002</v>
          </cell>
        </row>
        <row r="26">
          <cell r="C26">
            <v>5.343</v>
          </cell>
        </row>
        <row r="27">
          <cell r="C27">
            <v>5.1420000000000003</v>
          </cell>
        </row>
        <row r="28">
          <cell r="C28">
            <v>5.8719999999999999</v>
          </cell>
        </row>
        <row r="29">
          <cell r="C29">
            <v>7.2919999999999998</v>
          </cell>
        </row>
        <row r="30">
          <cell r="C30">
            <v>7.9320000000000004</v>
          </cell>
        </row>
        <row r="31">
          <cell r="C31">
            <v>8.5980000000000008</v>
          </cell>
        </row>
        <row r="32">
          <cell r="C32">
            <v>8.5980000000000008</v>
          </cell>
        </row>
        <row r="33">
          <cell r="C33">
            <v>8.5980000000000008</v>
          </cell>
        </row>
        <row r="34">
          <cell r="C34">
            <v>8.5649999999999995</v>
          </cell>
        </row>
        <row r="35">
          <cell r="C35">
            <v>8.6059999999999999</v>
          </cell>
        </row>
        <row r="36">
          <cell r="C36">
            <v>8.77</v>
          </cell>
        </row>
        <row r="37">
          <cell r="C37">
            <v>0</v>
          </cell>
        </row>
        <row r="38">
          <cell r="C38">
            <v>0</v>
          </cell>
        </row>
      </sheetData>
      <sheetData sheetId="7">
        <row r="8">
          <cell r="C8">
            <v>0</v>
          </cell>
        </row>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sheetData>
      <sheetData sheetId="8"/>
      <sheetData sheetId="9">
        <row r="8">
          <cell r="C8">
            <v>0</v>
          </cell>
        </row>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sheetData>
      <sheetData sheetId="10">
        <row r="8">
          <cell r="C8">
            <v>0</v>
          </cell>
        </row>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sheetData>
      <sheetData sheetId="11">
        <row r="8">
          <cell r="C8">
            <v>0</v>
          </cell>
        </row>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sheetData>
      <sheetData sheetId="12"/>
      <sheetData sheetId="13">
        <row r="8">
          <cell r="C8">
            <v>0</v>
          </cell>
        </row>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sheetData>
      <sheetData sheetId="14">
        <row r="8">
          <cell r="C8">
            <v>0</v>
          </cell>
        </row>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sheetData>
      <sheetData sheetId="15">
        <row r="8">
          <cell r="C8">
            <v>0</v>
          </cell>
        </row>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sheetData>
      <sheetData sheetId="1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ummary"/>
      <sheetName val="Lex WTPs 2007-2010"/>
      <sheetName val="KRS II WTP 2010-2011"/>
      <sheetName val="ND WTP 2011"/>
      <sheetName val="ND WWTP 2012-2016"/>
      <sheetName val="RWV 2012-2016"/>
      <sheetName val="Supply Chain Assumptions"/>
      <sheetName val="Price Changes"/>
      <sheetName val="Chemical Assumptions"/>
      <sheetName val="2012-2016 System Delivery"/>
      <sheetName val="Pumpage 2012"/>
      <sheetName val="Pumpage 2013"/>
      <sheetName val="Pumpage 2014"/>
      <sheetName val="Pumpage 2015"/>
      <sheetName val="Pumpage 2016"/>
      <sheetName val="Chem F12"/>
      <sheetName val="Chem F13"/>
      <sheetName val="Chem F14"/>
      <sheetName val="Chem F15"/>
      <sheetName val="Chem F16"/>
    </sheetNames>
    <sheetDataSet>
      <sheetData sheetId="0"/>
      <sheetData sheetId="1"/>
      <sheetData sheetId="2"/>
      <sheetData sheetId="3"/>
      <sheetData sheetId="4"/>
      <sheetData sheetId="5"/>
      <sheetData sheetId="6"/>
      <sheetData sheetId="7"/>
      <sheetData sheetId="8"/>
      <sheetData sheetId="9"/>
      <sheetData sheetId="10">
        <row r="16">
          <cell r="F16">
            <v>13692.683999337938</v>
          </cell>
        </row>
      </sheetData>
      <sheetData sheetId="11">
        <row r="16">
          <cell r="F16">
            <v>13457.494191019528</v>
          </cell>
        </row>
      </sheetData>
      <sheetData sheetId="12">
        <row r="16">
          <cell r="F16">
            <v>13259.227258929859</v>
          </cell>
        </row>
      </sheetData>
      <sheetData sheetId="13"/>
      <sheetData sheetId="14"/>
      <sheetData sheetId="15">
        <row r="499">
          <cell r="O499">
            <v>1912349.269215818</v>
          </cell>
        </row>
      </sheetData>
      <sheetData sheetId="16">
        <row r="499">
          <cell r="O499">
            <v>1898510.0297240396</v>
          </cell>
        </row>
      </sheetData>
      <sheetData sheetId="17">
        <row r="499">
          <cell r="O499">
            <v>1911894.963760705</v>
          </cell>
        </row>
      </sheetData>
      <sheetData sheetId="18"/>
      <sheetData sheetId="19"/>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ummary"/>
      <sheetName val="FY11 Plan Sys Del  11.7%"/>
      <sheetName val="In Plant Usage"/>
      <sheetName val="2011"/>
      <sheetName val="2012"/>
      <sheetName val="2013"/>
      <sheetName val="F&amp;P Rate Case Assumptions"/>
      <sheetName val="F&amp;P 2011"/>
      <sheetName val="F&amp;P 2012"/>
      <sheetName val="F&amp;P 2013"/>
      <sheetName val="F&amp;P Rates"/>
    </sheetNames>
    <sheetDataSet>
      <sheetData sheetId="0"/>
      <sheetData sheetId="1"/>
      <sheetData sheetId="2" refreshError="1">
        <row r="39">
          <cell r="C39">
            <v>1.029128539280818</v>
          </cell>
          <cell r="E39">
            <v>1.0436768560044534</v>
          </cell>
          <cell r="G39">
            <v>1.077188200641843</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ummary"/>
      <sheetName val="Lex WTPs 2007-2010"/>
      <sheetName val="2011 Actual Costs"/>
      <sheetName val="2012 Actual Costs"/>
      <sheetName val="ND WWTP 2012-2016"/>
      <sheetName val="RWV 2012-2016"/>
      <sheetName val="Supply Chain Assumptions"/>
      <sheetName val="Price Changes"/>
      <sheetName val="Chemical Assumptions"/>
      <sheetName val="SD 2.1 pass"/>
      <sheetName val="2014 SD Allocation"/>
      <sheetName val="Pumpage 2013"/>
      <sheetName val="Pumpage 2014"/>
      <sheetName val="Chem F13"/>
      <sheetName val="Chem F14"/>
    </sheetNames>
    <sheetDataSet>
      <sheetData sheetId="0">
        <row r="5">
          <cell r="C5">
            <v>13962.867971095258</v>
          </cell>
          <cell r="D5">
            <v>13846.156374703696</v>
          </cell>
        </row>
        <row r="10">
          <cell r="C10">
            <v>1847838.7965347837</v>
          </cell>
          <cell r="D10">
            <v>1763015.1704584709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
    </sheetNames>
    <sheetDataSet>
      <sheetData sheetId="0">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row>
        <row r="15">
          <cell r="C15">
            <v>123885.3</v>
          </cell>
          <cell r="D15">
            <v>152067</v>
          </cell>
          <cell r="E15">
            <v>16724.515500000001</v>
          </cell>
          <cell r="F15">
            <v>21091.69</v>
          </cell>
          <cell r="G15">
            <v>471.46710485521174</v>
          </cell>
          <cell r="H15">
            <v>95911</v>
          </cell>
          <cell r="I15">
            <v>115032</v>
          </cell>
          <cell r="J15">
            <v>12948</v>
          </cell>
          <cell r="K15">
            <v>15908.93</v>
          </cell>
          <cell r="L15">
            <v>405.64214683687146</v>
          </cell>
          <cell r="M15">
            <v>115036</v>
          </cell>
          <cell r="N15">
            <v>188466</v>
          </cell>
          <cell r="O15">
            <v>15530</v>
          </cell>
          <cell r="P15">
            <v>26027.15</v>
          </cell>
          <cell r="Q15">
            <v>493.5732243871779</v>
          </cell>
          <cell r="R15">
            <v>99337</v>
          </cell>
          <cell r="S15">
            <v>161690</v>
          </cell>
          <cell r="T15">
            <v>13410</v>
          </cell>
          <cell r="U15">
            <v>22329.39</v>
          </cell>
          <cell r="V15">
            <v>443.52095676980468</v>
          </cell>
          <cell r="W15">
            <v>102648</v>
          </cell>
          <cell r="X15">
            <v>116109</v>
          </cell>
          <cell r="Y15">
            <v>13857</v>
          </cell>
          <cell r="Z15">
            <v>16034.65</v>
          </cell>
          <cell r="AA15">
            <v>301.44088478114128</v>
          </cell>
          <cell r="AB15">
            <v>111326</v>
          </cell>
          <cell r="AC15">
            <v>126821</v>
          </cell>
          <cell r="AD15">
            <v>15029</v>
          </cell>
          <cell r="AE15">
            <v>17513.98</v>
          </cell>
          <cell r="AF15">
            <v>317.56059695512818</v>
          </cell>
          <cell r="AG15">
            <v>205939</v>
          </cell>
          <cell r="AH15">
            <v>142137</v>
          </cell>
          <cell r="AI15">
            <v>27802</v>
          </cell>
          <cell r="AJ15">
            <v>19614.91</v>
          </cell>
          <cell r="AK15">
            <v>346.81095061487412</v>
          </cell>
          <cell r="AL15">
            <v>193068</v>
          </cell>
          <cell r="AM15">
            <v>161414</v>
          </cell>
          <cell r="AN15">
            <v>26064</v>
          </cell>
          <cell r="AO15">
            <v>22275.13</v>
          </cell>
          <cell r="AP15">
            <v>367.75266563382849</v>
          </cell>
          <cell r="AQ15">
            <v>153520</v>
          </cell>
          <cell r="AR15">
            <v>142419</v>
          </cell>
          <cell r="AS15">
            <v>20725</v>
          </cell>
          <cell r="AT15">
            <v>19653.82</v>
          </cell>
          <cell r="AU15">
            <v>366.49253731343282</v>
          </cell>
          <cell r="AV15">
            <v>135148</v>
          </cell>
          <cell r="AW15">
            <v>95004</v>
          </cell>
          <cell r="AX15">
            <v>18245</v>
          </cell>
          <cell r="AY15">
            <v>13110.55</v>
          </cell>
          <cell r="AZ15">
            <v>249.94475138121547</v>
          </cell>
          <cell r="BA15">
            <v>119889</v>
          </cell>
          <cell r="BB15">
            <v>115479</v>
          </cell>
          <cell r="BC15">
            <v>16185</v>
          </cell>
          <cell r="BD15">
            <v>15936.1</v>
          </cell>
          <cell r="BE15">
            <v>321.87473869052599</v>
          </cell>
          <cell r="BF15">
            <v>106187</v>
          </cell>
          <cell r="BG15">
            <v>210109</v>
          </cell>
          <cell r="BH15">
            <v>14335</v>
          </cell>
          <cell r="BI15">
            <v>28995.040000000001</v>
          </cell>
          <cell r="BJ15">
            <v>587.20829490511721</v>
          </cell>
          <cell r="BK15">
            <v>1561894.3</v>
          </cell>
          <cell r="BL15">
            <v>1726747</v>
          </cell>
          <cell r="BM15">
            <v>210854.51550000001</v>
          </cell>
          <cell r="BN15">
            <v>238491.34</v>
          </cell>
          <cell r="BO15">
            <v>578.31583953486813</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row>
        <row r="17">
          <cell r="C17">
            <v>19467.689999999999</v>
          </cell>
          <cell r="D17">
            <v>20520</v>
          </cell>
          <cell r="E17">
            <v>4477.5687000000007</v>
          </cell>
          <cell r="F17">
            <v>4805.78</v>
          </cell>
          <cell r="G17">
            <v>63.620016122031373</v>
          </cell>
          <cell r="H17">
            <v>15985</v>
          </cell>
          <cell r="I17">
            <v>18420</v>
          </cell>
          <cell r="J17">
            <v>3677</v>
          </cell>
          <cell r="K17">
            <v>4271.6000000000004</v>
          </cell>
          <cell r="L17">
            <v>64.955215459482332</v>
          </cell>
          <cell r="M17">
            <v>17698</v>
          </cell>
          <cell r="N17">
            <v>23795</v>
          </cell>
          <cell r="O17">
            <v>4071</v>
          </cell>
          <cell r="P17">
            <v>5491.89</v>
          </cell>
          <cell r="Q17">
            <v>62.316677142258541</v>
          </cell>
          <cell r="R17">
            <v>18840</v>
          </cell>
          <cell r="S17">
            <v>28805</v>
          </cell>
          <cell r="T17">
            <v>4333</v>
          </cell>
          <cell r="U17">
            <v>6630.91</v>
          </cell>
          <cell r="V17">
            <v>79.013056835637485</v>
          </cell>
          <cell r="W17">
            <v>19468</v>
          </cell>
          <cell r="X17">
            <v>27970</v>
          </cell>
          <cell r="Y17">
            <v>4478</v>
          </cell>
          <cell r="Z17">
            <v>6435.9</v>
          </cell>
          <cell r="AA17">
            <v>72.615400591931049</v>
          </cell>
          <cell r="AB17">
            <v>20552</v>
          </cell>
          <cell r="AC17">
            <v>26140</v>
          </cell>
          <cell r="AD17">
            <v>4727</v>
          </cell>
          <cell r="AE17">
            <v>6012.2</v>
          </cell>
          <cell r="AF17">
            <v>65.454727564102555</v>
          </cell>
          <cell r="AG17">
            <v>36039</v>
          </cell>
          <cell r="AH17">
            <v>29345</v>
          </cell>
          <cell r="AI17">
            <v>8289</v>
          </cell>
          <cell r="AJ17">
            <v>6749.35</v>
          </cell>
          <cell r="AK17">
            <v>71.601112629318763</v>
          </cell>
          <cell r="AL17">
            <v>36039</v>
          </cell>
          <cell r="AM17">
            <v>30505</v>
          </cell>
          <cell r="AN17">
            <v>8289</v>
          </cell>
          <cell r="AO17">
            <v>7016.15</v>
          </cell>
          <cell r="AP17">
            <v>69.500136699170696</v>
          </cell>
          <cell r="AQ17">
            <v>33351</v>
          </cell>
          <cell r="AR17">
            <v>22871</v>
          </cell>
          <cell r="AS17">
            <v>7671</v>
          </cell>
          <cell r="AT17">
            <v>5260.33</v>
          </cell>
          <cell r="AU17">
            <v>58.854863612969631</v>
          </cell>
          <cell r="AV17">
            <v>24777</v>
          </cell>
          <cell r="AW17">
            <v>24330</v>
          </cell>
          <cell r="AX17">
            <v>5699</v>
          </cell>
          <cell r="AY17">
            <v>5595.9</v>
          </cell>
          <cell r="AZ17">
            <v>64.009471191791633</v>
          </cell>
          <cell r="BA17">
            <v>18840</v>
          </cell>
          <cell r="BB17">
            <v>20610</v>
          </cell>
          <cell r="BC17">
            <v>4333</v>
          </cell>
          <cell r="BD17">
            <v>4740.3</v>
          </cell>
          <cell r="BE17">
            <v>57.446274772138139</v>
          </cell>
          <cell r="BF17">
            <v>17698</v>
          </cell>
          <cell r="BG17">
            <v>22510</v>
          </cell>
          <cell r="BH17">
            <v>4071</v>
          </cell>
          <cell r="BI17">
            <v>5177.3</v>
          </cell>
          <cell r="BJ17">
            <v>62.910483217349991</v>
          </cell>
          <cell r="BK17">
            <v>278754.69</v>
          </cell>
          <cell r="BL17">
            <v>295821</v>
          </cell>
          <cell r="BM17">
            <v>64115.568700000003</v>
          </cell>
          <cell r="BN17">
            <v>68187.61</v>
          </cell>
          <cell r="BO17">
            <v>99.075295898614115</v>
          </cell>
        </row>
        <row r="18">
          <cell r="C18">
            <v>13450.404</v>
          </cell>
          <cell r="D18">
            <v>11663</v>
          </cell>
          <cell r="E18">
            <v>2521.95075</v>
          </cell>
          <cell r="F18">
            <v>1762.28</v>
          </cell>
          <cell r="G18">
            <v>36.159856141873874</v>
          </cell>
          <cell r="H18">
            <v>12149</v>
          </cell>
          <cell r="I18">
            <v>10621</v>
          </cell>
          <cell r="J18">
            <v>2278</v>
          </cell>
          <cell r="K18">
            <v>1754.59</v>
          </cell>
          <cell r="L18">
            <v>37.453275971507161</v>
          </cell>
          <cell r="M18">
            <v>13450</v>
          </cell>
          <cell r="N18">
            <v>14760</v>
          </cell>
          <cell r="O18">
            <v>2522</v>
          </cell>
          <cell r="P18">
            <v>2624.33</v>
          </cell>
          <cell r="Q18">
            <v>38.654934003771217</v>
          </cell>
          <cell r="R18">
            <v>13017</v>
          </cell>
          <cell r="S18">
            <v>13950</v>
          </cell>
          <cell r="T18">
            <v>2441</v>
          </cell>
          <cell r="U18">
            <v>2559.83</v>
          </cell>
          <cell r="V18">
            <v>38.265306122448976</v>
          </cell>
          <cell r="W18">
            <v>13450</v>
          </cell>
          <cell r="X18">
            <v>15570</v>
          </cell>
          <cell r="Y18">
            <v>2522</v>
          </cell>
          <cell r="Z18">
            <v>2891.35</v>
          </cell>
          <cell r="AA18">
            <v>40.422659535801444</v>
          </cell>
          <cell r="AB18">
            <v>13017</v>
          </cell>
          <cell r="AC18">
            <v>16011</v>
          </cell>
          <cell r="AD18">
            <v>2441</v>
          </cell>
          <cell r="AE18">
            <v>2971.64</v>
          </cell>
          <cell r="AF18">
            <v>40.09164663461538</v>
          </cell>
          <cell r="AG18">
            <v>19564</v>
          </cell>
          <cell r="AH18">
            <v>16522</v>
          </cell>
          <cell r="AI18">
            <v>3668</v>
          </cell>
          <cell r="AJ18">
            <v>3074.74</v>
          </cell>
          <cell r="AK18">
            <v>40.313292992387275</v>
          </cell>
          <cell r="AL18">
            <v>19564</v>
          </cell>
          <cell r="AM18">
            <v>16975</v>
          </cell>
          <cell r="AN18">
            <v>3668</v>
          </cell>
          <cell r="AO18">
            <v>3172.63</v>
          </cell>
          <cell r="AP18">
            <v>38.674473708192835</v>
          </cell>
          <cell r="AQ18">
            <v>20116</v>
          </cell>
          <cell r="AR18">
            <v>13004</v>
          </cell>
          <cell r="AS18">
            <v>3772</v>
          </cell>
          <cell r="AT18">
            <v>2433.0500000000002</v>
          </cell>
          <cell r="AU18">
            <v>33.463715903242409</v>
          </cell>
          <cell r="AV18">
            <v>17119</v>
          </cell>
          <cell r="AW18">
            <v>15457</v>
          </cell>
          <cell r="AX18">
            <v>3210</v>
          </cell>
          <cell r="AY18">
            <v>2892</v>
          </cell>
          <cell r="AZ18">
            <v>40.665614312023152</v>
          </cell>
          <cell r="BA18">
            <v>13017</v>
          </cell>
          <cell r="BB18">
            <v>13280</v>
          </cell>
          <cell r="BC18">
            <v>2441</v>
          </cell>
          <cell r="BD18">
            <v>2673.94</v>
          </cell>
          <cell r="BE18">
            <v>37.015358028820692</v>
          </cell>
          <cell r="BF18">
            <v>13450</v>
          </cell>
          <cell r="BG18">
            <v>14442</v>
          </cell>
          <cell r="BH18">
            <v>2522</v>
          </cell>
          <cell r="BI18">
            <v>2807.86</v>
          </cell>
          <cell r="BJ18">
            <v>40.362203404041253</v>
          </cell>
          <cell r="BK18">
            <v>181363.40400000001</v>
          </cell>
          <cell r="BL18">
            <v>172255</v>
          </cell>
          <cell r="BM18">
            <v>34006.950750000004</v>
          </cell>
          <cell r="BN18">
            <v>31618.239999999998</v>
          </cell>
          <cell r="BO18">
            <v>57.691019552417757</v>
          </cell>
        </row>
        <row r="19">
          <cell r="C19">
            <v>2831.6640000000002</v>
          </cell>
          <cell r="D19">
            <v>-1752</v>
          </cell>
          <cell r="E19">
            <v>1698.9984000000002</v>
          </cell>
          <cell r="F19">
            <v>-1384.08</v>
          </cell>
          <cell r="G19">
            <v>-5.4318844174365966</v>
          </cell>
          <cell r="H19">
            <v>2558</v>
          </cell>
          <cell r="I19">
            <v>1300</v>
          </cell>
          <cell r="J19">
            <v>1535</v>
          </cell>
          <cell r="K19">
            <v>1027</v>
          </cell>
          <cell r="L19">
            <v>4.5842443049580366</v>
          </cell>
          <cell r="M19">
            <v>2832</v>
          </cell>
          <cell r="N19">
            <v>2300</v>
          </cell>
          <cell r="O19">
            <v>1699</v>
          </cell>
          <cell r="P19">
            <v>1817</v>
          </cell>
          <cell r="Q19">
            <v>6.0234653257909079</v>
          </cell>
          <cell r="R19">
            <v>1028</v>
          </cell>
          <cell r="S19">
            <v>0</v>
          </cell>
          <cell r="T19">
            <v>617</v>
          </cell>
          <cell r="U19">
            <v>0</v>
          </cell>
          <cell r="V19">
            <v>0</v>
          </cell>
          <cell r="W19">
            <v>1062</v>
          </cell>
          <cell r="X19">
            <v>307</v>
          </cell>
          <cell r="Y19">
            <v>637</v>
          </cell>
          <cell r="Z19">
            <v>242.53</v>
          </cell>
          <cell r="AA19">
            <v>0.79702996001869253</v>
          </cell>
          <cell r="AB19">
            <v>1028</v>
          </cell>
          <cell r="AC19">
            <v>0</v>
          </cell>
          <cell r="AD19">
            <v>617</v>
          </cell>
          <cell r="AE19">
            <v>0</v>
          </cell>
          <cell r="AF19">
            <v>0</v>
          </cell>
          <cell r="AG19">
            <v>0</v>
          </cell>
          <cell r="AH19">
            <v>1085</v>
          </cell>
          <cell r="AI19">
            <v>0</v>
          </cell>
          <cell r="AJ19">
            <v>857.15</v>
          </cell>
          <cell r="AK19">
            <v>2.6473745852039823</v>
          </cell>
          <cell r="AL19">
            <v>0</v>
          </cell>
          <cell r="AM19">
            <v>0</v>
          </cell>
          <cell r="AN19">
            <v>0</v>
          </cell>
          <cell r="AO19">
            <v>0</v>
          </cell>
          <cell r="AP19">
            <v>0</v>
          </cell>
          <cell r="AQ19">
            <v>2647</v>
          </cell>
          <cell r="AR19">
            <v>1886</v>
          </cell>
          <cell r="AS19">
            <v>1588</v>
          </cell>
          <cell r="AT19">
            <v>1451.84</v>
          </cell>
          <cell r="AU19">
            <v>4.8533196088522903</v>
          </cell>
          <cell r="AV19">
            <v>0</v>
          </cell>
          <cell r="AW19">
            <v>4437</v>
          </cell>
          <cell r="AX19">
            <v>0</v>
          </cell>
          <cell r="AY19">
            <v>3076</v>
          </cell>
          <cell r="AZ19">
            <v>11.673243883188634</v>
          </cell>
          <cell r="BA19">
            <v>1713</v>
          </cell>
          <cell r="BB19">
            <v>130</v>
          </cell>
          <cell r="BC19">
            <v>1028</v>
          </cell>
          <cell r="BD19">
            <v>134.94</v>
          </cell>
          <cell r="BE19">
            <v>0.36234913733032309</v>
          </cell>
          <cell r="BF19">
            <v>708</v>
          </cell>
          <cell r="BG19">
            <v>900</v>
          </cell>
          <cell r="BH19">
            <v>425</v>
          </cell>
          <cell r="BI19">
            <v>725.67</v>
          </cell>
          <cell r="BJ19">
            <v>2.5153014169531316</v>
          </cell>
          <cell r="BK19">
            <v>16407.664000000001</v>
          </cell>
          <cell r="BL19">
            <v>10593</v>
          </cell>
          <cell r="BM19">
            <v>9844.9984000000004</v>
          </cell>
          <cell r="BN19">
            <v>7948.0499999999993</v>
          </cell>
          <cell r="BO19">
            <v>3.5477691220502239</v>
          </cell>
        </row>
        <row r="20">
          <cell r="C20">
            <v>0</v>
          </cell>
          <cell r="D20">
            <v>0</v>
          </cell>
          <cell r="E20">
            <v>0</v>
          </cell>
          <cell r="F20">
            <v>0</v>
          </cell>
          <cell r="G20">
            <v>0</v>
          </cell>
          <cell r="H20">
            <v>0</v>
          </cell>
          <cell r="I20">
            <v>0</v>
          </cell>
          <cell r="J20">
            <v>0</v>
          </cell>
          <cell r="K20">
            <v>0</v>
          </cell>
          <cell r="L20">
            <v>0</v>
          </cell>
          <cell r="M20">
            <v>6017</v>
          </cell>
          <cell r="N20">
            <v>0</v>
          </cell>
          <cell r="O20">
            <v>9420</v>
          </cell>
          <cell r="P20">
            <v>0</v>
          </cell>
          <cell r="Q20">
            <v>0</v>
          </cell>
          <cell r="R20">
            <v>0</v>
          </cell>
          <cell r="S20">
            <v>0</v>
          </cell>
          <cell r="T20">
            <v>0</v>
          </cell>
          <cell r="U20">
            <v>0</v>
          </cell>
          <cell r="V20">
            <v>0</v>
          </cell>
          <cell r="W20">
            <v>6017</v>
          </cell>
          <cell r="X20">
            <v>5400</v>
          </cell>
          <cell r="Y20">
            <v>9420</v>
          </cell>
          <cell r="Z20">
            <v>8374.86</v>
          </cell>
          <cell r="AA20">
            <v>14.019419492185472</v>
          </cell>
          <cell r="AB20">
            <v>0</v>
          </cell>
          <cell r="AC20">
            <v>0</v>
          </cell>
          <cell r="AD20">
            <v>0</v>
          </cell>
          <cell r="AE20">
            <v>0</v>
          </cell>
          <cell r="AF20">
            <v>0</v>
          </cell>
          <cell r="AG20">
            <v>5921</v>
          </cell>
          <cell r="AH20">
            <v>6000</v>
          </cell>
          <cell r="AI20">
            <v>9269</v>
          </cell>
          <cell r="AJ20">
            <v>9300</v>
          </cell>
          <cell r="AK20">
            <v>14.63985945734921</v>
          </cell>
          <cell r="AL20">
            <v>0</v>
          </cell>
          <cell r="AM20">
            <v>0</v>
          </cell>
          <cell r="AN20">
            <v>0</v>
          </cell>
          <cell r="AO20">
            <v>0</v>
          </cell>
          <cell r="AP20">
            <v>0</v>
          </cell>
          <cell r="AQ20">
            <v>6088</v>
          </cell>
          <cell r="AR20">
            <v>5700</v>
          </cell>
          <cell r="AS20">
            <v>9531</v>
          </cell>
          <cell r="AT20">
            <v>9365.1</v>
          </cell>
          <cell r="AU20">
            <v>14.668039114770972</v>
          </cell>
          <cell r="AV20">
            <v>0</v>
          </cell>
          <cell r="AW20">
            <v>0</v>
          </cell>
          <cell r="AX20">
            <v>0</v>
          </cell>
          <cell r="AY20">
            <v>0</v>
          </cell>
          <cell r="AZ20">
            <v>0</v>
          </cell>
          <cell r="BA20">
            <v>5994</v>
          </cell>
          <cell r="BB20">
            <v>6300</v>
          </cell>
          <cell r="BC20">
            <v>9384</v>
          </cell>
          <cell r="BD20">
            <v>9792.7199999999993</v>
          </cell>
          <cell r="BE20">
            <v>17.559996655238734</v>
          </cell>
          <cell r="BF20">
            <v>0</v>
          </cell>
          <cell r="BG20">
            <v>0</v>
          </cell>
          <cell r="BH20">
            <v>0</v>
          </cell>
          <cell r="BI20">
            <v>0</v>
          </cell>
          <cell r="BJ20">
            <v>0</v>
          </cell>
          <cell r="BK20">
            <v>30037</v>
          </cell>
          <cell r="BL20">
            <v>23400</v>
          </cell>
          <cell r="BM20">
            <v>47024</v>
          </cell>
          <cell r="BN20">
            <v>36832.68</v>
          </cell>
          <cell r="BO20">
            <v>7.8370430903403419</v>
          </cell>
        </row>
        <row r="21">
          <cell r="C21">
            <v>6902.1810000000005</v>
          </cell>
          <cell r="D21">
            <v>2392</v>
          </cell>
          <cell r="E21">
            <v>2346.7415400000004</v>
          </cell>
          <cell r="F21">
            <v>717.6</v>
          </cell>
          <cell r="G21">
            <v>7.4161344329385495</v>
          </cell>
          <cell r="H21">
            <v>6234</v>
          </cell>
          <cell r="I21">
            <v>1793</v>
          </cell>
          <cell r="J21">
            <v>2120</v>
          </cell>
          <cell r="K21">
            <v>569.64</v>
          </cell>
          <cell r="L21">
            <v>6.3227307990690464</v>
          </cell>
          <cell r="M21">
            <v>6902</v>
          </cell>
          <cell r="N21">
            <v>5255</v>
          </cell>
          <cell r="O21">
            <v>2347</v>
          </cell>
          <cell r="P21">
            <v>1715.23</v>
          </cell>
          <cell r="Q21">
            <v>13.762308820448355</v>
          </cell>
          <cell r="R21">
            <v>6680</v>
          </cell>
          <cell r="S21">
            <v>4490</v>
          </cell>
          <cell r="T21">
            <v>2271</v>
          </cell>
          <cell r="U21">
            <v>1465.54</v>
          </cell>
          <cell r="V21">
            <v>12.316216809304366</v>
          </cell>
          <cell r="W21">
            <v>6902</v>
          </cell>
          <cell r="X21">
            <v>3477</v>
          </cell>
          <cell r="Y21">
            <v>2347</v>
          </cell>
          <cell r="Z21">
            <v>1134.8900000000001</v>
          </cell>
          <cell r="AA21">
            <v>9.0269484396905337</v>
          </cell>
          <cell r="AB21">
            <v>6680</v>
          </cell>
          <cell r="AC21">
            <v>2991</v>
          </cell>
          <cell r="AD21">
            <v>2271</v>
          </cell>
          <cell r="AE21">
            <v>976.26</v>
          </cell>
          <cell r="AF21">
            <v>7.4894831730769225</v>
          </cell>
          <cell r="AG21">
            <v>10040</v>
          </cell>
          <cell r="AH21">
            <v>3358</v>
          </cell>
          <cell r="AI21">
            <v>3413</v>
          </cell>
          <cell r="AJ21">
            <v>1096.05</v>
          </cell>
          <cell r="AK21">
            <v>8.1934413429631086</v>
          </cell>
          <cell r="AL21">
            <v>10040</v>
          </cell>
          <cell r="AM21">
            <v>4272</v>
          </cell>
          <cell r="AN21">
            <v>3413</v>
          </cell>
          <cell r="AO21">
            <v>1394.38</v>
          </cell>
          <cell r="AP21">
            <v>9.7329809532488838</v>
          </cell>
          <cell r="AQ21">
            <v>10323</v>
          </cell>
          <cell r="AR21">
            <v>3077</v>
          </cell>
          <cell r="AS21">
            <v>3510</v>
          </cell>
          <cell r="AT21">
            <v>1027.72</v>
          </cell>
          <cell r="AU21">
            <v>7.9181677817807508</v>
          </cell>
          <cell r="AV21">
            <v>8785</v>
          </cell>
          <cell r="AW21">
            <v>3179</v>
          </cell>
          <cell r="AX21">
            <v>2987</v>
          </cell>
          <cell r="AY21">
            <v>1061.79</v>
          </cell>
          <cell r="AZ21">
            <v>8.3635885293343843</v>
          </cell>
          <cell r="BA21">
            <v>6680</v>
          </cell>
          <cell r="BB21">
            <v>2778</v>
          </cell>
          <cell r="BC21">
            <v>2271</v>
          </cell>
          <cell r="BD21">
            <v>927.85</v>
          </cell>
          <cell r="BE21">
            <v>7.7431223346433651</v>
          </cell>
          <cell r="BF21">
            <v>6902</v>
          </cell>
          <cell r="BG21">
            <v>4491</v>
          </cell>
          <cell r="BH21">
            <v>2347</v>
          </cell>
          <cell r="BI21">
            <v>1499.99</v>
          </cell>
          <cell r="BJ21">
            <v>12.551354070596126</v>
          </cell>
          <cell r="BK21">
            <v>93070.180999999997</v>
          </cell>
          <cell r="BL21">
            <v>41553</v>
          </cell>
          <cell r="BM21">
            <v>31643.741540000003</v>
          </cell>
          <cell r="BN21">
            <v>13586.939999999999</v>
          </cell>
          <cell r="BO21">
            <v>13.916779980038983</v>
          </cell>
        </row>
        <row r="22">
          <cell r="C22">
            <v>10041.788460000002</v>
          </cell>
          <cell r="D22">
            <v>7783</v>
          </cell>
          <cell r="E22">
            <v>2741.4082495800008</v>
          </cell>
          <cell r="F22">
            <v>2036.81</v>
          </cell>
          <cell r="G22">
            <v>24.130340422893283</v>
          </cell>
          <cell r="H22">
            <v>9070</v>
          </cell>
          <cell r="I22">
            <v>6665</v>
          </cell>
          <cell r="J22">
            <v>2476</v>
          </cell>
          <cell r="K22">
            <v>1756.89</v>
          </cell>
          <cell r="L22">
            <v>23.503067917342552</v>
          </cell>
          <cell r="M22">
            <v>10042</v>
          </cell>
          <cell r="N22">
            <v>8566</v>
          </cell>
          <cell r="O22">
            <v>2741</v>
          </cell>
          <cell r="P22">
            <v>2286.27</v>
          </cell>
          <cell r="Q22">
            <v>22.433479991619528</v>
          </cell>
          <cell r="R22">
            <v>11989</v>
          </cell>
          <cell r="S22">
            <v>7591</v>
          </cell>
          <cell r="T22">
            <v>3273</v>
          </cell>
          <cell r="U22">
            <v>2036.67</v>
          </cell>
          <cell r="V22">
            <v>20.822361202545533</v>
          </cell>
          <cell r="W22">
            <v>10042</v>
          </cell>
          <cell r="X22">
            <v>10310</v>
          </cell>
          <cell r="Y22">
            <v>2741</v>
          </cell>
          <cell r="Z22">
            <v>2784.73</v>
          </cell>
          <cell r="AA22">
            <v>26.766706474894853</v>
          </cell>
          <cell r="AB22">
            <v>9718</v>
          </cell>
          <cell r="AC22">
            <v>11613</v>
          </cell>
          <cell r="AD22">
            <v>2653</v>
          </cell>
          <cell r="AE22">
            <v>3144.8</v>
          </cell>
          <cell r="AF22">
            <v>29.07902644230769</v>
          </cell>
          <cell r="AG22">
            <v>14606</v>
          </cell>
          <cell r="AH22">
            <v>13298</v>
          </cell>
          <cell r="AI22">
            <v>3988</v>
          </cell>
          <cell r="AJ22">
            <v>3601.1</v>
          </cell>
          <cell r="AK22">
            <v>32.446808510638299</v>
          </cell>
          <cell r="AL22">
            <v>14606</v>
          </cell>
          <cell r="AM22">
            <v>12267</v>
          </cell>
          <cell r="AN22">
            <v>3988</v>
          </cell>
          <cell r="AO22">
            <v>3341.53</v>
          </cell>
          <cell r="AP22">
            <v>27.948145447917614</v>
          </cell>
          <cell r="AQ22">
            <v>15019</v>
          </cell>
          <cell r="AR22">
            <v>10388</v>
          </cell>
          <cell r="AS22">
            <v>4100</v>
          </cell>
          <cell r="AT22">
            <v>2832.81</v>
          </cell>
          <cell r="AU22">
            <v>26.731857951621201</v>
          </cell>
          <cell r="AV22">
            <v>12780</v>
          </cell>
          <cell r="AW22">
            <v>11609</v>
          </cell>
          <cell r="AX22">
            <v>3489</v>
          </cell>
          <cell r="AY22">
            <v>3165.77</v>
          </cell>
          <cell r="AZ22">
            <v>30.541962641410155</v>
          </cell>
          <cell r="BA22">
            <v>9718</v>
          </cell>
          <cell r="BB22">
            <v>10006</v>
          </cell>
          <cell r="BC22">
            <v>2653</v>
          </cell>
          <cell r="BD22">
            <v>2728.64</v>
          </cell>
          <cell r="BE22">
            <v>27.889734370209329</v>
          </cell>
          <cell r="BF22">
            <v>10042</v>
          </cell>
          <cell r="BG22">
            <v>10890</v>
          </cell>
          <cell r="BH22">
            <v>2741</v>
          </cell>
          <cell r="BI22">
            <v>5965.54</v>
          </cell>
          <cell r="BJ22">
            <v>30.435147145132891</v>
          </cell>
          <cell r="BK22">
            <v>137673.78846000001</v>
          </cell>
          <cell r="BL22">
            <v>120986</v>
          </cell>
          <cell r="BM22">
            <v>37584.408249580003</v>
          </cell>
          <cell r="BN22">
            <v>35681.56</v>
          </cell>
          <cell r="BO22">
            <v>40.520192108030621</v>
          </cell>
        </row>
        <row r="23">
          <cell r="C23">
            <v>2123.748</v>
          </cell>
          <cell r="D23">
            <v>1500</v>
          </cell>
          <cell r="E23">
            <v>297.32472000000001</v>
          </cell>
          <cell r="F23">
            <v>226.8</v>
          </cell>
          <cell r="G23">
            <v>4.6505859738327029</v>
          </cell>
          <cell r="H23">
            <v>1918</v>
          </cell>
          <cell r="I23">
            <v>1800</v>
          </cell>
          <cell r="J23">
            <v>269</v>
          </cell>
          <cell r="K23">
            <v>272.16000000000003</v>
          </cell>
          <cell r="L23">
            <v>6.3474151914803585</v>
          </cell>
          <cell r="M23">
            <v>2212</v>
          </cell>
          <cell r="N23">
            <v>2100</v>
          </cell>
          <cell r="O23">
            <v>310</v>
          </cell>
          <cell r="P23">
            <v>307.44</v>
          </cell>
          <cell r="Q23">
            <v>5.4996857322438721</v>
          </cell>
          <cell r="R23">
            <v>1370</v>
          </cell>
          <cell r="S23">
            <v>2650</v>
          </cell>
          <cell r="T23">
            <v>192</v>
          </cell>
          <cell r="U23">
            <v>378.16</v>
          </cell>
          <cell r="V23">
            <v>7.269036646916831</v>
          </cell>
          <cell r="W23">
            <v>2212</v>
          </cell>
          <cell r="X23">
            <v>2050</v>
          </cell>
          <cell r="Y23">
            <v>310</v>
          </cell>
          <cell r="Z23">
            <v>292.54000000000002</v>
          </cell>
          <cell r="AA23">
            <v>5.3221870294407809</v>
          </cell>
          <cell r="AB23">
            <v>2141</v>
          </cell>
          <cell r="AC23">
            <v>2550</v>
          </cell>
          <cell r="AD23">
            <v>300</v>
          </cell>
          <cell r="AE23">
            <v>360.06</v>
          </cell>
          <cell r="AF23">
            <v>6.3852163461538458</v>
          </cell>
          <cell r="AG23">
            <v>3861</v>
          </cell>
          <cell r="AH23">
            <v>3350</v>
          </cell>
          <cell r="AI23">
            <v>541</v>
          </cell>
          <cell r="AJ23">
            <v>473.02</v>
          </cell>
          <cell r="AK23">
            <v>8.1739215303533097</v>
          </cell>
          <cell r="AL23">
            <v>3861</v>
          </cell>
          <cell r="AM23">
            <v>3900</v>
          </cell>
          <cell r="AN23">
            <v>541</v>
          </cell>
          <cell r="AO23">
            <v>547.55999999999995</v>
          </cell>
          <cell r="AP23">
            <v>8.8854460949603578</v>
          </cell>
          <cell r="AQ23">
            <v>3970</v>
          </cell>
          <cell r="AR23">
            <v>2850</v>
          </cell>
          <cell r="AS23">
            <v>556</v>
          </cell>
          <cell r="AT23">
            <v>399.57</v>
          </cell>
          <cell r="AU23">
            <v>7.3340195573854858</v>
          </cell>
          <cell r="AV23">
            <v>2816</v>
          </cell>
          <cell r="AW23">
            <v>2950</v>
          </cell>
          <cell r="AX23">
            <v>394</v>
          </cell>
          <cell r="AY23">
            <v>413.59</v>
          </cell>
          <cell r="AZ23">
            <v>7.7611154959221249</v>
          </cell>
          <cell r="BA23">
            <v>2141</v>
          </cell>
          <cell r="BB23">
            <v>1600</v>
          </cell>
          <cell r="BC23">
            <v>300</v>
          </cell>
          <cell r="BD23">
            <v>224.16</v>
          </cell>
          <cell r="BE23">
            <v>4.4596816902193606</v>
          </cell>
          <cell r="BF23">
            <v>2212</v>
          </cell>
          <cell r="BG23">
            <v>3000</v>
          </cell>
          <cell r="BH23">
            <v>310</v>
          </cell>
          <cell r="BI23">
            <v>420.3</v>
          </cell>
          <cell r="BJ23">
            <v>8.3843380565104386</v>
          </cell>
          <cell r="BK23">
            <v>30837.748</v>
          </cell>
          <cell r="BL23">
            <v>30300</v>
          </cell>
          <cell r="BM23">
            <v>4320.3247200000005</v>
          </cell>
          <cell r="BN23">
            <v>4315.3600000000006</v>
          </cell>
          <cell r="BO23">
            <v>10.147966052876596</v>
          </cell>
        </row>
        <row r="24">
          <cell r="C24">
            <v>3244.6150000000002</v>
          </cell>
          <cell r="D24">
            <v>2202</v>
          </cell>
          <cell r="E24">
            <v>872.80143500000008</v>
          </cell>
          <cell r="F24">
            <v>620.96</v>
          </cell>
          <cell r="G24">
            <v>6.8270602095864072</v>
          </cell>
          <cell r="H24">
            <v>2664</v>
          </cell>
          <cell r="I24">
            <v>1888</v>
          </cell>
          <cell r="J24">
            <v>717</v>
          </cell>
          <cell r="K24">
            <v>532.41999999999996</v>
          </cell>
          <cell r="L24">
            <v>6.657733267508287</v>
          </cell>
          <cell r="M24">
            <v>2950</v>
          </cell>
          <cell r="N24">
            <v>2727</v>
          </cell>
          <cell r="O24">
            <v>793</v>
          </cell>
          <cell r="P24">
            <v>769.01</v>
          </cell>
          <cell r="Q24">
            <v>7.1417347580138282</v>
          </cell>
          <cell r="R24">
            <v>1570</v>
          </cell>
          <cell r="S24">
            <v>2757</v>
          </cell>
          <cell r="T24">
            <v>422</v>
          </cell>
          <cell r="U24">
            <v>764.24</v>
          </cell>
          <cell r="V24">
            <v>7.5625411454904539</v>
          </cell>
          <cell r="W24">
            <v>3245</v>
          </cell>
          <cell r="X24">
            <v>1897</v>
          </cell>
          <cell r="Y24">
            <v>873</v>
          </cell>
          <cell r="Z24">
            <v>532.11</v>
          </cell>
          <cell r="AA24">
            <v>4.9249701438288591</v>
          </cell>
          <cell r="AB24">
            <v>3425</v>
          </cell>
          <cell r="AC24">
            <v>7724</v>
          </cell>
          <cell r="AD24">
            <v>921</v>
          </cell>
          <cell r="AE24">
            <v>2094.75</v>
          </cell>
          <cell r="AF24">
            <v>19.340945512820511</v>
          </cell>
          <cell r="AG24">
            <v>6007</v>
          </cell>
          <cell r="AH24">
            <v>2824</v>
          </cell>
          <cell r="AI24">
            <v>1616</v>
          </cell>
          <cell r="AJ24">
            <v>765.87</v>
          </cell>
          <cell r="AK24">
            <v>6.8904938512590279</v>
          </cell>
          <cell r="AL24">
            <v>6007</v>
          </cell>
          <cell r="AM24">
            <v>3050</v>
          </cell>
          <cell r="AN24">
            <v>1616</v>
          </cell>
          <cell r="AO24">
            <v>827.16</v>
          </cell>
          <cell r="AP24">
            <v>6.9488745101613052</v>
          </cell>
          <cell r="AQ24">
            <v>5558</v>
          </cell>
          <cell r="AR24">
            <v>2722</v>
          </cell>
          <cell r="AS24">
            <v>1495</v>
          </cell>
          <cell r="AT24">
            <v>738.21</v>
          </cell>
          <cell r="AU24">
            <v>7.0046320123520323</v>
          </cell>
          <cell r="AV24">
            <v>4130</v>
          </cell>
          <cell r="AW24">
            <v>3169</v>
          </cell>
          <cell r="AX24">
            <v>1111</v>
          </cell>
          <cell r="AY24">
            <v>859.43</v>
          </cell>
          <cell r="AZ24">
            <v>8.3372796632465143</v>
          </cell>
          <cell r="BA24">
            <v>3140</v>
          </cell>
          <cell r="BB24">
            <v>17969</v>
          </cell>
          <cell r="BC24">
            <v>845</v>
          </cell>
          <cell r="BD24">
            <v>4849.83</v>
          </cell>
          <cell r="BE24">
            <v>50.085012682219812</v>
          </cell>
          <cell r="BF24">
            <v>2950</v>
          </cell>
          <cell r="BG24">
            <v>1830</v>
          </cell>
          <cell r="BH24">
            <v>793</v>
          </cell>
          <cell r="BI24">
            <v>493.92</v>
          </cell>
          <cell r="BJ24">
            <v>5.1144462144713678</v>
          </cell>
          <cell r="BK24">
            <v>44890.614999999998</v>
          </cell>
          <cell r="BL24">
            <v>50759</v>
          </cell>
          <cell r="BM24">
            <v>12074.801435000001</v>
          </cell>
          <cell r="BN24">
            <v>13847.91</v>
          </cell>
          <cell r="BO24">
            <v>17.000020094982283</v>
          </cell>
        </row>
        <row r="25">
          <cell r="C25">
            <v>3539.58</v>
          </cell>
          <cell r="D25">
            <v>1369</v>
          </cell>
          <cell r="E25">
            <v>424.74960000000004</v>
          </cell>
          <cell r="F25">
            <v>174.55</v>
          </cell>
          <cell r="G25">
            <v>4.2444347987846465</v>
          </cell>
          <cell r="H25">
            <v>3197</v>
          </cell>
          <cell r="I25">
            <v>0</v>
          </cell>
          <cell r="J25">
            <v>384</v>
          </cell>
          <cell r="K25">
            <v>0</v>
          </cell>
          <cell r="L25">
            <v>0</v>
          </cell>
          <cell r="M25">
            <v>3540</v>
          </cell>
          <cell r="N25">
            <v>1831</v>
          </cell>
          <cell r="O25">
            <v>425</v>
          </cell>
          <cell r="P25">
            <v>233.45</v>
          </cell>
          <cell r="Q25">
            <v>4.7952021789231098</v>
          </cell>
          <cell r="R25">
            <v>1713</v>
          </cell>
          <cell r="S25">
            <v>1894</v>
          </cell>
          <cell r="T25">
            <v>206</v>
          </cell>
          <cell r="U25">
            <v>241.49</v>
          </cell>
          <cell r="V25">
            <v>5.1953039280228221</v>
          </cell>
          <cell r="W25">
            <v>1770</v>
          </cell>
          <cell r="X25">
            <v>3123</v>
          </cell>
          <cell r="Y25">
            <v>212</v>
          </cell>
          <cell r="Z25">
            <v>398.18</v>
          </cell>
          <cell r="AA25">
            <v>8.1078976063139319</v>
          </cell>
          <cell r="AB25">
            <v>3425</v>
          </cell>
          <cell r="AC25">
            <v>77</v>
          </cell>
          <cell r="AD25">
            <v>411</v>
          </cell>
          <cell r="AE25">
            <v>9.82</v>
          </cell>
          <cell r="AF25">
            <v>0.19280849358974358</v>
          </cell>
          <cell r="AG25">
            <v>28317</v>
          </cell>
          <cell r="AH25">
            <v>6582</v>
          </cell>
          <cell r="AI25">
            <v>3398</v>
          </cell>
          <cell r="AJ25">
            <v>1524.76</v>
          </cell>
          <cell r="AK25">
            <v>16.059925824712085</v>
          </cell>
          <cell r="AL25">
            <v>25742</v>
          </cell>
          <cell r="AM25">
            <v>4648</v>
          </cell>
          <cell r="AN25">
            <v>3089</v>
          </cell>
          <cell r="AO25">
            <v>1116.9199999999998</v>
          </cell>
          <cell r="AP25">
            <v>10.589629089583523</v>
          </cell>
          <cell r="AQ25">
            <v>0</v>
          </cell>
          <cell r="AR25">
            <v>4722</v>
          </cell>
          <cell r="AS25">
            <v>0</v>
          </cell>
          <cell r="AT25">
            <v>1227.72</v>
          </cell>
          <cell r="AU25">
            <v>12.151312403499743</v>
          </cell>
          <cell r="AV25">
            <v>4505</v>
          </cell>
          <cell r="AW25">
            <v>71</v>
          </cell>
          <cell r="AX25">
            <v>541</v>
          </cell>
          <cell r="AY25">
            <v>18.46</v>
          </cell>
          <cell r="AZ25">
            <v>0.18679294922388845</v>
          </cell>
          <cell r="BA25">
            <v>3425</v>
          </cell>
          <cell r="BB25">
            <v>4890</v>
          </cell>
          <cell r="BC25">
            <v>411</v>
          </cell>
          <cell r="BD25">
            <v>623.48</v>
          </cell>
          <cell r="BE25">
            <v>13.629902165732922</v>
          </cell>
          <cell r="BF25">
            <v>3540</v>
          </cell>
          <cell r="BG25">
            <v>0</v>
          </cell>
          <cell r="BH25">
            <v>425</v>
          </cell>
          <cell r="BI25">
            <v>0</v>
          </cell>
          <cell r="BJ25">
            <v>0</v>
          </cell>
          <cell r="BK25">
            <v>82713.58</v>
          </cell>
          <cell r="BL25">
            <v>29207</v>
          </cell>
          <cell r="BM25">
            <v>9926.7495999999992</v>
          </cell>
          <cell r="BN25">
            <v>5568.83</v>
          </cell>
          <cell r="BO25">
            <v>9.7819024589559973</v>
          </cell>
        </row>
        <row r="26">
          <cell r="C26">
            <v>2123.748</v>
          </cell>
          <cell r="D26">
            <v>1485</v>
          </cell>
          <cell r="E26">
            <v>4289.9709600000006</v>
          </cell>
          <cell r="F26">
            <v>2854.91</v>
          </cell>
          <cell r="G26">
            <v>4.6040801140943755</v>
          </cell>
          <cell r="H26">
            <v>1279</v>
          </cell>
          <cell r="I26">
            <v>1984</v>
          </cell>
          <cell r="J26">
            <v>2583</v>
          </cell>
          <cell r="K26">
            <v>3969.59</v>
          </cell>
          <cell r="L26">
            <v>6.9962620777205728</v>
          </cell>
          <cell r="M26">
            <v>1416</v>
          </cell>
          <cell r="N26">
            <v>2090</v>
          </cell>
          <cell r="O26">
            <v>2860</v>
          </cell>
          <cell r="P26">
            <v>4366.43</v>
          </cell>
          <cell r="Q26">
            <v>5.4734967525665201</v>
          </cell>
          <cell r="R26">
            <v>1713</v>
          </cell>
          <cell r="S26">
            <v>2695</v>
          </cell>
          <cell r="T26">
            <v>3460</v>
          </cell>
          <cell r="U26">
            <v>5821.74</v>
          </cell>
          <cell r="V26">
            <v>7.39247311827957</v>
          </cell>
          <cell r="W26">
            <v>708</v>
          </cell>
          <cell r="X26">
            <v>1595</v>
          </cell>
          <cell r="Y26">
            <v>1430</v>
          </cell>
          <cell r="Z26">
            <v>3467.53</v>
          </cell>
          <cell r="AA26">
            <v>4.140921127784412</v>
          </cell>
          <cell r="AB26">
            <v>685</v>
          </cell>
          <cell r="AC26">
            <v>165</v>
          </cell>
          <cell r="AD26">
            <v>1384</v>
          </cell>
          <cell r="AE26">
            <v>359.07</v>
          </cell>
          <cell r="AF26">
            <v>0.41316105769230765</v>
          </cell>
          <cell r="AG26">
            <v>0</v>
          </cell>
          <cell r="AH26">
            <v>825</v>
          </cell>
          <cell r="AI26">
            <v>0</v>
          </cell>
          <cell r="AJ26">
            <v>1795.37</v>
          </cell>
          <cell r="AK26">
            <v>2.0129806753855166</v>
          </cell>
          <cell r="AL26">
            <v>0</v>
          </cell>
          <cell r="AM26">
            <v>385</v>
          </cell>
          <cell r="AN26">
            <v>0</v>
          </cell>
          <cell r="AO26">
            <v>837.84</v>
          </cell>
          <cell r="AP26">
            <v>0.87715301193839423</v>
          </cell>
          <cell r="AQ26">
            <v>3176</v>
          </cell>
          <cell r="AR26">
            <v>165</v>
          </cell>
          <cell r="AS26">
            <v>6416</v>
          </cell>
          <cell r="AT26">
            <v>361.38</v>
          </cell>
          <cell r="AU26">
            <v>0.42460113226968604</v>
          </cell>
          <cell r="AV26">
            <v>0</v>
          </cell>
          <cell r="AW26">
            <v>0</v>
          </cell>
          <cell r="AX26">
            <v>0</v>
          </cell>
          <cell r="AY26">
            <v>0</v>
          </cell>
          <cell r="AZ26">
            <v>0</v>
          </cell>
          <cell r="BA26">
            <v>1713</v>
          </cell>
          <cell r="BB26">
            <v>0</v>
          </cell>
          <cell r="BC26">
            <v>3460</v>
          </cell>
          <cell r="BD26">
            <v>0</v>
          </cell>
          <cell r="BE26">
            <v>0</v>
          </cell>
          <cell r="BF26">
            <v>1770</v>
          </cell>
          <cell r="BG26">
            <v>1375</v>
          </cell>
          <cell r="BH26">
            <v>3575</v>
          </cell>
          <cell r="BI26">
            <v>3011.53</v>
          </cell>
          <cell r="BJ26">
            <v>3.8428216092339511</v>
          </cell>
          <cell r="BK26">
            <v>14583.748</v>
          </cell>
          <cell r="BL26">
            <v>12764</v>
          </cell>
          <cell r="BM26">
            <v>29457.970959999999</v>
          </cell>
          <cell r="BN26">
            <v>26845.389999999996</v>
          </cell>
          <cell r="BO26">
            <v>4.2748725643206891</v>
          </cell>
        </row>
        <row r="27">
          <cell r="C27">
            <v>0</v>
          </cell>
          <cell r="D27">
            <v>-55</v>
          </cell>
          <cell r="E27">
            <v>0</v>
          </cell>
          <cell r="F27">
            <v>-195.7</v>
          </cell>
          <cell r="G27">
            <v>-0.17052148570719911</v>
          </cell>
          <cell r="H27">
            <v>0</v>
          </cell>
          <cell r="I27">
            <v>2</v>
          </cell>
          <cell r="J27">
            <v>0</v>
          </cell>
          <cell r="K27">
            <v>7.12</v>
          </cell>
          <cell r="L27">
            <v>7.0526835460892872E-3</v>
          </cell>
          <cell r="M27">
            <v>0</v>
          </cell>
          <cell r="N27">
            <v>6</v>
          </cell>
          <cell r="O27">
            <v>0</v>
          </cell>
          <cell r="P27">
            <v>21.35</v>
          </cell>
          <cell r="Q27">
            <v>1.5713387806411062E-2</v>
          </cell>
          <cell r="R27">
            <v>0</v>
          </cell>
          <cell r="S27">
            <v>12</v>
          </cell>
          <cell r="T27">
            <v>0</v>
          </cell>
          <cell r="U27">
            <v>42.7</v>
          </cell>
          <cell r="V27">
            <v>3.2916392363396975E-2</v>
          </cell>
          <cell r="W27">
            <v>0</v>
          </cell>
          <cell r="X27">
            <v>10</v>
          </cell>
          <cell r="Y27">
            <v>0</v>
          </cell>
          <cell r="Z27">
            <v>35.58</v>
          </cell>
          <cell r="AA27">
            <v>2.5961887948491615E-2</v>
          </cell>
          <cell r="AB27">
            <v>0</v>
          </cell>
          <cell r="AC27">
            <v>13</v>
          </cell>
          <cell r="AD27">
            <v>0</v>
          </cell>
          <cell r="AE27">
            <v>46.26</v>
          </cell>
          <cell r="AF27">
            <v>3.2552083333333336E-2</v>
          </cell>
          <cell r="AG27">
            <v>0</v>
          </cell>
          <cell r="AH27">
            <v>5</v>
          </cell>
          <cell r="AI27">
            <v>0</v>
          </cell>
          <cell r="AJ27">
            <v>17.79</v>
          </cell>
          <cell r="AK27">
            <v>1.2199882881124342E-2</v>
          </cell>
          <cell r="AL27">
            <v>0</v>
          </cell>
          <cell r="AM27">
            <v>9</v>
          </cell>
          <cell r="AN27">
            <v>0</v>
          </cell>
          <cell r="AO27">
            <v>32.020000000000003</v>
          </cell>
          <cell r="AP27">
            <v>2.050487560375467E-2</v>
          </cell>
          <cell r="AQ27">
            <v>0</v>
          </cell>
          <cell r="AR27">
            <v>15</v>
          </cell>
          <cell r="AS27">
            <v>0</v>
          </cell>
          <cell r="AT27">
            <v>53.37</v>
          </cell>
          <cell r="AU27">
            <v>3.860010293360782E-2</v>
          </cell>
          <cell r="AV27">
            <v>0</v>
          </cell>
          <cell r="AW27">
            <v>2</v>
          </cell>
          <cell r="AX27">
            <v>0</v>
          </cell>
          <cell r="AY27">
            <v>7.12</v>
          </cell>
          <cell r="AZ27">
            <v>5.2617732175743222E-3</v>
          </cell>
          <cell r="BA27">
            <v>0</v>
          </cell>
          <cell r="BB27">
            <v>7</v>
          </cell>
          <cell r="BC27">
            <v>0</v>
          </cell>
          <cell r="BD27">
            <v>24.91</v>
          </cell>
          <cell r="BE27">
            <v>1.9511107394709702E-2</v>
          </cell>
          <cell r="BF27">
            <v>0</v>
          </cell>
          <cell r="BG27">
            <v>21</v>
          </cell>
          <cell r="BH27">
            <v>0</v>
          </cell>
          <cell r="BI27">
            <v>74.72</v>
          </cell>
          <cell r="BJ27">
            <v>5.8690366395573068E-2</v>
          </cell>
          <cell r="BK27">
            <v>0</v>
          </cell>
          <cell r="BL27">
            <v>47</v>
          </cell>
          <cell r="BM27">
            <v>0</v>
          </cell>
          <cell r="BN27">
            <v>167.24</v>
          </cell>
          <cell r="BO27">
            <v>1.5741069454957096E-2</v>
          </cell>
        </row>
        <row r="28">
          <cell r="G28">
            <v>0</v>
          </cell>
          <cell r="L28">
            <v>0</v>
          </cell>
          <cell r="Q28">
            <v>0</v>
          </cell>
          <cell r="V28">
            <v>0</v>
          </cell>
          <cell r="AA28">
            <v>0</v>
          </cell>
          <cell r="AF28">
            <v>0</v>
          </cell>
          <cell r="AK28">
            <v>0</v>
          </cell>
          <cell r="AP28">
            <v>0</v>
          </cell>
          <cell r="AU28">
            <v>0</v>
          </cell>
          <cell r="AZ28">
            <v>0</v>
          </cell>
          <cell r="BE28">
            <v>0</v>
          </cell>
          <cell r="BJ28">
            <v>0</v>
          </cell>
          <cell r="BK28">
            <v>0</v>
          </cell>
          <cell r="BL28">
            <v>0</v>
          </cell>
          <cell r="BM28">
            <v>0</v>
          </cell>
          <cell r="BN28">
            <v>0</v>
          </cell>
          <cell r="BO28">
            <v>0</v>
          </cell>
        </row>
        <row r="29">
          <cell r="G29">
            <v>0</v>
          </cell>
          <cell r="L29">
            <v>0</v>
          </cell>
          <cell r="Q29">
            <v>0</v>
          </cell>
          <cell r="V29">
            <v>0</v>
          </cell>
          <cell r="AA29">
            <v>0</v>
          </cell>
          <cell r="AF29">
            <v>0</v>
          </cell>
          <cell r="AK29">
            <v>0</v>
          </cell>
          <cell r="AP29">
            <v>0</v>
          </cell>
          <cell r="AU29">
            <v>0</v>
          </cell>
          <cell r="AZ29">
            <v>0</v>
          </cell>
          <cell r="BE29">
            <v>0</v>
          </cell>
          <cell r="BJ29">
            <v>0</v>
          </cell>
          <cell r="BK29">
            <v>0</v>
          </cell>
          <cell r="BL29">
            <v>0</v>
          </cell>
          <cell r="BM29">
            <v>0</v>
          </cell>
          <cell r="BN29">
            <v>0</v>
          </cell>
          <cell r="BO29">
            <v>0</v>
          </cell>
        </row>
        <row r="33">
          <cell r="D33">
            <v>18.759999999999998</v>
          </cell>
          <cell r="E33">
            <v>11.1</v>
          </cell>
          <cell r="F33">
            <v>4.8099999999999996</v>
          </cell>
          <cell r="I33">
            <v>38.335999999999999</v>
          </cell>
          <cell r="J33">
            <v>10.07</v>
          </cell>
          <cell r="K33">
            <v>13.98</v>
          </cell>
          <cell r="N33">
            <v>42.87</v>
          </cell>
          <cell r="O33">
            <v>16.059999999999999</v>
          </cell>
          <cell r="P33">
            <v>14.45</v>
          </cell>
          <cell r="S33">
            <v>31.694000000000006</v>
          </cell>
          <cell r="T33">
            <v>17.27</v>
          </cell>
          <cell r="U33">
            <v>10.77</v>
          </cell>
          <cell r="X33">
            <v>39.96</v>
          </cell>
          <cell r="Y33">
            <v>12.55</v>
          </cell>
          <cell r="Z33">
            <v>13.1</v>
          </cell>
          <cell r="AC33">
            <v>53.005999999999993</v>
          </cell>
          <cell r="AD33">
            <v>9</v>
          </cell>
          <cell r="AE33">
            <v>5.03</v>
          </cell>
          <cell r="AH33">
            <v>19.04</v>
          </cell>
          <cell r="AI33">
            <v>5.87</v>
          </cell>
          <cell r="AJ33">
            <v>8.19</v>
          </cell>
          <cell r="AM33">
            <v>19.856000000000002</v>
          </cell>
          <cell r="AN33">
            <v>4.5199999999999996</v>
          </cell>
          <cell r="AO33">
            <v>6.68</v>
          </cell>
          <cell r="AR33">
            <v>18.021666666666668</v>
          </cell>
          <cell r="AS33">
            <v>3.23</v>
          </cell>
          <cell r="AT33">
            <v>4.03</v>
          </cell>
          <cell r="AW33">
            <v>16.791999999999998</v>
          </cell>
          <cell r="AX33">
            <v>3.81</v>
          </cell>
          <cell r="AY33">
            <v>8.26</v>
          </cell>
          <cell r="BB33">
            <v>17.113999999999997</v>
          </cell>
          <cell r="BC33">
            <v>4.7699999999999996</v>
          </cell>
          <cell r="BD33">
            <v>7.27</v>
          </cell>
          <cell r="BG33">
            <v>34.055999999999997</v>
          </cell>
          <cell r="BH33">
            <v>6.77</v>
          </cell>
          <cell r="BI33">
            <v>8.58</v>
          </cell>
        </row>
        <row r="34">
          <cell r="D34">
            <v>8180</v>
          </cell>
          <cell r="E34">
            <v>10107.42</v>
          </cell>
          <cell r="F34">
            <v>10107.42</v>
          </cell>
          <cell r="I34">
            <v>8180</v>
          </cell>
          <cell r="J34">
            <v>9256</v>
          </cell>
          <cell r="K34">
            <v>9256</v>
          </cell>
          <cell r="N34">
            <v>11180</v>
          </cell>
          <cell r="O34">
            <v>7411.69</v>
          </cell>
          <cell r="P34">
            <v>10573.7</v>
          </cell>
          <cell r="S34">
            <v>8180</v>
          </cell>
          <cell r="T34">
            <v>9057</v>
          </cell>
          <cell r="U34">
            <v>13147.81</v>
          </cell>
          <cell r="X34">
            <v>8180</v>
          </cell>
          <cell r="Y34">
            <v>6930.64</v>
          </cell>
          <cell r="Z34">
            <v>988</v>
          </cell>
          <cell r="AC34">
            <v>8180</v>
          </cell>
          <cell r="AD34">
            <v>8180</v>
          </cell>
          <cell r="AE34">
            <v>7124.58</v>
          </cell>
          <cell r="AH34">
            <v>11180</v>
          </cell>
          <cell r="AI34">
            <v>11180</v>
          </cell>
          <cell r="AJ34">
            <v>4764.68</v>
          </cell>
          <cell r="AM34">
            <v>8180</v>
          </cell>
          <cell r="AN34">
            <v>7327.97</v>
          </cell>
          <cell r="AO34">
            <v>371.81</v>
          </cell>
          <cell r="AR34">
            <v>8180</v>
          </cell>
          <cell r="AS34">
            <v>8180</v>
          </cell>
          <cell r="AT34">
            <v>1339.33</v>
          </cell>
          <cell r="AW34">
            <v>8180</v>
          </cell>
          <cell r="AX34">
            <v>8180</v>
          </cell>
          <cell r="AY34">
            <v>-6064.7</v>
          </cell>
          <cell r="BB34">
            <v>8180</v>
          </cell>
          <cell r="BC34">
            <v>8180</v>
          </cell>
          <cell r="BD34">
            <v>2195.64</v>
          </cell>
          <cell r="BG34">
            <v>8180</v>
          </cell>
          <cell r="BH34">
            <v>7816.27</v>
          </cell>
          <cell r="BI34">
            <v>2212.67</v>
          </cell>
          <cell r="BL34">
            <v>71440</v>
          </cell>
          <cell r="BM34">
            <v>69450.720000000001</v>
          </cell>
          <cell r="BN34">
            <v>56334</v>
          </cell>
        </row>
        <row r="35">
          <cell r="D35">
            <v>353.95800000000003</v>
          </cell>
          <cell r="E35">
            <v>322.54000000000002</v>
          </cell>
          <cell r="F35">
            <v>379.19</v>
          </cell>
          <cell r="I35">
            <v>319.70400000000001</v>
          </cell>
          <cell r="J35">
            <v>283.58</v>
          </cell>
          <cell r="K35">
            <v>334.58</v>
          </cell>
          <cell r="N35">
            <v>353.95800000000003</v>
          </cell>
          <cell r="O35">
            <v>381.84</v>
          </cell>
          <cell r="P35">
            <v>369.53</v>
          </cell>
          <cell r="S35">
            <v>342.54</v>
          </cell>
          <cell r="T35">
            <v>364.56</v>
          </cell>
          <cell r="U35">
            <v>321.39</v>
          </cell>
          <cell r="X35">
            <v>353.95800000000003</v>
          </cell>
          <cell r="Y35">
            <v>385.18</v>
          </cell>
          <cell r="Z35">
            <v>386.32</v>
          </cell>
          <cell r="AC35">
            <v>342.54</v>
          </cell>
          <cell r="AD35">
            <v>399.36</v>
          </cell>
          <cell r="AE35">
            <v>414.47</v>
          </cell>
          <cell r="AH35">
            <v>514.84799999999996</v>
          </cell>
          <cell r="AI35">
            <v>409.84</v>
          </cell>
          <cell r="AJ35">
            <v>365.73</v>
          </cell>
          <cell r="AM35">
            <v>514.84799999999996</v>
          </cell>
          <cell r="AN35">
            <v>438.92</v>
          </cell>
          <cell r="AO35">
            <v>431.27</v>
          </cell>
          <cell r="AR35">
            <v>529.38</v>
          </cell>
          <cell r="AS35">
            <v>388.6</v>
          </cell>
          <cell r="AT35">
            <v>402.84</v>
          </cell>
          <cell r="AW35">
            <v>450.49200000000002</v>
          </cell>
          <cell r="AX35">
            <v>380.1</v>
          </cell>
          <cell r="AY35">
            <v>499.19</v>
          </cell>
          <cell r="BB35">
            <v>342.54</v>
          </cell>
          <cell r="BC35">
            <v>358.77</v>
          </cell>
          <cell r="BD35">
            <v>304.05</v>
          </cell>
          <cell r="BG35">
            <v>353.95800000000003</v>
          </cell>
          <cell r="BH35">
            <v>357.81</v>
          </cell>
          <cell r="BI35">
            <v>372.12</v>
          </cell>
          <cell r="BL35">
            <v>3096.3540000000003</v>
          </cell>
          <cell r="BM35">
            <v>2985.82</v>
          </cell>
          <cell r="BN35">
            <v>3002.48</v>
          </cell>
        </row>
        <row r="36">
          <cell r="D36">
            <v>102.82584333333334</v>
          </cell>
          <cell r="E36">
            <v>101.41873876108387</v>
          </cell>
          <cell r="F36">
            <v>108</v>
          </cell>
          <cell r="I36">
            <v>90.668243124890523</v>
          </cell>
          <cell r="J36">
            <v>106.03688553494604</v>
          </cell>
          <cell r="K36">
            <v>100.59</v>
          </cell>
          <cell r="N36">
            <v>120.68663513750218</v>
          </cell>
          <cell r="O36">
            <v>119.57770270270272</v>
          </cell>
          <cell r="P36">
            <v>146</v>
          </cell>
          <cell r="S36">
            <v>89.405616862264253</v>
          </cell>
          <cell r="T36">
            <v>115.94982993197276</v>
          </cell>
          <cell r="U36">
            <v>152</v>
          </cell>
          <cell r="X36">
            <v>109.69380547974617</v>
          </cell>
          <cell r="Y36">
            <v>110.66215795212628</v>
          </cell>
          <cell r="Z36">
            <v>153</v>
          </cell>
          <cell r="AC36">
            <v>89.782215215741218</v>
          </cell>
          <cell r="AD36">
            <v>83.856270032051285</v>
          </cell>
          <cell r="AE36">
            <v>107</v>
          </cell>
          <cell r="AH36">
            <v>120.39281496674748</v>
          </cell>
          <cell r="AI36">
            <v>119.24192367753272</v>
          </cell>
          <cell r="AJ36">
            <v>103</v>
          </cell>
          <cell r="AM36">
            <v>98.413512337621981</v>
          </cell>
          <cell r="AN36">
            <v>92.411646769342909</v>
          </cell>
          <cell r="AO36">
            <v>93</v>
          </cell>
          <cell r="AR36">
            <v>112.13872832369943</v>
          </cell>
          <cell r="AS36">
            <v>115.2983015954709</v>
          </cell>
          <cell r="AT36">
            <v>96</v>
          </cell>
          <cell r="AW36">
            <v>79.193415199382002</v>
          </cell>
          <cell r="AX36">
            <v>79.454380426203613</v>
          </cell>
          <cell r="AY36">
            <v>135</v>
          </cell>
          <cell r="BB36">
            <v>126.44070765458048</v>
          </cell>
          <cell r="BC36">
            <v>118.89753881316724</v>
          </cell>
          <cell r="BD36">
            <v>124</v>
          </cell>
          <cell r="BG36">
            <v>89.117917945066921</v>
          </cell>
          <cell r="BH36">
            <v>137.42452698359466</v>
          </cell>
          <cell r="BI36">
            <v>90</v>
          </cell>
          <cell r="BL36">
            <v>158.52645719920267</v>
          </cell>
          <cell r="BM36">
            <v>161.79513500478927</v>
          </cell>
          <cell r="BN36">
            <v>3405.32</v>
          </cell>
        </row>
        <row r="37">
          <cell r="D37">
            <v>8835</v>
          </cell>
          <cell r="E37">
            <v>9672.5300000000007</v>
          </cell>
          <cell r="F37">
            <v>8699.0499999999993</v>
          </cell>
          <cell r="I37">
            <v>8835</v>
          </cell>
          <cell r="J37">
            <v>8252</v>
          </cell>
          <cell r="K37">
            <v>8699.02</v>
          </cell>
          <cell r="N37">
            <v>8835</v>
          </cell>
          <cell r="O37">
            <v>7967.47</v>
          </cell>
          <cell r="P37">
            <v>6122</v>
          </cell>
          <cell r="S37">
            <v>8835</v>
          </cell>
          <cell r="T37">
            <v>10694</v>
          </cell>
          <cell r="U37">
            <v>6122.12</v>
          </cell>
          <cell r="X37">
            <v>8835</v>
          </cell>
          <cell r="Y37">
            <v>3243.8100000000049</v>
          </cell>
          <cell r="Z37">
            <v>6122</v>
          </cell>
          <cell r="AC37">
            <v>8835</v>
          </cell>
          <cell r="AD37">
            <v>10841</v>
          </cell>
          <cell r="AE37">
            <v>20324</v>
          </cell>
          <cell r="AH37">
            <v>8835</v>
          </cell>
          <cell r="AI37">
            <v>16626.53</v>
          </cell>
          <cell r="AJ37">
            <v>-8079.52</v>
          </cell>
          <cell r="AM37">
            <v>8835</v>
          </cell>
          <cell r="AN37">
            <v>10841.1</v>
          </cell>
          <cell r="AO37">
            <v>-8079.52</v>
          </cell>
          <cell r="AR37">
            <v>8835</v>
          </cell>
          <cell r="AS37">
            <v>6574</v>
          </cell>
          <cell r="AT37">
            <v>-10792.4</v>
          </cell>
          <cell r="AW37">
            <v>8835</v>
          </cell>
          <cell r="AX37">
            <v>14318.93</v>
          </cell>
          <cell r="AY37">
            <v>9672</v>
          </cell>
          <cell r="BB37">
            <v>8835</v>
          </cell>
          <cell r="BC37">
            <v>10446.64</v>
          </cell>
          <cell r="BD37">
            <v>8835</v>
          </cell>
          <cell r="BG37">
            <v>8835</v>
          </cell>
          <cell r="BH37">
            <v>10446.64</v>
          </cell>
          <cell r="BI37">
            <v>8835</v>
          </cell>
          <cell r="BL37">
            <v>70680</v>
          </cell>
          <cell r="BM37">
            <v>78138.44</v>
          </cell>
          <cell r="BN37">
            <v>39929.149999999994</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row>
        <row r="49">
          <cell r="C49">
            <v>22899.100829999999</v>
          </cell>
          <cell r="D49">
            <v>26528</v>
          </cell>
          <cell r="E49">
            <v>6251.4545265900006</v>
          </cell>
          <cell r="F49">
            <v>6931.77</v>
          </cell>
          <cell r="G49">
            <v>29.708370149628141</v>
          </cell>
          <cell r="H49">
            <v>21900</v>
          </cell>
          <cell r="I49">
            <v>32851</v>
          </cell>
          <cell r="J49">
            <v>5979</v>
          </cell>
          <cell r="K49">
            <v>8869.77</v>
          </cell>
          <cell r="L49">
            <v>39.321088508656956</v>
          </cell>
          <cell r="M49">
            <v>21625</v>
          </cell>
          <cell r="N49">
            <v>24874</v>
          </cell>
          <cell r="O49">
            <v>5904</v>
          </cell>
          <cell r="P49">
            <v>6768.22</v>
          </cell>
          <cell r="Q49">
            <v>31.4285497683986</v>
          </cell>
          <cell r="R49">
            <v>28295</v>
          </cell>
          <cell r="S49">
            <v>23782</v>
          </cell>
          <cell r="T49">
            <v>7725</v>
          </cell>
          <cell r="U49">
            <v>6485.35</v>
          </cell>
          <cell r="V49">
            <v>29.527524838034413</v>
          </cell>
          <cell r="W49">
            <v>25686</v>
          </cell>
          <cell r="X49">
            <v>25129</v>
          </cell>
          <cell r="Y49">
            <v>7012</v>
          </cell>
          <cell r="Z49">
            <v>6847.65</v>
          </cell>
          <cell r="AA49">
            <v>27.861981794192324</v>
          </cell>
          <cell r="AB49">
            <v>28947</v>
          </cell>
          <cell r="AC49">
            <v>31314</v>
          </cell>
          <cell r="AD49">
            <v>7902</v>
          </cell>
          <cell r="AE49">
            <v>8611.35</v>
          </cell>
          <cell r="AF49">
            <v>30.68543945813947</v>
          </cell>
          <cell r="AG49">
            <v>35245</v>
          </cell>
          <cell r="AH49">
            <v>36066</v>
          </cell>
          <cell r="AI49">
            <v>9622</v>
          </cell>
          <cell r="AJ49">
            <v>9882.08</v>
          </cell>
          <cell r="AK49">
            <v>30.966844543280686</v>
          </cell>
          <cell r="AL49">
            <v>35331</v>
          </cell>
          <cell r="AM49">
            <v>34759</v>
          </cell>
          <cell r="AN49">
            <v>9645</v>
          </cell>
          <cell r="AO49">
            <v>9510.06</v>
          </cell>
          <cell r="AP49">
            <v>28.272451461246266</v>
          </cell>
          <cell r="AQ49">
            <v>35276</v>
          </cell>
          <cell r="AR49">
            <v>29475</v>
          </cell>
          <cell r="AS49">
            <v>9630</v>
          </cell>
          <cell r="AT49">
            <v>8055.52</v>
          </cell>
          <cell r="AU49">
            <v>24.802088171739001</v>
          </cell>
          <cell r="AV49">
            <v>34456</v>
          </cell>
          <cell r="AW49">
            <v>31541</v>
          </cell>
          <cell r="AX49">
            <v>9406</v>
          </cell>
          <cell r="AY49">
            <v>8613.85</v>
          </cell>
          <cell r="AZ49">
            <v>31.247987620086452</v>
          </cell>
          <cell r="BA49">
            <v>30003</v>
          </cell>
          <cell r="BB49">
            <v>31541</v>
          </cell>
          <cell r="BC49">
            <v>8191</v>
          </cell>
          <cell r="BD49">
            <v>11691.76</v>
          </cell>
          <cell r="BE49">
            <v>43.394396329341191</v>
          </cell>
          <cell r="BF49">
            <v>26974</v>
          </cell>
          <cell r="BG49">
            <v>31541</v>
          </cell>
          <cell r="BH49">
            <v>7364</v>
          </cell>
          <cell r="BI49">
            <v>11212.01</v>
          </cell>
          <cell r="BJ49">
            <v>42.543233156232851</v>
          </cell>
          <cell r="BK49">
            <v>346637.10083000001</v>
          </cell>
          <cell r="BL49">
            <v>359401</v>
          </cell>
          <cell r="BM49">
            <v>94631.454526590009</v>
          </cell>
          <cell r="BN49">
            <v>103479.39</v>
          </cell>
          <cell r="BO49">
            <v>47.031212071049119</v>
          </cell>
        </row>
        <row r="50">
          <cell r="C50">
            <v>44393.745000000003</v>
          </cell>
          <cell r="D50">
            <v>41685</v>
          </cell>
          <cell r="E50">
            <v>10210.561350000002</v>
          </cell>
          <cell r="F50">
            <v>9666.75</v>
          </cell>
          <cell r="G50">
            <v>46.682501873011503</v>
          </cell>
          <cell r="H50">
            <v>34737</v>
          </cell>
          <cell r="I50">
            <v>40685</v>
          </cell>
          <cell r="J50">
            <v>7989</v>
          </cell>
          <cell r="K50">
            <v>9369.76</v>
          </cell>
          <cell r="L50">
            <v>48.698014854181253</v>
          </cell>
          <cell r="M50">
            <v>34301</v>
          </cell>
          <cell r="N50">
            <v>36600</v>
          </cell>
          <cell r="O50">
            <v>7889</v>
          </cell>
          <cell r="P50">
            <v>8425.32</v>
          </cell>
          <cell r="Q50">
            <v>46.244468984618024</v>
          </cell>
          <cell r="R50">
            <v>40422</v>
          </cell>
          <cell r="S50">
            <v>39652</v>
          </cell>
          <cell r="T50">
            <v>9297</v>
          </cell>
          <cell r="U50">
            <v>9123.93</v>
          </cell>
          <cell r="V50">
            <v>49.231579130339775</v>
          </cell>
          <cell r="W50">
            <v>45270</v>
          </cell>
          <cell r="X50">
            <v>46396</v>
          </cell>
          <cell r="Y50">
            <v>10412</v>
          </cell>
          <cell r="Z50">
            <v>10671.08</v>
          </cell>
          <cell r="AA50">
            <v>51.441939883136904</v>
          </cell>
          <cell r="AB50">
            <v>59179</v>
          </cell>
          <cell r="AC50">
            <v>61008</v>
          </cell>
          <cell r="AD50">
            <v>13611</v>
          </cell>
          <cell r="AE50">
            <v>14031.84</v>
          </cell>
          <cell r="AF50">
            <v>59.783396897942545</v>
          </cell>
          <cell r="AG50">
            <v>81993</v>
          </cell>
          <cell r="AH50">
            <v>72690</v>
          </cell>
          <cell r="AI50">
            <v>18858</v>
          </cell>
          <cell r="AJ50">
            <v>16718.7</v>
          </cell>
          <cell r="AK50">
            <v>62.412796812817419</v>
          </cell>
          <cell r="AL50">
            <v>83440</v>
          </cell>
          <cell r="AM50">
            <v>76317</v>
          </cell>
          <cell r="AN50">
            <v>19191</v>
          </cell>
          <cell r="AO50">
            <v>17552.91</v>
          </cell>
          <cell r="AP50">
            <v>62.075107976867322</v>
          </cell>
          <cell r="AQ50">
            <v>77092</v>
          </cell>
          <cell r="AR50">
            <v>63668</v>
          </cell>
          <cell r="AS50">
            <v>17731</v>
          </cell>
          <cell r="AT50">
            <v>14643.64</v>
          </cell>
          <cell r="AU50">
            <v>53.574193374665946</v>
          </cell>
          <cell r="AV50">
            <v>63155</v>
          </cell>
          <cell r="AW50">
            <v>60635</v>
          </cell>
          <cell r="AX50">
            <v>14526</v>
          </cell>
          <cell r="AY50">
            <v>12933.45</v>
          </cell>
          <cell r="AZ50">
            <v>60.071707597854918</v>
          </cell>
          <cell r="BA50">
            <v>51821</v>
          </cell>
          <cell r="BB50">
            <v>42248</v>
          </cell>
          <cell r="BC50">
            <v>11919</v>
          </cell>
          <cell r="BD50">
            <v>9467.7800000000007</v>
          </cell>
          <cell r="BE50">
            <v>58.125184874354225</v>
          </cell>
          <cell r="BF50">
            <v>40884</v>
          </cell>
          <cell r="BG50">
            <v>38922</v>
          </cell>
          <cell r="BH50">
            <v>9403</v>
          </cell>
          <cell r="BI50">
            <v>8866.43</v>
          </cell>
          <cell r="BJ50">
            <v>52.49889733701832</v>
          </cell>
          <cell r="BK50">
            <v>656687.745</v>
          </cell>
          <cell r="BL50">
            <v>620506</v>
          </cell>
          <cell r="BM50">
            <v>151036.56135</v>
          </cell>
          <cell r="BN50">
            <v>141471.59</v>
          </cell>
          <cell r="BO50">
            <v>81.199410344874963</v>
          </cell>
        </row>
        <row r="51">
          <cell r="C51">
            <v>30672.042000000001</v>
          </cell>
          <cell r="D51">
            <v>35155</v>
          </cell>
          <cell r="E51">
            <v>5751.0078750000002</v>
          </cell>
          <cell r="F51">
            <v>6015.02</v>
          </cell>
          <cell r="G51">
            <v>39.369637839647815</v>
          </cell>
          <cell r="H51">
            <v>29333</v>
          </cell>
          <cell r="I51">
            <v>32245</v>
          </cell>
          <cell r="J51">
            <v>5500</v>
          </cell>
          <cell r="K51">
            <v>5723.49</v>
          </cell>
          <cell r="L51">
            <v>38.595735258033045</v>
          </cell>
          <cell r="M51">
            <v>28965</v>
          </cell>
          <cell r="N51">
            <v>28880</v>
          </cell>
          <cell r="O51">
            <v>5431</v>
          </cell>
          <cell r="P51">
            <v>5129.09</v>
          </cell>
          <cell r="Q51">
            <v>36.490171155075643</v>
          </cell>
          <cell r="R51">
            <v>30720</v>
          </cell>
          <cell r="S51">
            <v>30225</v>
          </cell>
          <cell r="T51">
            <v>5760</v>
          </cell>
          <cell r="U51">
            <v>5431.43</v>
          </cell>
          <cell r="V51">
            <v>37.527097730619381</v>
          </cell>
          <cell r="W51">
            <v>34405</v>
          </cell>
          <cell r="X51">
            <v>35225</v>
          </cell>
          <cell r="Y51">
            <v>6451</v>
          </cell>
          <cell r="Z51">
            <v>6414.47</v>
          </cell>
          <cell r="AA51">
            <v>39.056003370624566</v>
          </cell>
          <cell r="AB51">
            <v>38773</v>
          </cell>
          <cell r="AC51">
            <v>30364.63</v>
          </cell>
          <cell r="AD51">
            <v>7270</v>
          </cell>
          <cell r="AE51">
            <v>8685.92</v>
          </cell>
          <cell r="AF51">
            <v>29.755125999035752</v>
          </cell>
          <cell r="AG51">
            <v>47208</v>
          </cell>
          <cell r="AH51">
            <v>50698</v>
          </cell>
          <cell r="AI51">
            <v>8852</v>
          </cell>
          <cell r="AJ51">
            <v>9480.5300000000007</v>
          </cell>
          <cell r="AK51">
            <v>43.530113809550386</v>
          </cell>
          <cell r="AL51">
            <v>47324</v>
          </cell>
          <cell r="AM51">
            <v>54340</v>
          </cell>
          <cell r="AN51">
            <v>8873</v>
          </cell>
          <cell r="AO51">
            <v>10161.58</v>
          </cell>
          <cell r="AP51">
            <v>44.19934441163791</v>
          </cell>
          <cell r="AQ51">
            <v>47250</v>
          </cell>
          <cell r="AR51">
            <v>45460</v>
          </cell>
          <cell r="AS51">
            <v>8859</v>
          </cell>
          <cell r="AT51">
            <v>8528.369999999999</v>
          </cell>
          <cell r="AU51">
            <v>38.252855921535371</v>
          </cell>
          <cell r="AV51">
            <v>46152</v>
          </cell>
          <cell r="AW51">
            <v>39058</v>
          </cell>
          <cell r="AX51">
            <v>8653</v>
          </cell>
          <cell r="AY51">
            <v>7323.38</v>
          </cell>
          <cell r="AZ51">
            <v>38.69515552662682</v>
          </cell>
          <cell r="BA51">
            <v>40188</v>
          </cell>
          <cell r="BB51">
            <v>32695</v>
          </cell>
          <cell r="BC51">
            <v>7535</v>
          </cell>
          <cell r="BD51">
            <v>6130.31</v>
          </cell>
          <cell r="BE51">
            <v>44.982080085850491</v>
          </cell>
          <cell r="BF51">
            <v>36130</v>
          </cell>
          <cell r="BG51">
            <v>30523</v>
          </cell>
          <cell r="BH51">
            <v>6774</v>
          </cell>
          <cell r="BI51">
            <v>5723.06</v>
          </cell>
          <cell r="BJ51">
            <v>41.170131119105143</v>
          </cell>
          <cell r="BK51">
            <v>457120.04200000002</v>
          </cell>
          <cell r="BL51">
            <v>444868.63</v>
          </cell>
          <cell r="BM51">
            <v>85709.007874999996</v>
          </cell>
          <cell r="BN51">
            <v>84746.65</v>
          </cell>
          <cell r="BO51">
            <v>58.215505469620517</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17280</v>
          </cell>
          <cell r="AS52">
            <v>0</v>
          </cell>
          <cell r="AT52">
            <v>12232.51</v>
          </cell>
          <cell r="AU52">
            <v>14.540460851828666</v>
          </cell>
          <cell r="AV52">
            <v>0</v>
          </cell>
          <cell r="AW52">
            <v>11400</v>
          </cell>
          <cell r="AX52">
            <v>0</v>
          </cell>
          <cell r="AY52">
            <v>8070.06</v>
          </cell>
          <cell r="AZ52">
            <v>11.294095268665721</v>
          </cell>
          <cell r="BA52">
            <v>0</v>
          </cell>
          <cell r="BB52">
            <v>0</v>
          </cell>
          <cell r="BC52">
            <v>0</v>
          </cell>
          <cell r="BD52">
            <v>0</v>
          </cell>
          <cell r="BE52">
            <v>0</v>
          </cell>
          <cell r="BF52">
            <v>0</v>
          </cell>
          <cell r="BG52">
            <v>0</v>
          </cell>
          <cell r="BH52">
            <v>0</v>
          </cell>
          <cell r="BI52">
            <v>0</v>
          </cell>
          <cell r="BJ52">
            <v>0</v>
          </cell>
          <cell r="BK52">
            <v>0</v>
          </cell>
          <cell r="BL52">
            <v>28680</v>
          </cell>
          <cell r="BM52">
            <v>0</v>
          </cell>
          <cell r="BN52">
            <v>20302.57</v>
          </cell>
          <cell r="BO52">
            <v>3.7530645774432703</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row>
        <row r="54">
          <cell r="C54">
            <v>15739.6005</v>
          </cell>
          <cell r="D54">
            <v>14033</v>
          </cell>
          <cell r="E54">
            <v>4879.2761550000005</v>
          </cell>
          <cell r="F54">
            <v>4198.67</v>
          </cell>
          <cell r="G54">
            <v>15.71537840431739</v>
          </cell>
          <cell r="H54">
            <v>15053</v>
          </cell>
          <cell r="I54">
            <v>15117</v>
          </cell>
          <cell r="J54">
            <v>4666</v>
          </cell>
          <cell r="K54">
            <v>4523.01</v>
          </cell>
          <cell r="L54">
            <v>18.09433183115787</v>
          </cell>
          <cell r="M54">
            <v>14864</v>
          </cell>
          <cell r="N54">
            <v>13135</v>
          </cell>
          <cell r="O54">
            <v>4608</v>
          </cell>
          <cell r="P54">
            <v>4021.94</v>
          </cell>
          <cell r="Q54">
            <v>16.596204921119064</v>
          </cell>
          <cell r="R54">
            <v>15764</v>
          </cell>
          <cell r="S54">
            <v>12924</v>
          </cell>
          <cell r="T54">
            <v>4887</v>
          </cell>
          <cell r="U54">
            <v>3957.33</v>
          </cell>
          <cell r="V54">
            <v>16.046326255435066</v>
          </cell>
          <cell r="W54">
            <v>17655</v>
          </cell>
          <cell r="X54">
            <v>13569</v>
          </cell>
          <cell r="Y54">
            <v>5473</v>
          </cell>
          <cell r="Z54">
            <v>4154.83</v>
          </cell>
          <cell r="AA54">
            <v>15.044738388531007</v>
          </cell>
          <cell r="AB54">
            <v>19896</v>
          </cell>
          <cell r="AC54">
            <v>13858</v>
          </cell>
          <cell r="AD54">
            <v>6168</v>
          </cell>
          <cell r="AE54">
            <v>4272.42</v>
          </cell>
          <cell r="AF54">
            <v>13.579830746978883</v>
          </cell>
          <cell r="AG54">
            <v>24225</v>
          </cell>
          <cell r="AH54">
            <v>17920</v>
          </cell>
          <cell r="AI54">
            <v>7510</v>
          </cell>
          <cell r="AJ54">
            <v>5524.74</v>
          </cell>
          <cell r="AK54">
            <v>15.386398663993509</v>
          </cell>
          <cell r="AL54">
            <v>24285</v>
          </cell>
          <cell r="AM54">
            <v>24563</v>
          </cell>
          <cell r="AN54">
            <v>7528</v>
          </cell>
          <cell r="AO54">
            <v>7597.34</v>
          </cell>
          <cell r="AP54">
            <v>19.97917734234564</v>
          </cell>
          <cell r="AQ54">
            <v>24247</v>
          </cell>
          <cell r="AR54">
            <v>18615</v>
          </cell>
          <cell r="AS54">
            <v>7516</v>
          </cell>
          <cell r="AT54">
            <v>5757.62</v>
          </cell>
          <cell r="AU54">
            <v>15.663812428055012</v>
          </cell>
          <cell r="AV54">
            <v>23683</v>
          </cell>
          <cell r="AW54">
            <v>16440</v>
          </cell>
          <cell r="AX54">
            <v>7342</v>
          </cell>
          <cell r="AY54">
            <v>5091.47</v>
          </cell>
          <cell r="AZ54">
            <v>16.287274229549514</v>
          </cell>
          <cell r="BA54">
            <v>20623</v>
          </cell>
          <cell r="BB54">
            <v>12272</v>
          </cell>
          <cell r="BC54">
            <v>6393</v>
          </cell>
          <cell r="BD54">
            <v>3800.64</v>
          </cell>
          <cell r="BE54">
            <v>16.883929861249648</v>
          </cell>
          <cell r="BF54">
            <v>18540</v>
          </cell>
          <cell r="BG54">
            <v>13821</v>
          </cell>
          <cell r="BH54">
            <v>5747</v>
          </cell>
          <cell r="BI54">
            <v>4280.3599999999997</v>
          </cell>
          <cell r="BJ54">
            <v>18.642085712320288</v>
          </cell>
          <cell r="BK54">
            <v>234574.6005</v>
          </cell>
          <cell r="BL54">
            <v>186267</v>
          </cell>
          <cell r="BM54">
            <v>72717.276155</v>
          </cell>
          <cell r="BN54">
            <v>57180.37</v>
          </cell>
          <cell r="BO54">
            <v>24.374898174568536</v>
          </cell>
        </row>
        <row r="55">
          <cell r="C55">
            <v>0</v>
          </cell>
          <cell r="D55">
            <v>0</v>
          </cell>
          <cell r="E55">
            <v>0</v>
          </cell>
          <cell r="F55">
            <v>937.11</v>
          </cell>
          <cell r="G55">
            <v>0</v>
          </cell>
          <cell r="H55">
            <v>0</v>
          </cell>
          <cell r="I55">
            <v>0</v>
          </cell>
          <cell r="J55">
            <v>0</v>
          </cell>
          <cell r="K55">
            <v>1313.74</v>
          </cell>
          <cell r="L55">
            <v>0</v>
          </cell>
          <cell r="M55">
            <v>0</v>
          </cell>
          <cell r="N55">
            <v>0</v>
          </cell>
          <cell r="O55">
            <v>0</v>
          </cell>
          <cell r="P55">
            <v>-828.41</v>
          </cell>
          <cell r="Q55">
            <v>0</v>
          </cell>
          <cell r="R55">
            <v>0</v>
          </cell>
          <cell r="S55">
            <v>0</v>
          </cell>
          <cell r="T55">
            <v>0</v>
          </cell>
          <cell r="U55">
            <v>14.360000000000001</v>
          </cell>
          <cell r="V55">
            <v>0</v>
          </cell>
          <cell r="W55">
            <v>0</v>
          </cell>
          <cell r="X55">
            <v>0</v>
          </cell>
          <cell r="Y55">
            <v>0</v>
          </cell>
          <cell r="Z55">
            <v>78.33</v>
          </cell>
          <cell r="AA55">
            <v>0</v>
          </cell>
          <cell r="AB55">
            <v>0</v>
          </cell>
          <cell r="AC55">
            <v>0</v>
          </cell>
          <cell r="AD55">
            <v>0</v>
          </cell>
          <cell r="AE55">
            <v>28.12</v>
          </cell>
          <cell r="AF55">
            <v>0</v>
          </cell>
          <cell r="AG55">
            <v>0</v>
          </cell>
          <cell r="AH55">
            <v>0</v>
          </cell>
          <cell r="AI55">
            <v>0</v>
          </cell>
          <cell r="AJ55">
            <v>-19383.3</v>
          </cell>
          <cell r="AK55">
            <v>0</v>
          </cell>
          <cell r="AL55">
            <v>0</v>
          </cell>
          <cell r="AM55">
            <v>0</v>
          </cell>
          <cell r="AN55">
            <v>0</v>
          </cell>
          <cell r="AO55">
            <v>-52531.03</v>
          </cell>
          <cell r="AP55">
            <v>0</v>
          </cell>
          <cell r="AQ55">
            <v>0</v>
          </cell>
          <cell r="AR55">
            <v>0</v>
          </cell>
          <cell r="AS55">
            <v>0</v>
          </cell>
          <cell r="AT55">
            <v>16475.969999999998</v>
          </cell>
          <cell r="AU55">
            <v>0</v>
          </cell>
          <cell r="AV55">
            <v>0</v>
          </cell>
          <cell r="AW55">
            <v>0</v>
          </cell>
          <cell r="AX55">
            <v>0</v>
          </cell>
          <cell r="AY55">
            <v>25844.649999999998</v>
          </cell>
          <cell r="AZ55">
            <v>0</v>
          </cell>
          <cell r="BA55">
            <v>0</v>
          </cell>
          <cell r="BB55">
            <v>0</v>
          </cell>
          <cell r="BC55">
            <v>0</v>
          </cell>
          <cell r="BD55">
            <v>2127.75</v>
          </cell>
          <cell r="BE55">
            <v>0</v>
          </cell>
          <cell r="BF55">
            <v>0</v>
          </cell>
          <cell r="BG55">
            <v>0</v>
          </cell>
          <cell r="BH55">
            <v>0</v>
          </cell>
          <cell r="BI55">
            <v>-15450.560000000003</v>
          </cell>
          <cell r="BJ55">
            <v>0</v>
          </cell>
          <cell r="BK55">
            <v>0</v>
          </cell>
          <cell r="BL55">
            <v>0</v>
          </cell>
          <cell r="BM55">
            <v>0</v>
          </cell>
          <cell r="BN55">
            <v>-41373.270000000004</v>
          </cell>
          <cell r="BO55">
            <v>0</v>
          </cell>
        </row>
        <row r="56">
          <cell r="C56">
            <v>3551.4996000000001</v>
          </cell>
          <cell r="D56">
            <v>3321</v>
          </cell>
          <cell r="E56">
            <v>497.20994400000006</v>
          </cell>
          <cell r="F56">
            <v>503.13</v>
          </cell>
          <cell r="G56">
            <v>3.7191457051762309</v>
          </cell>
          <cell r="H56">
            <v>3242</v>
          </cell>
          <cell r="I56">
            <v>2944</v>
          </cell>
          <cell r="J56">
            <v>454</v>
          </cell>
          <cell r="K56">
            <v>424.23</v>
          </cell>
          <cell r="L56">
            <v>3.523828333064019</v>
          </cell>
          <cell r="M56">
            <v>3659</v>
          </cell>
          <cell r="N56">
            <v>4285</v>
          </cell>
          <cell r="O56">
            <v>512</v>
          </cell>
          <cell r="P56">
            <v>608.47</v>
          </cell>
          <cell r="Q56">
            <v>5.414140699428641</v>
          </cell>
          <cell r="R56">
            <v>1617</v>
          </cell>
          <cell r="S56">
            <v>3050</v>
          </cell>
          <cell r="T56">
            <v>226</v>
          </cell>
          <cell r="U56">
            <v>433.1</v>
          </cell>
          <cell r="V56">
            <v>3.7868535344380185</v>
          </cell>
          <cell r="W56">
            <v>2716</v>
          </cell>
          <cell r="X56">
            <v>4040</v>
          </cell>
          <cell r="Y56">
            <v>380</v>
          </cell>
          <cell r="Z56">
            <v>568.02</v>
          </cell>
          <cell r="AA56">
            <v>4.4793826435010144</v>
          </cell>
          <cell r="AB56">
            <v>4081</v>
          </cell>
          <cell r="AC56">
            <v>3648</v>
          </cell>
          <cell r="AD56">
            <v>571</v>
          </cell>
          <cell r="AE56">
            <v>511.45</v>
          </cell>
          <cell r="AF56">
            <v>3.5747743227723316</v>
          </cell>
          <cell r="AG56">
            <v>3727</v>
          </cell>
          <cell r="AH56">
            <v>3692</v>
          </cell>
          <cell r="AI56">
            <v>522</v>
          </cell>
          <cell r="AJ56">
            <v>517.25</v>
          </cell>
          <cell r="AK56">
            <v>3.1700102604611629</v>
          </cell>
          <cell r="AL56">
            <v>5604</v>
          </cell>
          <cell r="AM56">
            <v>4570</v>
          </cell>
          <cell r="AN56">
            <v>785</v>
          </cell>
          <cell r="AO56">
            <v>640.26</v>
          </cell>
          <cell r="AP56">
            <v>3.7171697453291359</v>
          </cell>
          <cell r="AQ56">
            <v>4601</v>
          </cell>
          <cell r="AR56">
            <v>3620</v>
          </cell>
          <cell r="AS56">
            <v>644</v>
          </cell>
          <cell r="AT56">
            <v>506.8</v>
          </cell>
          <cell r="AU56">
            <v>3.0460919145613294</v>
          </cell>
          <cell r="AV56">
            <v>4251</v>
          </cell>
          <cell r="AW56">
            <v>3308</v>
          </cell>
          <cell r="AX56">
            <v>595</v>
          </cell>
          <cell r="AY56">
            <v>463.12</v>
          </cell>
          <cell r="AZ56">
            <v>3.2772690481356324</v>
          </cell>
          <cell r="BA56">
            <v>4848</v>
          </cell>
          <cell r="BB56">
            <v>3465</v>
          </cell>
          <cell r="BC56">
            <v>637</v>
          </cell>
          <cell r="BD56">
            <v>485.1</v>
          </cell>
          <cell r="BE56">
            <v>4.7671786969711558</v>
          </cell>
          <cell r="BF56">
            <v>3803</v>
          </cell>
          <cell r="BG56">
            <v>3707</v>
          </cell>
          <cell r="BH56">
            <v>532</v>
          </cell>
          <cell r="BI56">
            <v>518.98</v>
          </cell>
          <cell r="BJ56">
            <v>5.0000876735092472</v>
          </cell>
          <cell r="BK56">
            <v>45700.499599999996</v>
          </cell>
          <cell r="BL56">
            <v>43650</v>
          </cell>
          <cell r="BM56">
            <v>6355.2099440000002</v>
          </cell>
          <cell r="BN56">
            <v>6179.91</v>
          </cell>
          <cell r="BO56">
            <v>5.7120386612761065</v>
          </cell>
        </row>
        <row r="57">
          <cell r="C57">
            <v>7398.9574999999995</v>
          </cell>
          <cell r="D57">
            <v>8455</v>
          </cell>
          <cell r="E57">
            <v>1990.3195674999999</v>
          </cell>
          <cell r="F57">
            <v>2305.6799999999998</v>
          </cell>
          <cell r="G57">
            <v>9.4686470753583354</v>
          </cell>
          <cell r="H57">
            <v>5789</v>
          </cell>
          <cell r="I57">
            <v>7549</v>
          </cell>
          <cell r="J57">
            <v>1557</v>
          </cell>
          <cell r="K57">
            <v>2042</v>
          </cell>
          <cell r="L57">
            <v>9.035794866270475</v>
          </cell>
          <cell r="M57">
            <v>5717</v>
          </cell>
          <cell r="N57">
            <v>7636</v>
          </cell>
          <cell r="O57">
            <v>1538</v>
          </cell>
          <cell r="P57">
            <v>2065.2399999999998</v>
          </cell>
          <cell r="Q57">
            <v>9.6481629826924387</v>
          </cell>
          <cell r="R57">
            <v>3368</v>
          </cell>
          <cell r="S57">
            <v>5918</v>
          </cell>
          <cell r="T57">
            <v>906</v>
          </cell>
          <cell r="U57">
            <v>1600.82</v>
          </cell>
          <cell r="V57">
            <v>7.3477374481325226</v>
          </cell>
          <cell r="W57">
            <v>7545</v>
          </cell>
          <cell r="X57">
            <v>5645</v>
          </cell>
          <cell r="Y57">
            <v>2030</v>
          </cell>
          <cell r="Z57">
            <v>1526.97</v>
          </cell>
          <cell r="AA57">
            <v>6.2589393620206009</v>
          </cell>
          <cell r="AB57">
            <v>9863</v>
          </cell>
          <cell r="AC57">
            <v>10174</v>
          </cell>
          <cell r="AD57">
            <v>2653</v>
          </cell>
          <cell r="AE57">
            <v>2888.49</v>
          </cell>
          <cell r="AF57">
            <v>9.9697790460212996</v>
          </cell>
          <cell r="AG57">
            <v>13665</v>
          </cell>
          <cell r="AH57">
            <v>12429</v>
          </cell>
          <cell r="AI57">
            <v>3676</v>
          </cell>
          <cell r="AJ57">
            <v>3344.64</v>
          </cell>
          <cell r="AK57">
            <v>10.671738225154874</v>
          </cell>
          <cell r="AL57">
            <v>13907</v>
          </cell>
          <cell r="AM57">
            <v>11912</v>
          </cell>
          <cell r="AN57">
            <v>3741</v>
          </cell>
          <cell r="AO57">
            <v>3205.52</v>
          </cell>
          <cell r="AP57">
            <v>9.6890428897944574</v>
          </cell>
          <cell r="AQ57">
            <v>12849</v>
          </cell>
          <cell r="AR57">
            <v>9735</v>
          </cell>
          <cell r="AS57">
            <v>3456</v>
          </cell>
          <cell r="AT57">
            <v>2619.69</v>
          </cell>
          <cell r="AU57">
            <v>8.191631156976392</v>
          </cell>
          <cell r="AV57">
            <v>10526</v>
          </cell>
          <cell r="AW57">
            <v>9428</v>
          </cell>
          <cell r="AX57">
            <v>2831</v>
          </cell>
          <cell r="AY57">
            <v>2536.13</v>
          </cell>
          <cell r="AZ57">
            <v>9.3404149292088086</v>
          </cell>
          <cell r="BA57">
            <v>8637</v>
          </cell>
          <cell r="BB57">
            <v>15972</v>
          </cell>
          <cell r="BC57">
            <v>2323</v>
          </cell>
          <cell r="BD57">
            <v>4296.47</v>
          </cell>
          <cell r="BE57">
            <v>21.974423707943235</v>
          </cell>
          <cell r="BF57">
            <v>6814</v>
          </cell>
          <cell r="BG57">
            <v>6930</v>
          </cell>
          <cell r="BH57">
            <v>1833</v>
          </cell>
          <cell r="BI57">
            <v>1864.17</v>
          </cell>
          <cell r="BJ57">
            <v>9.3473449089342004</v>
          </cell>
          <cell r="BK57">
            <v>106078.9575</v>
          </cell>
          <cell r="BL57">
            <v>111783</v>
          </cell>
          <cell r="BM57">
            <v>28534.319567499999</v>
          </cell>
          <cell r="BN57">
            <v>30295.82</v>
          </cell>
          <cell r="BO57">
            <v>14.627922512564194</v>
          </cell>
        </row>
        <row r="58">
          <cell r="C58">
            <v>16143.18</v>
          </cell>
          <cell r="D58">
            <v>4784</v>
          </cell>
          <cell r="E58">
            <v>1937.1815999999999</v>
          </cell>
          <cell r="F58">
            <v>595.61</v>
          </cell>
          <cell r="G58">
            <v>5.3575408170921675</v>
          </cell>
          <cell r="H58">
            <v>19298</v>
          </cell>
          <cell r="I58">
            <v>34577</v>
          </cell>
          <cell r="J58">
            <v>2316</v>
          </cell>
          <cell r="K58">
            <v>4304.84</v>
          </cell>
          <cell r="L58">
            <v>41.387028625120443</v>
          </cell>
          <cell r="M58">
            <v>19056</v>
          </cell>
          <cell r="N58">
            <v>18850</v>
          </cell>
          <cell r="O58">
            <v>2287</v>
          </cell>
          <cell r="P58">
            <v>2346.83</v>
          </cell>
          <cell r="Q58">
            <v>23.817165037159832</v>
          </cell>
          <cell r="R58">
            <v>16169</v>
          </cell>
          <cell r="S58">
            <v>47267</v>
          </cell>
          <cell r="T58">
            <v>1940</v>
          </cell>
          <cell r="U58">
            <v>5950.92</v>
          </cell>
          <cell r="V58">
            <v>58.686297053207156</v>
          </cell>
          <cell r="W58">
            <v>36216</v>
          </cell>
          <cell r="X58">
            <v>29830</v>
          </cell>
          <cell r="Y58">
            <v>4346</v>
          </cell>
          <cell r="Z58">
            <v>3681.02</v>
          </cell>
          <cell r="AA58">
            <v>33.074253528622592</v>
          </cell>
          <cell r="AB58">
            <v>45915</v>
          </cell>
          <cell r="AC58">
            <v>11408</v>
          </cell>
          <cell r="AD58">
            <v>5510</v>
          </cell>
          <cell r="AE58">
            <v>1407.75</v>
          </cell>
          <cell r="AF58">
            <v>11.179009176038036</v>
          </cell>
          <cell r="AG58">
            <v>12423</v>
          </cell>
          <cell r="AH58">
            <v>0</v>
          </cell>
          <cell r="AI58">
            <v>1491</v>
          </cell>
          <cell r="AJ58">
            <v>0</v>
          </cell>
          <cell r="AK58">
            <v>0</v>
          </cell>
          <cell r="AL58">
            <v>18681</v>
          </cell>
          <cell r="AM58">
            <v>134108</v>
          </cell>
          <cell r="AN58">
            <v>2242</v>
          </cell>
          <cell r="AO58">
            <v>16213.66</v>
          </cell>
          <cell r="AP58">
            <v>109.08144424652075</v>
          </cell>
          <cell r="AQ58">
            <v>12434</v>
          </cell>
          <cell r="AR58">
            <v>185200</v>
          </cell>
          <cell r="AS58">
            <v>1492</v>
          </cell>
          <cell r="AT58">
            <v>22316.6</v>
          </cell>
          <cell r="AU58">
            <v>155.8387355184415</v>
          </cell>
          <cell r="AV58">
            <v>6073</v>
          </cell>
          <cell r="AW58">
            <v>149222</v>
          </cell>
          <cell r="AX58">
            <v>729</v>
          </cell>
          <cell r="AY58">
            <v>17936.48</v>
          </cell>
          <cell r="AZ58">
            <v>147.83574422638915</v>
          </cell>
          <cell r="BA58">
            <v>5288</v>
          </cell>
          <cell r="BB58">
            <v>32263</v>
          </cell>
          <cell r="BC58">
            <v>635</v>
          </cell>
          <cell r="BD58">
            <v>3874.79</v>
          </cell>
          <cell r="BE58">
            <v>44.387730534020321</v>
          </cell>
          <cell r="BF58">
            <v>9508</v>
          </cell>
          <cell r="BG58">
            <v>19003</v>
          </cell>
          <cell r="BH58">
            <v>1141</v>
          </cell>
          <cell r="BI58">
            <v>2282.2600000000002</v>
          </cell>
          <cell r="BJ58">
            <v>25.631687634123612</v>
          </cell>
          <cell r="BK58">
            <v>217204.18</v>
          </cell>
          <cell r="BL58">
            <v>666512</v>
          </cell>
          <cell r="BM58">
            <v>26066.1816</v>
          </cell>
          <cell r="BN58">
            <v>80910.759999999995</v>
          </cell>
          <cell r="BO58">
            <v>87.219755147868511</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2730</v>
          </cell>
          <cell r="AD59">
            <v>0</v>
          </cell>
          <cell r="AE59">
            <v>2675.4</v>
          </cell>
          <cell r="AF59">
            <v>2.675201179048373</v>
          </cell>
          <cell r="AG59">
            <v>0</v>
          </cell>
          <cell r="AH59">
            <v>596</v>
          </cell>
          <cell r="AI59">
            <v>0</v>
          </cell>
          <cell r="AJ59">
            <v>-584.08000000000004</v>
          </cell>
          <cell r="AK59">
            <v>0.51173513413728411</v>
          </cell>
          <cell r="AL59">
            <v>0</v>
          </cell>
          <cell r="AM59">
            <v>2950</v>
          </cell>
          <cell r="AN59">
            <v>0</v>
          </cell>
          <cell r="AO59">
            <v>3083.32</v>
          </cell>
          <cell r="AP59">
            <v>2.399485940639158</v>
          </cell>
          <cell r="AQ59">
            <v>0</v>
          </cell>
          <cell r="AR59">
            <v>350</v>
          </cell>
          <cell r="AS59">
            <v>0</v>
          </cell>
          <cell r="AT59">
            <v>648.97</v>
          </cell>
          <cell r="AU59">
            <v>0.29451164919791856</v>
          </cell>
          <cell r="AV59">
            <v>0</v>
          </cell>
          <cell r="AW59">
            <v>227</v>
          </cell>
          <cell r="AX59">
            <v>0</v>
          </cell>
          <cell r="AY59">
            <v>420.9</v>
          </cell>
          <cell r="AZ59">
            <v>0.22489119526202797</v>
          </cell>
          <cell r="BA59">
            <v>0</v>
          </cell>
          <cell r="BB59">
            <v>0</v>
          </cell>
          <cell r="BC59">
            <v>0</v>
          </cell>
          <cell r="BD59">
            <v>0</v>
          </cell>
          <cell r="BE59">
            <v>0</v>
          </cell>
          <cell r="BF59">
            <v>0</v>
          </cell>
          <cell r="BG59">
            <v>0</v>
          </cell>
          <cell r="BH59">
            <v>0</v>
          </cell>
          <cell r="BI59">
            <v>0</v>
          </cell>
          <cell r="BJ59">
            <v>0</v>
          </cell>
          <cell r="BK59">
            <v>0</v>
          </cell>
          <cell r="BL59">
            <v>6853</v>
          </cell>
          <cell r="BM59">
            <v>0</v>
          </cell>
          <cell r="BN59">
            <v>6244.51</v>
          </cell>
          <cell r="BO59">
            <v>0.8967835268207367</v>
          </cell>
        </row>
        <row r="60">
          <cell r="C60">
            <v>1372.1703</v>
          </cell>
          <cell r="D60">
            <v>1850</v>
          </cell>
          <cell r="E60">
            <v>1344.7268939999999</v>
          </cell>
          <cell r="F60">
            <v>1633.92</v>
          </cell>
          <cell r="G60">
            <v>2.0717914949039526</v>
          </cell>
          <cell r="H60">
            <v>1312</v>
          </cell>
          <cell r="I60">
            <v>891</v>
          </cell>
          <cell r="J60">
            <v>1286</v>
          </cell>
          <cell r="K60">
            <v>786.93</v>
          </cell>
          <cell r="L60">
            <v>1.0664847298777314</v>
          </cell>
          <cell r="M60">
            <v>1296</v>
          </cell>
          <cell r="N60">
            <v>1534</v>
          </cell>
          <cell r="O60">
            <v>1270</v>
          </cell>
          <cell r="P60">
            <v>1354.83</v>
          </cell>
          <cell r="Q60">
            <v>1.9382244650930069</v>
          </cell>
          <cell r="R60">
            <v>1374</v>
          </cell>
          <cell r="S60">
            <v>1326</v>
          </cell>
          <cell r="T60">
            <v>1347</v>
          </cell>
          <cell r="U60">
            <v>1171.1199999999999</v>
          </cell>
          <cell r="V60">
            <v>1.6463500939884632</v>
          </cell>
          <cell r="W60">
            <v>1539</v>
          </cell>
          <cell r="X60">
            <v>2144</v>
          </cell>
          <cell r="Y60">
            <v>1508</v>
          </cell>
          <cell r="Z60">
            <v>2049.02</v>
          </cell>
          <cell r="AA60">
            <v>2.3771773236797462</v>
          </cell>
          <cell r="AB60">
            <v>1735</v>
          </cell>
          <cell r="AC60">
            <v>862</v>
          </cell>
          <cell r="AD60">
            <v>1700</v>
          </cell>
          <cell r="AE60">
            <v>823.81</v>
          </cell>
          <cell r="AF60">
            <v>0.84469722210245335</v>
          </cell>
          <cell r="AG60">
            <v>2112</v>
          </cell>
          <cell r="AH60">
            <v>115</v>
          </cell>
          <cell r="AI60">
            <v>2070</v>
          </cell>
          <cell r="AJ60">
            <v>-109.91</v>
          </cell>
          <cell r="AK60">
            <v>9.8740839640583347E-2</v>
          </cell>
          <cell r="AL60">
            <v>2117</v>
          </cell>
          <cell r="AM60">
            <v>0</v>
          </cell>
          <cell r="AN60">
            <v>2075</v>
          </cell>
          <cell r="AO60">
            <v>0</v>
          </cell>
          <cell r="AP60">
            <v>0</v>
          </cell>
          <cell r="AQ60">
            <v>2114</v>
          </cell>
          <cell r="AR60">
            <v>-233</v>
          </cell>
          <cell r="AS60">
            <v>2072</v>
          </cell>
          <cell r="AT60">
            <v>-222.68</v>
          </cell>
          <cell r="AU60">
            <v>-0.19606061218032866</v>
          </cell>
          <cell r="AV60">
            <v>2065</v>
          </cell>
          <cell r="AW60">
            <v>233</v>
          </cell>
          <cell r="AX60">
            <v>2023</v>
          </cell>
          <cell r="AY60">
            <v>222.68</v>
          </cell>
          <cell r="AZ60">
            <v>0.23083545592974677</v>
          </cell>
          <cell r="BA60">
            <v>1798</v>
          </cell>
          <cell r="BB60">
            <v>1162</v>
          </cell>
          <cell r="BC60">
            <v>1762</v>
          </cell>
          <cell r="BD60">
            <v>1110.52</v>
          </cell>
          <cell r="BE60">
            <v>1.5986902296913372</v>
          </cell>
          <cell r="BF60">
            <v>1616</v>
          </cell>
          <cell r="BG60">
            <v>897</v>
          </cell>
          <cell r="BH60">
            <v>1584</v>
          </cell>
          <cell r="BI60">
            <v>838.34</v>
          </cell>
          <cell r="BJ60">
            <v>1.2098944276066348</v>
          </cell>
          <cell r="BK60">
            <v>20450.170299999998</v>
          </cell>
          <cell r="BL60">
            <v>10781</v>
          </cell>
          <cell r="BM60">
            <v>20041.726893999999</v>
          </cell>
          <cell r="BN60">
            <v>9658.58</v>
          </cell>
          <cell r="BO60">
            <v>1.4108015763394663</v>
          </cell>
        </row>
        <row r="61">
          <cell r="C61">
            <v>0</v>
          </cell>
          <cell r="D61">
            <v>7740</v>
          </cell>
          <cell r="E61">
            <v>0</v>
          </cell>
          <cell r="F61">
            <v>734.53</v>
          </cell>
          <cell r="G61">
            <v>8.6679276597603216</v>
          </cell>
          <cell r="H61">
            <v>0</v>
          </cell>
          <cell r="I61">
            <v>85344</v>
          </cell>
          <cell r="J61">
            <v>0</v>
          </cell>
          <cell r="K61">
            <v>8099.15</v>
          </cell>
          <cell r="L61">
            <v>102.15271917697541</v>
          </cell>
          <cell r="M61">
            <v>0</v>
          </cell>
          <cell r="N61">
            <v>0</v>
          </cell>
          <cell r="O61">
            <v>0</v>
          </cell>
          <cell r="P61">
            <v>0</v>
          </cell>
          <cell r="Q61">
            <v>0</v>
          </cell>
          <cell r="R61">
            <v>0</v>
          </cell>
          <cell r="S61">
            <v>0</v>
          </cell>
          <cell r="T61">
            <v>0</v>
          </cell>
          <cell r="U61">
            <v>0</v>
          </cell>
          <cell r="V61">
            <v>0</v>
          </cell>
          <cell r="W61">
            <v>0</v>
          </cell>
          <cell r="X61">
            <v>18959</v>
          </cell>
          <cell r="Y61">
            <v>0</v>
          </cell>
          <cell r="Z61">
            <v>1799.21</v>
          </cell>
          <cell r="AA61">
            <v>21.02094444013261</v>
          </cell>
          <cell r="AB61">
            <v>0</v>
          </cell>
          <cell r="AC61">
            <v>0</v>
          </cell>
          <cell r="AD61">
            <v>0</v>
          </cell>
          <cell r="AE61">
            <v>0</v>
          </cell>
          <cell r="AF61">
            <v>0</v>
          </cell>
          <cell r="AG61">
            <v>0</v>
          </cell>
          <cell r="AH61">
            <v>0</v>
          </cell>
          <cell r="AI61">
            <v>0</v>
          </cell>
          <cell r="AJ61">
            <v>0</v>
          </cell>
          <cell r="AK61">
            <v>0</v>
          </cell>
          <cell r="AL61">
            <v>0</v>
          </cell>
          <cell r="AM61">
            <v>460737</v>
          </cell>
          <cell r="AN61">
            <v>0</v>
          </cell>
          <cell r="AO61">
            <v>44967.93</v>
          </cell>
          <cell r="AP61">
            <v>374.75659451941141</v>
          </cell>
          <cell r="AQ61">
            <v>0</v>
          </cell>
          <cell r="AR61">
            <v>746833</v>
          </cell>
          <cell r="AS61">
            <v>0</v>
          </cell>
          <cell r="AT61">
            <v>73339</v>
          </cell>
          <cell r="AU61">
            <v>628.43148144408326</v>
          </cell>
          <cell r="AV61">
            <v>0</v>
          </cell>
          <cell r="AW61">
            <v>578998</v>
          </cell>
          <cell r="AX61">
            <v>0</v>
          </cell>
          <cell r="AY61">
            <v>57262.9</v>
          </cell>
          <cell r="AZ61">
            <v>573.61917301464177</v>
          </cell>
          <cell r="BA61">
            <v>0</v>
          </cell>
          <cell r="BB61">
            <v>156554</v>
          </cell>
          <cell r="BC61">
            <v>0</v>
          </cell>
          <cell r="BD61">
            <v>15373.6</v>
          </cell>
          <cell r="BE61">
            <v>215.38842531763993</v>
          </cell>
          <cell r="BF61">
            <v>0</v>
          </cell>
          <cell r="BG61">
            <v>29688</v>
          </cell>
          <cell r="BH61">
            <v>0</v>
          </cell>
          <cell r="BI61">
            <v>3054.9</v>
          </cell>
          <cell r="BJ61">
            <v>40.043863731087818</v>
          </cell>
          <cell r="BK61">
            <v>0</v>
          </cell>
          <cell r="BL61">
            <v>2084853</v>
          </cell>
          <cell r="BM61">
            <v>0</v>
          </cell>
          <cell r="BN61">
            <v>204631.22</v>
          </cell>
          <cell r="BO61">
            <v>272.82384740154583</v>
          </cell>
        </row>
        <row r="62">
          <cell r="C62">
            <v>242147.7</v>
          </cell>
          <cell r="D62">
            <v>261060</v>
          </cell>
          <cell r="E62">
            <v>32689.939500000004</v>
          </cell>
          <cell r="F62">
            <v>36130.699999999997</v>
          </cell>
          <cell r="G62">
            <v>292.35777711331133</v>
          </cell>
          <cell r="H62">
            <v>231579</v>
          </cell>
          <cell r="I62">
            <v>299283</v>
          </cell>
          <cell r="J62">
            <v>31263</v>
          </cell>
          <cell r="K62">
            <v>41360.910000000003</v>
          </cell>
          <cell r="L62">
            <v>358.22755265095066</v>
          </cell>
          <cell r="M62">
            <v>228671</v>
          </cell>
          <cell r="N62">
            <v>242595</v>
          </cell>
          <cell r="O62">
            <v>30871</v>
          </cell>
          <cell r="P62">
            <v>33696.449999999997</v>
          </cell>
          <cell r="Q62">
            <v>306.52122823288005</v>
          </cell>
          <cell r="R62">
            <v>222318</v>
          </cell>
          <cell r="S62">
            <v>213149</v>
          </cell>
          <cell r="T62">
            <v>30013</v>
          </cell>
          <cell r="U62">
            <v>29457.19</v>
          </cell>
          <cell r="V62">
            <v>264.64394885637023</v>
          </cell>
          <cell r="W62">
            <v>316892</v>
          </cell>
          <cell r="X62">
            <v>133964</v>
          </cell>
          <cell r="Y62">
            <v>42780</v>
          </cell>
          <cell r="Z62">
            <v>18500.43</v>
          </cell>
          <cell r="AA62">
            <v>148.53366743910146</v>
          </cell>
          <cell r="AB62">
            <v>382624</v>
          </cell>
          <cell r="AC62">
            <v>234836</v>
          </cell>
          <cell r="AD62">
            <v>51654</v>
          </cell>
          <cell r="AE62">
            <v>32430.85</v>
          </cell>
          <cell r="AF62">
            <v>230.1221773197816</v>
          </cell>
          <cell r="AG62">
            <v>248464</v>
          </cell>
          <cell r="AH62">
            <v>254030</v>
          </cell>
          <cell r="AI62">
            <v>33543</v>
          </cell>
          <cell r="AJ62">
            <v>35030.74</v>
          </cell>
          <cell r="AK62">
            <v>218.11422168606424</v>
          </cell>
          <cell r="AL62">
            <v>311344</v>
          </cell>
          <cell r="AM62">
            <v>271332</v>
          </cell>
          <cell r="AN62">
            <v>42031</v>
          </cell>
          <cell r="AO62">
            <v>37416.68</v>
          </cell>
          <cell r="AP62">
            <v>220.69739635440814</v>
          </cell>
          <cell r="AQ62">
            <v>279770</v>
          </cell>
          <cell r="AR62">
            <v>73763</v>
          </cell>
          <cell r="AS62">
            <v>37769</v>
          </cell>
          <cell r="AT62">
            <v>10179.290000000001</v>
          </cell>
          <cell r="AU62">
            <v>62.068750799388766</v>
          </cell>
          <cell r="AV62">
            <v>242904</v>
          </cell>
          <cell r="AW62">
            <v>90777</v>
          </cell>
          <cell r="AX62">
            <v>32792</v>
          </cell>
          <cell r="AY62">
            <v>12527.23</v>
          </cell>
          <cell r="AZ62">
            <v>89.933691772251606</v>
          </cell>
          <cell r="BA62">
            <v>211513</v>
          </cell>
          <cell r="BB62">
            <v>91367</v>
          </cell>
          <cell r="BC62">
            <v>28554</v>
          </cell>
          <cell r="BD62">
            <v>12608.65</v>
          </cell>
          <cell r="BE62">
            <v>125.70355440293322</v>
          </cell>
          <cell r="BF62">
            <v>237695</v>
          </cell>
          <cell r="BG62">
            <v>323351</v>
          </cell>
          <cell r="BH62">
            <v>32089</v>
          </cell>
          <cell r="BI62">
            <v>44622.44</v>
          </cell>
          <cell r="BJ62">
            <v>436.14333674585612</v>
          </cell>
          <cell r="BK62">
            <v>3155921.7</v>
          </cell>
          <cell r="BL62">
            <v>2489507</v>
          </cell>
          <cell r="BM62">
            <v>426048.93949999998</v>
          </cell>
          <cell r="BN62">
            <v>343961.56</v>
          </cell>
          <cell r="BO62">
            <v>325.77686670143174</v>
          </cell>
        </row>
        <row r="66">
          <cell r="D66">
            <v>49.547999999999995</v>
          </cell>
          <cell r="E66">
            <v>40.08</v>
          </cell>
          <cell r="F66">
            <v>35.840000000000003</v>
          </cell>
          <cell r="I66">
            <v>47.858000000000004</v>
          </cell>
          <cell r="J66">
            <v>83.66</v>
          </cell>
          <cell r="K66">
            <v>15.69</v>
          </cell>
          <cell r="N66">
            <v>63.98</v>
          </cell>
          <cell r="O66">
            <v>61</v>
          </cell>
          <cell r="P66">
            <v>84</v>
          </cell>
          <cell r="S66">
            <v>54.766666666666673</v>
          </cell>
          <cell r="T66">
            <v>63.83</v>
          </cell>
          <cell r="U66">
            <v>83.97</v>
          </cell>
          <cell r="X66">
            <v>44.416666666666664</v>
          </cell>
          <cell r="Y66">
            <v>14.65</v>
          </cell>
          <cell r="Z66">
            <v>21.65</v>
          </cell>
          <cell r="AC66">
            <v>73.22</v>
          </cell>
          <cell r="AD66">
            <v>9.19</v>
          </cell>
          <cell r="AE66">
            <v>6.92</v>
          </cell>
          <cell r="AH66">
            <v>26.689999999999998</v>
          </cell>
          <cell r="AI66">
            <v>4.9000000000000004</v>
          </cell>
          <cell r="AJ66">
            <v>13.35</v>
          </cell>
          <cell r="AM66">
            <v>27.830000000000002</v>
          </cell>
          <cell r="AN66">
            <v>4.54</v>
          </cell>
          <cell r="AO66">
            <v>7.15</v>
          </cell>
          <cell r="AR66">
            <v>42.269999999999996</v>
          </cell>
          <cell r="AS66">
            <v>3.14</v>
          </cell>
          <cell r="AT66">
            <v>3.65</v>
          </cell>
          <cell r="AW66">
            <v>24.003999999999998</v>
          </cell>
          <cell r="AX66">
            <v>3.74</v>
          </cell>
          <cell r="AY66">
            <v>6.72</v>
          </cell>
          <cell r="BB66">
            <v>29.048000000000002</v>
          </cell>
          <cell r="BC66">
            <v>4.57</v>
          </cell>
          <cell r="BD66">
            <v>9.44</v>
          </cell>
          <cell r="BG66">
            <v>47.06</v>
          </cell>
          <cell r="BH66">
            <v>51.65</v>
          </cell>
          <cell r="BI66">
            <v>44.4</v>
          </cell>
          <cell r="BL66">
            <v>44.224277777777786</v>
          </cell>
          <cell r="BM66">
            <v>28.392499999999995</v>
          </cell>
          <cell r="BN66">
            <v>24.745000000000001</v>
          </cell>
        </row>
        <row r="67">
          <cell r="D67">
            <v>10041</v>
          </cell>
          <cell r="E67">
            <v>6521.84</v>
          </cell>
          <cell r="F67">
            <v>6521.84</v>
          </cell>
          <cell r="I67">
            <v>16480</v>
          </cell>
          <cell r="J67">
            <v>14553</v>
          </cell>
          <cell r="K67">
            <v>14553</v>
          </cell>
          <cell r="N67">
            <v>13041</v>
          </cell>
          <cell r="O67">
            <v>14345.42</v>
          </cell>
          <cell r="P67">
            <v>12996.46</v>
          </cell>
          <cell r="S67">
            <v>10041</v>
          </cell>
          <cell r="T67">
            <v>12976</v>
          </cell>
          <cell r="U67">
            <v>15305.6</v>
          </cell>
          <cell r="X67">
            <v>16480</v>
          </cell>
          <cell r="Y67">
            <v>12870.93</v>
          </cell>
          <cell r="Z67">
            <v>14340</v>
          </cell>
          <cell r="AC67">
            <v>10041</v>
          </cell>
          <cell r="AD67">
            <v>10041</v>
          </cell>
          <cell r="AE67">
            <v>8742.77</v>
          </cell>
          <cell r="AH67">
            <v>19480</v>
          </cell>
          <cell r="AI67">
            <v>19480</v>
          </cell>
          <cell r="AJ67">
            <v>8950.7900000000009</v>
          </cell>
          <cell r="AM67">
            <v>11041</v>
          </cell>
          <cell r="AN67">
            <v>14366.16</v>
          </cell>
          <cell r="AO67">
            <v>6237.92</v>
          </cell>
          <cell r="AR67">
            <v>17480</v>
          </cell>
          <cell r="AS67">
            <v>17480</v>
          </cell>
          <cell r="AT67">
            <v>4205.41</v>
          </cell>
          <cell r="AW67">
            <v>11041</v>
          </cell>
          <cell r="AX67">
            <v>11041</v>
          </cell>
          <cell r="AY67">
            <v>5329.15</v>
          </cell>
          <cell r="BB67">
            <v>11041</v>
          </cell>
          <cell r="BC67">
            <v>11041</v>
          </cell>
          <cell r="BD67">
            <v>5883.37</v>
          </cell>
          <cell r="BG67">
            <v>17480</v>
          </cell>
          <cell r="BH67">
            <v>6457.61</v>
          </cell>
          <cell r="BI67">
            <v>13760.36</v>
          </cell>
          <cell r="BL67">
            <v>106645</v>
          </cell>
          <cell r="BM67">
            <v>105154.35</v>
          </cell>
          <cell r="BN67">
            <v>87648.37999999999</v>
          </cell>
        </row>
        <row r="68">
          <cell r="D68">
            <v>807.15899999999999</v>
          </cell>
          <cell r="E68">
            <v>892.947</v>
          </cell>
          <cell r="F68">
            <v>771.99</v>
          </cell>
          <cell r="I68">
            <v>771.93100000000004</v>
          </cell>
          <cell r="J68">
            <v>835.45500000000004</v>
          </cell>
          <cell r="K68">
            <v>814.66</v>
          </cell>
          <cell r="N68">
            <v>762.23599999999999</v>
          </cell>
          <cell r="O68">
            <v>791.44600000000003</v>
          </cell>
          <cell r="P68">
            <v>823.81299999999999</v>
          </cell>
          <cell r="S68">
            <v>808.43</v>
          </cell>
          <cell r="T68">
            <v>805.41800000000001</v>
          </cell>
          <cell r="U68">
            <v>806.80399999999997</v>
          </cell>
          <cell r="X68">
            <v>905.40599999999995</v>
          </cell>
          <cell r="Y68">
            <v>901.91</v>
          </cell>
          <cell r="Z68">
            <v>1149.1969999999999</v>
          </cell>
          <cell r="AC68">
            <v>1020.33</v>
          </cell>
          <cell r="AD68">
            <v>1020.484</v>
          </cell>
          <cell r="AE68">
            <v>1158.75737</v>
          </cell>
          <cell r="AH68">
            <v>1242.318</v>
          </cell>
          <cell r="AI68">
            <v>1164.665</v>
          </cell>
          <cell r="AJ68">
            <v>1131.989</v>
          </cell>
          <cell r="AM68">
            <v>1245.376</v>
          </cell>
          <cell r="AN68">
            <v>1229.43</v>
          </cell>
          <cell r="AO68">
            <v>1313.7090000000001</v>
          </cell>
          <cell r="AR68">
            <v>1243.423</v>
          </cell>
          <cell r="AS68">
            <v>1188.4079999999999</v>
          </cell>
          <cell r="AT68">
            <v>1107.7850000000001</v>
          </cell>
          <cell r="AW68">
            <v>1214.52</v>
          </cell>
          <cell r="AX68">
            <v>1009.377</v>
          </cell>
          <cell r="AY68">
            <v>866.84</v>
          </cell>
          <cell r="BB68">
            <v>1057.566</v>
          </cell>
          <cell r="BC68">
            <v>726.84500000000003</v>
          </cell>
          <cell r="BD68">
            <v>802.69</v>
          </cell>
          <cell r="BG68">
            <v>950.78</v>
          </cell>
          <cell r="BH68">
            <v>741.38699999999994</v>
          </cell>
          <cell r="BI68">
            <v>898.678</v>
          </cell>
          <cell r="BL68">
            <v>7563.1860000000006</v>
          </cell>
          <cell r="BM68">
            <v>7641.755000000001</v>
          </cell>
          <cell r="BN68">
            <v>7970.9193700000005</v>
          </cell>
        </row>
        <row r="69">
          <cell r="D69">
            <v>81.212843333333339</v>
          </cell>
          <cell r="E69">
            <v>78.003386539178692</v>
          </cell>
          <cell r="F69">
            <v>84.555862122566353</v>
          </cell>
          <cell r="I69">
            <v>79.035561468576844</v>
          </cell>
          <cell r="J69">
            <v>103.91682376669</v>
          </cell>
          <cell r="K69">
            <v>70.527888935261345</v>
          </cell>
          <cell r="N69">
            <v>79.122476503340181</v>
          </cell>
          <cell r="O69">
            <v>80.344053795205227</v>
          </cell>
          <cell r="P69">
            <v>76</v>
          </cell>
          <cell r="S69">
            <v>76.816793043306163</v>
          </cell>
          <cell r="T69">
            <v>78.996930786250118</v>
          </cell>
          <cell r="U69">
            <v>90</v>
          </cell>
          <cell r="X69">
            <v>88.791105868527495</v>
          </cell>
          <cell r="Y69">
            <v>62.413134348216566</v>
          </cell>
          <cell r="Z69">
            <v>71</v>
          </cell>
          <cell r="AC69">
            <v>95.105505081689259</v>
          </cell>
          <cell r="AD69">
            <v>74.834490300680841</v>
          </cell>
          <cell r="AE69">
            <v>96</v>
          </cell>
          <cell r="AH69">
            <v>69.341344164698569</v>
          </cell>
          <cell r="AI69">
            <v>51.878772007401267</v>
          </cell>
          <cell r="AJ69">
            <v>74</v>
          </cell>
          <cell r="AM69">
            <v>77.174283108073382</v>
          </cell>
          <cell r="AN69">
            <v>79.563887329900851</v>
          </cell>
          <cell r="AO69">
            <v>102</v>
          </cell>
          <cell r="AR69">
            <v>71.712522608959304</v>
          </cell>
          <cell r="AS69">
            <v>147.3242354477587</v>
          </cell>
          <cell r="AT69">
            <v>113</v>
          </cell>
          <cell r="AW69">
            <v>64.961466258274882</v>
          </cell>
          <cell r="AX69">
            <v>157.76691959495807</v>
          </cell>
          <cell r="AY69">
            <v>163</v>
          </cell>
          <cell r="BB69">
            <v>64.250363570689672</v>
          </cell>
          <cell r="BC69">
            <v>97.637556838115401</v>
          </cell>
          <cell r="BD69">
            <v>67</v>
          </cell>
          <cell r="BG69">
            <v>69.907865121268856</v>
          </cell>
          <cell r="BH69">
            <v>91.466926180254049</v>
          </cell>
          <cell r="BI69">
            <v>101</v>
          </cell>
          <cell r="BL69">
            <v>120.47048392199926</v>
          </cell>
          <cell r="BM69">
            <v>137.10066077753078</v>
          </cell>
          <cell r="BN69">
            <v>9078.7043700000013</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ummary"/>
      <sheetName val="2009"/>
    </sheetNames>
    <sheetDataSet>
      <sheetData sheetId="0"/>
      <sheetData sheetId="1">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21874</v>
          </cell>
          <cell r="Y14">
            <v>0</v>
          </cell>
          <cell r="Z14">
            <v>2178.65</v>
          </cell>
          <cell r="AA14">
            <v>57.823363028364476</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24290</v>
          </cell>
          <cell r="BC14">
            <v>0</v>
          </cell>
          <cell r="BD14">
            <v>2766.63</v>
          </cell>
          <cell r="BE14">
            <v>68.559654520308214</v>
          </cell>
          <cell r="BF14">
            <v>0</v>
          </cell>
          <cell r="BG14">
            <v>5809</v>
          </cell>
          <cell r="BH14">
            <v>0</v>
          </cell>
          <cell r="BI14">
            <v>661.65</v>
          </cell>
          <cell r="BJ14">
            <v>16.100332594235034</v>
          </cell>
          <cell r="BK14">
            <v>0</v>
          </cell>
          <cell r="BL14">
            <v>51973</v>
          </cell>
          <cell r="BM14">
            <v>0</v>
          </cell>
          <cell r="BN14">
            <v>5606.93</v>
          </cell>
          <cell r="BO14">
            <v>11.795745878422544</v>
          </cell>
        </row>
        <row r="15">
          <cell r="C15">
            <v>177622.56</v>
          </cell>
          <cell r="D15">
            <v>213920</v>
          </cell>
          <cell r="E15">
            <v>27531.496800000001</v>
          </cell>
          <cell r="F15">
            <v>31938.26</v>
          </cell>
          <cell r="G15">
            <v>569.0572462226005</v>
          </cell>
          <cell r="H15">
            <v>115093.43999999999</v>
          </cell>
          <cell r="I15">
            <v>190539</v>
          </cell>
          <cell r="J15">
            <v>17839.483199999999</v>
          </cell>
          <cell r="K15">
            <v>28638.01</v>
          </cell>
          <cell r="L15">
            <v>566.65873605947957</v>
          </cell>
          <cell r="M15">
            <v>135147.6</v>
          </cell>
          <cell r="N15">
            <v>171169</v>
          </cell>
          <cell r="O15">
            <v>20947.878000000001</v>
          </cell>
          <cell r="P15">
            <v>26428.49</v>
          </cell>
          <cell r="Q15">
            <v>463.38287446871874</v>
          </cell>
          <cell r="R15">
            <v>163485</v>
          </cell>
          <cell r="S15">
            <v>149873</v>
          </cell>
          <cell r="T15">
            <v>25340.174999999999</v>
          </cell>
          <cell r="U15">
            <v>23200.34</v>
          </cell>
          <cell r="V15">
            <v>423.98087640385864</v>
          </cell>
          <cell r="W15">
            <v>159281.1</v>
          </cell>
          <cell r="X15">
            <v>210856</v>
          </cell>
          <cell r="Y15">
            <v>24688.570500000002</v>
          </cell>
          <cell r="Z15">
            <v>32619.77</v>
          </cell>
          <cell r="AA15">
            <v>557.39247667133679</v>
          </cell>
          <cell r="AB15">
            <v>149472</v>
          </cell>
          <cell r="AC15">
            <v>195767</v>
          </cell>
          <cell r="AD15">
            <v>23168.16</v>
          </cell>
          <cell r="AE15">
            <v>30343.89</v>
          </cell>
          <cell r="AF15">
            <v>481.98291355836227</v>
          </cell>
          <cell r="AG15">
            <v>144157.44</v>
          </cell>
          <cell r="AH15">
            <v>143573</v>
          </cell>
          <cell r="AI15">
            <v>22344.403200000001</v>
          </cell>
          <cell r="AJ15">
            <v>21837.45</v>
          </cell>
          <cell r="AK15">
            <v>383.47489316239319</v>
          </cell>
          <cell r="AL15">
            <v>208513.43999999997</v>
          </cell>
          <cell r="AM15">
            <v>207381</v>
          </cell>
          <cell r="AN15">
            <v>32319.583199999997</v>
          </cell>
          <cell r="AO15">
            <v>30961.98</v>
          </cell>
          <cell r="AP15">
            <v>563.5506399630425</v>
          </cell>
          <cell r="AQ15">
            <v>168156</v>
          </cell>
          <cell r="AR15">
            <v>91626</v>
          </cell>
          <cell r="AS15">
            <v>26064.18</v>
          </cell>
          <cell r="AT15">
            <v>13633.95</v>
          </cell>
          <cell r="AU15">
            <v>254.53080726707037</v>
          </cell>
          <cell r="AV15">
            <v>159281.1</v>
          </cell>
          <cell r="AW15">
            <v>203063</v>
          </cell>
          <cell r="AX15">
            <v>24688.570500000002</v>
          </cell>
          <cell r="AY15">
            <v>30073.63</v>
          </cell>
          <cell r="AZ15">
            <v>550.14223402237815</v>
          </cell>
          <cell r="BA15">
            <v>149472</v>
          </cell>
          <cell r="BB15">
            <v>154631</v>
          </cell>
          <cell r="BC15">
            <v>23168.16</v>
          </cell>
          <cell r="BD15">
            <v>22668.9</v>
          </cell>
          <cell r="BE15">
            <v>436.45318806627336</v>
          </cell>
          <cell r="BF15">
            <v>142870.32</v>
          </cell>
          <cell r="BG15">
            <v>114311</v>
          </cell>
          <cell r="BH15">
            <v>22144.899600000001</v>
          </cell>
          <cell r="BI15">
            <v>16872.3</v>
          </cell>
          <cell r="BJ15">
            <v>316.82649667405764</v>
          </cell>
          <cell r="BK15">
            <v>1872552</v>
          </cell>
          <cell r="BL15">
            <v>2046709</v>
          </cell>
          <cell r="BM15">
            <v>290245.56</v>
          </cell>
          <cell r="BN15">
            <v>309216.97000000003</v>
          </cell>
          <cell r="BO15">
            <v>464.51925521098121</v>
          </cell>
        </row>
        <row r="16">
          <cell r="V16">
            <v>0</v>
          </cell>
          <cell r="AA16">
            <v>0</v>
          </cell>
          <cell r="AF16">
            <v>0</v>
          </cell>
          <cell r="AK16">
            <v>0</v>
          </cell>
          <cell r="AP16">
            <v>0</v>
          </cell>
          <cell r="AU16">
            <v>0</v>
          </cell>
          <cell r="AZ16">
            <v>0</v>
          </cell>
          <cell r="BE16">
            <v>0</v>
          </cell>
          <cell r="BJ16">
            <v>0</v>
          </cell>
          <cell r="BK16">
            <v>0</v>
          </cell>
          <cell r="BL16">
            <v>0</v>
          </cell>
          <cell r="BM16">
            <v>0</v>
          </cell>
          <cell r="BN16">
            <v>0</v>
          </cell>
          <cell r="BO16">
            <v>0</v>
          </cell>
        </row>
        <row r="17">
          <cell r="C17">
            <v>23206.7736</v>
          </cell>
          <cell r="D17">
            <v>25625</v>
          </cell>
          <cell r="E17">
            <v>4328.0632764000002</v>
          </cell>
          <cell r="F17">
            <v>5301.81</v>
          </cell>
          <cell r="G17">
            <v>68.166099170036176</v>
          </cell>
          <cell r="H17">
            <v>17368.646399999998</v>
          </cell>
          <cell r="I17">
            <v>23465</v>
          </cell>
          <cell r="J17">
            <v>3239.2525535999994</v>
          </cell>
          <cell r="K17">
            <v>4556.8999999999996</v>
          </cell>
          <cell r="L17">
            <v>69.784386617100367</v>
          </cell>
          <cell r="M17">
            <v>22009.752</v>
          </cell>
          <cell r="N17">
            <v>26065</v>
          </cell>
          <cell r="O17">
            <v>4104.8187479999997</v>
          </cell>
          <cell r="P17">
            <v>5132.2</v>
          </cell>
          <cell r="Q17">
            <v>70.562278350794557</v>
          </cell>
          <cell r="R17">
            <v>31295.7</v>
          </cell>
          <cell r="S17">
            <v>20975</v>
          </cell>
          <cell r="T17">
            <v>5836.6480499999998</v>
          </cell>
          <cell r="U17">
            <v>4138.37</v>
          </cell>
          <cell r="V17">
            <v>59.336897790602279</v>
          </cell>
          <cell r="W17">
            <v>31373.55</v>
          </cell>
          <cell r="X17">
            <v>17300</v>
          </cell>
          <cell r="Y17">
            <v>5851.1670749999994</v>
          </cell>
          <cell r="Z17">
            <v>3418.48</v>
          </cell>
          <cell r="AA17">
            <v>45.732110285759603</v>
          </cell>
          <cell r="AB17">
            <v>34129.440000000002</v>
          </cell>
          <cell r="AC17">
            <v>39070</v>
          </cell>
          <cell r="AD17">
            <v>6365.1405600000007</v>
          </cell>
          <cell r="AE17">
            <v>7720.23</v>
          </cell>
          <cell r="AF17">
            <v>96.1912499692247</v>
          </cell>
          <cell r="AG17">
            <v>37686.873599999999</v>
          </cell>
          <cell r="AH17">
            <v>23508</v>
          </cell>
          <cell r="AI17">
            <v>7028.6019263999997</v>
          </cell>
          <cell r="AJ17">
            <v>4647.53</v>
          </cell>
          <cell r="AK17">
            <v>62.78846153846154</v>
          </cell>
          <cell r="AL17">
            <v>41876.449199999995</v>
          </cell>
          <cell r="AM17">
            <v>26102</v>
          </cell>
          <cell r="AN17">
            <v>7809.9577757999987</v>
          </cell>
          <cell r="AO17">
            <v>5160.37</v>
          </cell>
          <cell r="AP17">
            <v>70.931275306394198</v>
          </cell>
          <cell r="AQ17">
            <v>31949.64</v>
          </cell>
          <cell r="AR17">
            <v>23088</v>
          </cell>
          <cell r="AS17">
            <v>5958.6078600000001</v>
          </cell>
          <cell r="AT17">
            <v>4522.9399999999996</v>
          </cell>
          <cell r="AU17">
            <v>64.136896494249683</v>
          </cell>
          <cell r="AV17">
            <v>30456.477000000003</v>
          </cell>
          <cell r="AW17">
            <v>22029</v>
          </cell>
          <cell r="AX17">
            <v>5680.1329605000001</v>
          </cell>
          <cell r="AY17">
            <v>4249.3900000000003</v>
          </cell>
          <cell r="AZ17">
            <v>59.681395789872937</v>
          </cell>
          <cell r="BA17">
            <v>22420.799999999999</v>
          </cell>
          <cell r="BB17">
            <v>25883</v>
          </cell>
          <cell r="BC17">
            <v>4181.4791999999998</v>
          </cell>
          <cell r="BD17">
            <v>4944.4399999999996</v>
          </cell>
          <cell r="BE17">
            <v>73.055971097123816</v>
          </cell>
          <cell r="BF17">
            <v>19577.095200000003</v>
          </cell>
          <cell r="BG17">
            <v>21609</v>
          </cell>
          <cell r="BH17">
            <v>3651.1282548000008</v>
          </cell>
          <cell r="BI17">
            <v>4129.4799999999996</v>
          </cell>
          <cell r="BJ17">
            <v>59.89190687361419</v>
          </cell>
          <cell r="BK17">
            <v>343351.19699999999</v>
          </cell>
          <cell r="BL17">
            <v>294719</v>
          </cell>
          <cell r="BM17">
            <v>64034.998240499997</v>
          </cell>
          <cell r="BN17">
            <v>57922.14</v>
          </cell>
          <cell r="BO17">
            <v>66.889162248529303</v>
          </cell>
        </row>
        <row r="18">
          <cell r="C18">
            <v>15213.758400000001</v>
          </cell>
          <cell r="D18">
            <v>15903</v>
          </cell>
          <cell r="E18">
            <v>4792.3338960000001</v>
          </cell>
          <cell r="F18">
            <v>3484.35</v>
          </cell>
          <cell r="G18">
            <v>42.304213662481381</v>
          </cell>
          <cell r="H18">
            <v>11927.865599999999</v>
          </cell>
          <cell r="I18">
            <v>13679</v>
          </cell>
          <cell r="J18">
            <v>3757.2776639999997</v>
          </cell>
          <cell r="K18">
            <v>2997.07</v>
          </cell>
          <cell r="L18">
            <v>40.681040892193309</v>
          </cell>
          <cell r="M18">
            <v>14866.236000000001</v>
          </cell>
          <cell r="N18">
            <v>16178</v>
          </cell>
          <cell r="O18">
            <v>4682.8643400000001</v>
          </cell>
          <cell r="P18">
            <v>4296.88</v>
          </cell>
          <cell r="Q18">
            <v>43.796529413357156</v>
          </cell>
          <cell r="R18">
            <v>17562.960000000003</v>
          </cell>
          <cell r="S18">
            <v>14852</v>
          </cell>
          <cell r="T18">
            <v>5532.3324000000011</v>
          </cell>
          <cell r="U18">
            <v>3944.69</v>
          </cell>
          <cell r="V18">
            <v>42.015332824125153</v>
          </cell>
          <cell r="W18">
            <v>18775.863000000001</v>
          </cell>
          <cell r="X18">
            <v>16278</v>
          </cell>
          <cell r="Y18">
            <v>5914.3968450000002</v>
          </cell>
          <cell r="Z18">
            <v>4977.8100000000004</v>
          </cell>
          <cell r="AA18">
            <v>43.030479261941892</v>
          </cell>
          <cell r="AB18">
            <v>19829.951999999997</v>
          </cell>
          <cell r="AC18">
            <v>18126</v>
          </cell>
          <cell r="AD18">
            <v>6246.4348799999989</v>
          </cell>
          <cell r="AE18">
            <v>5602.75</v>
          </cell>
          <cell r="AF18">
            <v>44.626634167959224</v>
          </cell>
          <cell r="AG18">
            <v>23631.523199999996</v>
          </cell>
          <cell r="AH18">
            <v>16150</v>
          </cell>
          <cell r="AI18">
            <v>7443.929807999999</v>
          </cell>
          <cell r="AJ18">
            <v>5027.5</v>
          </cell>
          <cell r="AK18">
            <v>43.135683760683762</v>
          </cell>
          <cell r="AL18">
            <v>21025.105199999998</v>
          </cell>
          <cell r="AM18">
            <v>15559</v>
          </cell>
          <cell r="AN18">
            <v>6622.9081379999998</v>
          </cell>
          <cell r="AO18">
            <v>4868.41</v>
          </cell>
          <cell r="AP18">
            <v>42.281040245658851</v>
          </cell>
          <cell r="AQ18">
            <v>21860.28</v>
          </cell>
          <cell r="AR18">
            <v>16067</v>
          </cell>
          <cell r="AS18">
            <v>6885.9881999999998</v>
          </cell>
          <cell r="AT18">
            <v>5043.43</v>
          </cell>
          <cell r="AU18">
            <v>44.633035168620474</v>
          </cell>
          <cell r="AV18">
            <v>18244.925999999999</v>
          </cell>
          <cell r="AW18">
            <v>25141</v>
          </cell>
          <cell r="AX18">
            <v>5747.1516899999997</v>
          </cell>
          <cell r="AY18">
            <v>7901.82</v>
          </cell>
          <cell r="AZ18">
            <v>68.11248679255506</v>
          </cell>
          <cell r="BA18">
            <v>13788.791999999999</v>
          </cell>
          <cell r="BB18">
            <v>22991</v>
          </cell>
          <cell r="BC18">
            <v>4343.4694799999997</v>
          </cell>
          <cell r="BD18">
            <v>7235.27</v>
          </cell>
          <cell r="BE18">
            <v>64.893166614919977</v>
          </cell>
          <cell r="BF18">
            <v>12163.284000000001</v>
          </cell>
          <cell r="BG18">
            <v>13754</v>
          </cell>
          <cell r="BH18">
            <v>3831.4344600000004</v>
          </cell>
          <cell r="BI18">
            <v>4329.76</v>
          </cell>
          <cell r="BJ18">
            <v>38.120842572062081</v>
          </cell>
          <cell r="BK18">
            <v>208890.5454</v>
          </cell>
          <cell r="BL18">
            <v>204678</v>
          </cell>
          <cell r="BM18">
            <v>65800.521800999995</v>
          </cell>
          <cell r="BN18">
            <v>59709.74</v>
          </cell>
          <cell r="BO18">
            <v>46.453536930786548</v>
          </cell>
        </row>
        <row r="19">
          <cell r="C19">
            <v>617.81760000000008</v>
          </cell>
          <cell r="D19">
            <v>1000</v>
          </cell>
          <cell r="E19">
            <v>543.67948800000011</v>
          </cell>
          <cell r="F19">
            <v>600</v>
          </cell>
          <cell r="G19">
            <v>2.6601404554160459</v>
          </cell>
          <cell r="H19">
            <v>174.38399999999999</v>
          </cell>
          <cell r="I19">
            <v>0</v>
          </cell>
          <cell r="J19">
            <v>153.45792</v>
          </cell>
          <cell r="K19">
            <v>0</v>
          </cell>
          <cell r="L19">
            <v>0</v>
          </cell>
          <cell r="M19">
            <v>347.5224</v>
          </cell>
          <cell r="N19">
            <v>0</v>
          </cell>
          <cell r="O19">
            <v>305.81971199999998</v>
          </cell>
          <cell r="P19">
            <v>0</v>
          </cell>
          <cell r="Q19">
            <v>0</v>
          </cell>
          <cell r="R19">
            <v>2942.73</v>
          </cell>
          <cell r="S19">
            <v>900</v>
          </cell>
          <cell r="T19">
            <v>2589.6024000000002</v>
          </cell>
          <cell r="U19">
            <v>725.67</v>
          </cell>
          <cell r="V19">
            <v>2.5460409063905627</v>
          </cell>
          <cell r="W19">
            <v>2896.02</v>
          </cell>
          <cell r="X19">
            <v>2100</v>
          </cell>
          <cell r="Y19">
            <v>2548.4976000000001</v>
          </cell>
          <cell r="Z19">
            <v>1486.9299999999998</v>
          </cell>
          <cell r="AA19">
            <v>5.5512966242829576</v>
          </cell>
          <cell r="AB19">
            <v>647.71199999999999</v>
          </cell>
          <cell r="AC19">
            <v>3800</v>
          </cell>
          <cell r="AD19">
            <v>569.98655999999994</v>
          </cell>
          <cell r="AE19">
            <v>3271.8</v>
          </cell>
          <cell r="AF19">
            <v>9.355688504813255</v>
          </cell>
          <cell r="AG19">
            <v>514.84799999999996</v>
          </cell>
          <cell r="AH19">
            <v>500</v>
          </cell>
          <cell r="AI19">
            <v>453.06623999999994</v>
          </cell>
          <cell r="AJ19">
            <v>430.5</v>
          </cell>
          <cell r="AK19">
            <v>1.3354700854700856</v>
          </cell>
          <cell r="AL19">
            <v>1158.4079999999999</v>
          </cell>
          <cell r="AM19">
            <v>0</v>
          </cell>
          <cell r="AN19">
            <v>1019.3990399999999</v>
          </cell>
          <cell r="AO19">
            <v>0</v>
          </cell>
          <cell r="AP19">
            <v>0</v>
          </cell>
          <cell r="AQ19">
            <v>4876.5239999999994</v>
          </cell>
          <cell r="AR19">
            <v>0</v>
          </cell>
          <cell r="AS19">
            <v>4291.3411199999991</v>
          </cell>
          <cell r="AT19">
            <v>0</v>
          </cell>
          <cell r="AU19">
            <v>0</v>
          </cell>
          <cell r="AV19">
            <v>3378.69</v>
          </cell>
          <cell r="AW19">
            <v>0</v>
          </cell>
          <cell r="AX19">
            <v>2973.2472000000002</v>
          </cell>
          <cell r="AY19">
            <v>0</v>
          </cell>
          <cell r="AZ19">
            <v>0</v>
          </cell>
          <cell r="BA19">
            <v>1008.936</v>
          </cell>
          <cell r="BB19">
            <v>0</v>
          </cell>
          <cell r="BC19">
            <v>887.86368000000004</v>
          </cell>
          <cell r="BD19">
            <v>0</v>
          </cell>
          <cell r="BE19">
            <v>0</v>
          </cell>
          <cell r="BF19">
            <v>1312.8624</v>
          </cell>
          <cell r="BG19">
            <v>0</v>
          </cell>
          <cell r="BH19">
            <v>1155.318912</v>
          </cell>
          <cell r="BI19">
            <v>0</v>
          </cell>
          <cell r="BJ19">
            <v>0</v>
          </cell>
          <cell r="BK19">
            <v>19876.454400000002</v>
          </cell>
          <cell r="BL19">
            <v>8300</v>
          </cell>
          <cell r="BM19">
            <v>17491.279871999999</v>
          </cell>
          <cell r="BN19">
            <v>6514.9</v>
          </cell>
          <cell r="BO19">
            <v>1.8837606216863969</v>
          </cell>
        </row>
        <row r="20">
          <cell r="C20">
            <v>0</v>
          </cell>
          <cell r="D20">
            <v>0</v>
          </cell>
          <cell r="E20">
            <v>0</v>
          </cell>
          <cell r="F20">
            <v>0</v>
          </cell>
          <cell r="G20">
            <v>0</v>
          </cell>
          <cell r="H20">
            <v>0</v>
          </cell>
          <cell r="I20">
            <v>0</v>
          </cell>
          <cell r="J20">
            <v>0</v>
          </cell>
          <cell r="K20">
            <v>0</v>
          </cell>
          <cell r="L20">
            <v>0</v>
          </cell>
          <cell r="M20">
            <v>6564.3120000000008</v>
          </cell>
          <cell r="N20">
            <v>6000</v>
          </cell>
          <cell r="O20">
            <v>8927.464320000001</v>
          </cell>
          <cell r="P20">
            <v>8656.2000000000007</v>
          </cell>
          <cell r="Q20">
            <v>16.242995208316415</v>
          </cell>
          <cell r="R20">
            <v>0</v>
          </cell>
          <cell r="S20">
            <v>0</v>
          </cell>
          <cell r="T20">
            <v>0</v>
          </cell>
          <cell r="U20">
            <v>0</v>
          </cell>
          <cell r="V20">
            <v>0</v>
          </cell>
          <cell r="W20">
            <v>8205.39</v>
          </cell>
          <cell r="X20">
            <v>6000</v>
          </cell>
          <cell r="Y20">
            <v>11159.330400000001</v>
          </cell>
          <cell r="Z20">
            <v>8656.2000000000007</v>
          </cell>
          <cell r="AA20">
            <v>15.860847497951307</v>
          </cell>
          <cell r="AB20">
            <v>0</v>
          </cell>
          <cell r="AC20">
            <v>0</v>
          </cell>
          <cell r="AD20">
            <v>0</v>
          </cell>
          <cell r="AE20">
            <v>0</v>
          </cell>
          <cell r="AF20">
            <v>0</v>
          </cell>
          <cell r="AG20">
            <v>5920.7519999999995</v>
          </cell>
          <cell r="AH20">
            <v>6000</v>
          </cell>
          <cell r="AI20">
            <v>8052.2227199999998</v>
          </cell>
          <cell r="AJ20">
            <v>8656.2000000000007</v>
          </cell>
          <cell r="AK20">
            <v>16.025641025641026</v>
          </cell>
          <cell r="AL20">
            <v>0</v>
          </cell>
          <cell r="AM20">
            <v>0</v>
          </cell>
          <cell r="AN20">
            <v>0</v>
          </cell>
          <cell r="AO20">
            <v>0</v>
          </cell>
          <cell r="AP20">
            <v>0</v>
          </cell>
          <cell r="AQ20">
            <v>6445.98</v>
          </cell>
          <cell r="AR20">
            <v>0</v>
          </cell>
          <cell r="AS20">
            <v>8766.5328000000009</v>
          </cell>
          <cell r="AT20">
            <v>0</v>
          </cell>
          <cell r="AU20">
            <v>0</v>
          </cell>
          <cell r="AV20">
            <v>0</v>
          </cell>
          <cell r="AW20">
            <v>0</v>
          </cell>
          <cell r="AX20">
            <v>0</v>
          </cell>
          <cell r="AY20">
            <v>0</v>
          </cell>
          <cell r="AZ20">
            <v>0</v>
          </cell>
          <cell r="BA20">
            <v>6539.4000000000005</v>
          </cell>
          <cell r="BB20">
            <v>6000</v>
          </cell>
          <cell r="BC20">
            <v>8893.5840000000007</v>
          </cell>
          <cell r="BD20">
            <v>8656.2000000000007</v>
          </cell>
          <cell r="BE20">
            <v>16.935279008721668</v>
          </cell>
          <cell r="BF20">
            <v>0</v>
          </cell>
          <cell r="BG20">
            <v>0</v>
          </cell>
          <cell r="BH20">
            <v>0</v>
          </cell>
          <cell r="BI20">
            <v>0</v>
          </cell>
          <cell r="BJ20">
            <v>0</v>
          </cell>
          <cell r="BK20">
            <v>33675.834000000003</v>
          </cell>
          <cell r="BL20">
            <v>24000</v>
          </cell>
          <cell r="BM20">
            <v>45799.134240000007</v>
          </cell>
          <cell r="BN20">
            <v>34624.800000000003</v>
          </cell>
          <cell r="BO20">
            <v>5.4470186651172927</v>
          </cell>
        </row>
        <row r="21">
          <cell r="C21">
            <v>7993.0151999999998</v>
          </cell>
          <cell r="D21">
            <v>8835</v>
          </cell>
          <cell r="E21">
            <v>3476.9616120000001</v>
          </cell>
          <cell r="F21">
            <v>2984.46</v>
          </cell>
          <cell r="G21">
            <v>23.502340923600766</v>
          </cell>
          <cell r="H21">
            <v>5196.6431999999995</v>
          </cell>
          <cell r="I21">
            <v>5224</v>
          </cell>
          <cell r="J21">
            <v>2260.5397919999996</v>
          </cell>
          <cell r="K21">
            <v>1771.42</v>
          </cell>
          <cell r="L21">
            <v>15.536059479553904</v>
          </cell>
          <cell r="M21">
            <v>7182.1296000000011</v>
          </cell>
          <cell r="N21">
            <v>5634</v>
          </cell>
          <cell r="O21">
            <v>3124.2263760000005</v>
          </cell>
          <cell r="P21">
            <v>1658.65</v>
          </cell>
          <cell r="Q21">
            <v>15.252172500609113</v>
          </cell>
          <cell r="R21">
            <v>8968.32</v>
          </cell>
          <cell r="S21">
            <v>7780</v>
          </cell>
          <cell r="T21">
            <v>3901.2192</v>
          </cell>
          <cell r="U21">
            <v>2290.4299999999998</v>
          </cell>
          <cell r="V21">
            <v>22.009109168576195</v>
          </cell>
          <cell r="W21">
            <v>9943.0020000000004</v>
          </cell>
          <cell r="X21">
            <v>9449</v>
          </cell>
          <cell r="Y21">
            <v>4325.2058699999998</v>
          </cell>
          <cell r="Z21">
            <v>2543.67</v>
          </cell>
          <cell r="AA21">
            <v>24.978191334690315</v>
          </cell>
          <cell r="AB21">
            <v>9416.735999999999</v>
          </cell>
          <cell r="AC21">
            <v>9884</v>
          </cell>
          <cell r="AD21">
            <v>4096.2801599999993</v>
          </cell>
          <cell r="AE21">
            <v>2632.11</v>
          </cell>
          <cell r="AF21">
            <v>24.334638205677425</v>
          </cell>
          <cell r="AG21">
            <v>8546.4768000000004</v>
          </cell>
          <cell r="AH21">
            <v>7411</v>
          </cell>
          <cell r="AI21">
            <v>3717.717408</v>
          </cell>
          <cell r="AJ21">
            <v>1973.55</v>
          </cell>
          <cell r="AK21">
            <v>19.794337606837608</v>
          </cell>
          <cell r="AL21">
            <v>11120.716799999998</v>
          </cell>
          <cell r="AM21">
            <v>8459</v>
          </cell>
          <cell r="AN21">
            <v>4837.5118079999993</v>
          </cell>
          <cell r="AO21">
            <v>2265.3200000000002</v>
          </cell>
          <cell r="AP21">
            <v>22.987037691241611</v>
          </cell>
          <cell r="AQ21">
            <v>11770.92</v>
          </cell>
          <cell r="AR21">
            <v>8381</v>
          </cell>
          <cell r="AS21">
            <v>5120.3501999999999</v>
          </cell>
          <cell r="AT21">
            <v>2244.4299999999998</v>
          </cell>
          <cell r="AU21">
            <v>23.281848991610644</v>
          </cell>
          <cell r="AV21">
            <v>10425.672</v>
          </cell>
          <cell r="AW21">
            <v>3866</v>
          </cell>
          <cell r="AX21">
            <v>4535.1673200000005</v>
          </cell>
          <cell r="AY21">
            <v>1046.1400000000001</v>
          </cell>
          <cell r="AZ21">
            <v>10.473842485979789</v>
          </cell>
          <cell r="BA21">
            <v>7174.6559999999999</v>
          </cell>
          <cell r="BB21">
            <v>13817</v>
          </cell>
          <cell r="BC21">
            <v>3120.9753599999999</v>
          </cell>
          <cell r="BD21">
            <v>3738.88</v>
          </cell>
          <cell r="BE21">
            <v>38.999125010584549</v>
          </cell>
          <cell r="BF21">
            <v>6718.7663999999995</v>
          </cell>
          <cell r="BG21">
            <v>9270</v>
          </cell>
          <cell r="BH21">
            <v>2922.663384</v>
          </cell>
          <cell r="BI21">
            <v>2540.91</v>
          </cell>
          <cell r="BJ21">
            <v>25.692904656319289</v>
          </cell>
          <cell r="BK21">
            <v>104457.05399999999</v>
          </cell>
          <cell r="BL21">
            <v>98010</v>
          </cell>
          <cell r="BM21">
            <v>45438.818489999991</v>
          </cell>
          <cell r="BN21">
            <v>27689.97</v>
          </cell>
          <cell r="BO21">
            <v>22.244262473672745</v>
          </cell>
        </row>
        <row r="22">
          <cell r="C22">
            <v>12394.965600000001</v>
          </cell>
          <cell r="D22">
            <v>11604</v>
          </cell>
          <cell r="E22">
            <v>15989.505624000003</v>
          </cell>
          <cell r="F22">
            <v>6268.48</v>
          </cell>
          <cell r="G22">
            <v>30.868269844647795</v>
          </cell>
          <cell r="H22">
            <v>8440.1855999999989</v>
          </cell>
          <cell r="I22">
            <v>8360</v>
          </cell>
          <cell r="J22">
            <v>10887.839423999998</v>
          </cell>
          <cell r="K22">
            <v>4516.07</v>
          </cell>
          <cell r="L22">
            <v>24.862453531598511</v>
          </cell>
          <cell r="M22">
            <v>9769.2408000000014</v>
          </cell>
          <cell r="N22">
            <v>10049</v>
          </cell>
          <cell r="O22">
            <v>12602.320632000003</v>
          </cell>
          <cell r="P22">
            <v>9361.5499999999993</v>
          </cell>
          <cell r="Q22">
            <v>27.204309808061939</v>
          </cell>
          <cell r="R22">
            <v>14713.650000000001</v>
          </cell>
          <cell r="S22">
            <v>9611</v>
          </cell>
          <cell r="T22">
            <v>18980.608500000002</v>
          </cell>
          <cell r="U22">
            <v>8953.61</v>
          </cell>
          <cell r="V22">
            <v>27.188887945910775</v>
          </cell>
          <cell r="W22">
            <v>13900.896000000001</v>
          </cell>
          <cell r="X22">
            <v>7259</v>
          </cell>
          <cell r="Y22">
            <v>17932.155840000003</v>
          </cell>
          <cell r="Z22">
            <v>8535.86</v>
          </cell>
          <cell r="AA22">
            <v>19.18898199793809</v>
          </cell>
          <cell r="AB22">
            <v>12854.592000000001</v>
          </cell>
          <cell r="AC22">
            <v>11099</v>
          </cell>
          <cell r="AD22">
            <v>16582.42368</v>
          </cell>
          <cell r="AE22">
            <v>13256.65</v>
          </cell>
          <cell r="AF22">
            <v>27.325996503926927</v>
          </cell>
          <cell r="AG22">
            <v>13900.895999999999</v>
          </cell>
          <cell r="AH22">
            <v>10639</v>
          </cell>
          <cell r="AI22">
            <v>17932.155839999999</v>
          </cell>
          <cell r="AJ22">
            <v>11584.81</v>
          </cell>
          <cell r="AK22">
            <v>28.41613247863248</v>
          </cell>
          <cell r="AL22">
            <v>15059.303999999998</v>
          </cell>
          <cell r="AM22">
            <v>10337</v>
          </cell>
          <cell r="AN22">
            <v>19426.50216</v>
          </cell>
          <cell r="AO22">
            <v>10453.81</v>
          </cell>
          <cell r="AP22">
            <v>28.090437240142393</v>
          </cell>
          <cell r="AQ22">
            <v>16815.599999999999</v>
          </cell>
          <cell r="AR22">
            <v>10793</v>
          </cell>
          <cell r="AS22">
            <v>21692.124</v>
          </cell>
          <cell r="AT22">
            <v>8427.17</v>
          </cell>
          <cell r="AU22">
            <v>29.982221234513027</v>
          </cell>
          <cell r="AV22">
            <v>14673.168</v>
          </cell>
          <cell r="AW22">
            <v>11506</v>
          </cell>
          <cell r="AX22">
            <v>18928.386719999999</v>
          </cell>
          <cell r="AY22">
            <v>8983.8799999999992</v>
          </cell>
          <cell r="AZ22">
            <v>31.172279266343367</v>
          </cell>
          <cell r="BA22">
            <v>11135.664000000001</v>
          </cell>
          <cell r="BB22">
            <v>10417</v>
          </cell>
          <cell r="BC22">
            <v>14365.006560000002</v>
          </cell>
          <cell r="BD22">
            <v>7236.69</v>
          </cell>
          <cell r="BE22">
            <v>29.402466905642267</v>
          </cell>
          <cell r="BF22">
            <v>11661.307200000001</v>
          </cell>
          <cell r="BG22">
            <v>11224</v>
          </cell>
          <cell r="BH22">
            <v>15043.086288000002</v>
          </cell>
          <cell r="BI22">
            <v>7366.31</v>
          </cell>
          <cell r="BJ22">
            <v>31.108647450110865</v>
          </cell>
          <cell r="BK22">
            <v>155319.46919999999</v>
          </cell>
          <cell r="BL22">
            <v>122898</v>
          </cell>
          <cell r="BM22">
            <v>200362.11526800002</v>
          </cell>
          <cell r="BN22">
            <v>104944.89</v>
          </cell>
          <cell r="BO22">
            <v>27.892820829399376</v>
          </cell>
        </row>
        <row r="23">
          <cell r="C23">
            <v>2432.6568000000002</v>
          </cell>
          <cell r="D23">
            <v>1250</v>
          </cell>
          <cell r="E23">
            <v>437.87822400000005</v>
          </cell>
          <cell r="F23">
            <v>199.38</v>
          </cell>
          <cell r="G23">
            <v>3.3251755692700575</v>
          </cell>
          <cell r="H23">
            <v>1464.8255999999999</v>
          </cell>
          <cell r="I23">
            <v>1250</v>
          </cell>
          <cell r="J23">
            <v>263.66860799999995</v>
          </cell>
          <cell r="K23">
            <v>199.38</v>
          </cell>
          <cell r="L23">
            <v>3.7174721189591078</v>
          </cell>
          <cell r="M23">
            <v>3243.5424000000003</v>
          </cell>
          <cell r="N23">
            <v>1550</v>
          </cell>
          <cell r="O23">
            <v>583.83763199999999</v>
          </cell>
          <cell r="P23">
            <v>247.23</v>
          </cell>
          <cell r="Q23">
            <v>4.1961070954817403</v>
          </cell>
          <cell r="R23">
            <v>2101.9500000000003</v>
          </cell>
          <cell r="S23">
            <v>750</v>
          </cell>
          <cell r="T23">
            <v>378.35100000000006</v>
          </cell>
          <cell r="U23">
            <v>119.63</v>
          </cell>
          <cell r="V23">
            <v>2.121700755325469</v>
          </cell>
          <cell r="W23">
            <v>3861.36</v>
          </cell>
          <cell r="X23">
            <v>1550</v>
          </cell>
          <cell r="Y23">
            <v>695.04480000000001</v>
          </cell>
          <cell r="Z23">
            <v>270.48</v>
          </cell>
          <cell r="AA23">
            <v>4.097385603637421</v>
          </cell>
          <cell r="AB23">
            <v>2391.5520000000001</v>
          </cell>
          <cell r="AC23">
            <v>1400</v>
          </cell>
          <cell r="AD23">
            <v>430.47935999999999</v>
          </cell>
          <cell r="AE23">
            <v>244.3</v>
          </cell>
          <cell r="AF23">
            <v>3.4468326070364625</v>
          </cell>
          <cell r="AG23">
            <v>2780.1792</v>
          </cell>
          <cell r="AH23">
            <v>1250</v>
          </cell>
          <cell r="AI23">
            <v>500.432256</v>
          </cell>
          <cell r="AJ23">
            <v>218.13</v>
          </cell>
          <cell r="AK23">
            <v>3.3386752136752138</v>
          </cell>
          <cell r="AL23">
            <v>1390.0895999999998</v>
          </cell>
          <cell r="AM23">
            <v>1050</v>
          </cell>
          <cell r="AN23">
            <v>250.21612799999994</v>
          </cell>
          <cell r="AO23">
            <v>183.23</v>
          </cell>
          <cell r="AP23">
            <v>2.8533384059349438</v>
          </cell>
          <cell r="AQ23">
            <v>4764.42</v>
          </cell>
          <cell r="AR23">
            <v>1200</v>
          </cell>
          <cell r="AS23">
            <v>857.59559999999999</v>
          </cell>
          <cell r="AT23">
            <v>209.4</v>
          </cell>
          <cell r="AU23">
            <v>3.3335185288071556</v>
          </cell>
          <cell r="AV23">
            <v>3233.8890000000001</v>
          </cell>
          <cell r="AW23">
            <v>250</v>
          </cell>
          <cell r="AX23">
            <v>582.10001999999997</v>
          </cell>
          <cell r="AY23">
            <v>44.25</v>
          </cell>
          <cell r="AZ23">
            <v>0.67730486846739457</v>
          </cell>
          <cell r="BA23">
            <v>2578.3920000000003</v>
          </cell>
          <cell r="BB23">
            <v>450</v>
          </cell>
          <cell r="BC23">
            <v>464.11056000000002</v>
          </cell>
          <cell r="BD23">
            <v>80.42</v>
          </cell>
          <cell r="BE23">
            <v>1.270145925654125</v>
          </cell>
          <cell r="BF23">
            <v>2471.2704000000003</v>
          </cell>
          <cell r="BG23">
            <v>1450</v>
          </cell>
          <cell r="BH23">
            <v>444.82867200000004</v>
          </cell>
          <cell r="BI23">
            <v>259.83999999999997</v>
          </cell>
          <cell r="BJ23">
            <v>4.0188470066518844</v>
          </cell>
          <cell r="BK23">
            <v>32714.126999999997</v>
          </cell>
          <cell r="BL23">
            <v>13400</v>
          </cell>
          <cell r="BM23">
            <v>5888.5428599999996</v>
          </cell>
          <cell r="BN23">
            <v>2275.67</v>
          </cell>
          <cell r="BO23">
            <v>3.0412520880238216</v>
          </cell>
        </row>
        <row r="24">
          <cell r="C24">
            <v>3315.2533714285714</v>
          </cell>
          <cell r="D24">
            <v>2920</v>
          </cell>
          <cell r="E24">
            <v>3116.3381691428572</v>
          </cell>
          <cell r="F24">
            <v>788.11</v>
          </cell>
          <cell r="G24">
            <v>7.7676101298148543</v>
          </cell>
          <cell r="H24">
            <v>2481.2351999999996</v>
          </cell>
          <cell r="I24">
            <v>2686</v>
          </cell>
          <cell r="J24">
            <v>2332.3610879999997</v>
          </cell>
          <cell r="K24">
            <v>724.95</v>
          </cell>
          <cell r="L24">
            <v>7.9881040892193305</v>
          </cell>
          <cell r="M24">
            <v>3144.2502857142858</v>
          </cell>
          <cell r="N24">
            <v>10029</v>
          </cell>
          <cell r="O24">
            <v>2955.5952685714287</v>
          </cell>
          <cell r="P24">
            <v>8297.99</v>
          </cell>
          <cell r="Q24">
            <v>27.150166490700887</v>
          </cell>
          <cell r="R24">
            <v>2148.66</v>
          </cell>
          <cell r="S24">
            <v>1759</v>
          </cell>
          <cell r="T24">
            <v>2019.7403999999997</v>
          </cell>
          <cell r="U24">
            <v>1455.4</v>
          </cell>
          <cell r="V24">
            <v>4.9760955048233333</v>
          </cell>
          <cell r="W24">
            <v>4344.03</v>
          </cell>
          <cell r="X24">
            <v>3239</v>
          </cell>
          <cell r="Y24">
            <v>4083.3881999999994</v>
          </cell>
          <cell r="Z24">
            <v>2679.95</v>
          </cell>
          <cell r="AA24">
            <v>8.5622141743107143</v>
          </cell>
          <cell r="AB24">
            <v>4875.6342857142863</v>
          </cell>
          <cell r="AC24">
            <v>854</v>
          </cell>
          <cell r="AD24">
            <v>4583.0962285714286</v>
          </cell>
          <cell r="AE24">
            <v>706.6</v>
          </cell>
          <cell r="AF24">
            <v>2.1025678902922422</v>
          </cell>
          <cell r="AG24">
            <v>5383.8390857142849</v>
          </cell>
          <cell r="AH24">
            <v>2882</v>
          </cell>
          <cell r="AI24">
            <v>5060.8087405714277</v>
          </cell>
          <cell r="AJ24">
            <v>2384.5700000000002</v>
          </cell>
          <cell r="AK24">
            <v>7.6976495726495733</v>
          </cell>
          <cell r="AL24">
            <v>5982.3498857142849</v>
          </cell>
          <cell r="AM24">
            <v>2981</v>
          </cell>
          <cell r="AN24">
            <v>5623.4088925714277</v>
          </cell>
          <cell r="AO24">
            <v>2466.48</v>
          </cell>
          <cell r="AP24">
            <v>8.1007636077067318</v>
          </cell>
          <cell r="AQ24">
            <v>4564.2342857142849</v>
          </cell>
          <cell r="AR24">
            <v>2737</v>
          </cell>
          <cell r="AS24">
            <v>4290.3802285714273</v>
          </cell>
          <cell r="AT24">
            <v>2264.59</v>
          </cell>
          <cell r="AU24">
            <v>7.6032001777876541</v>
          </cell>
          <cell r="AV24">
            <v>4350.9252857142856</v>
          </cell>
          <cell r="AW24">
            <v>2847</v>
          </cell>
          <cell r="AX24">
            <v>4089.8697685714283</v>
          </cell>
          <cell r="AY24">
            <v>2355.61</v>
          </cell>
          <cell r="AZ24">
            <v>7.7131478421066886</v>
          </cell>
          <cell r="BA24">
            <v>3202.9714285714285</v>
          </cell>
          <cell r="BB24">
            <v>2342</v>
          </cell>
          <cell r="BC24">
            <v>3010.7931428571428</v>
          </cell>
          <cell r="BD24">
            <v>1937.77</v>
          </cell>
          <cell r="BE24">
            <v>6.6104039064043576</v>
          </cell>
          <cell r="BF24">
            <v>2796.727885714286</v>
          </cell>
          <cell r="BG24">
            <v>7925</v>
          </cell>
          <cell r="BH24">
            <v>2628.9242125714286</v>
          </cell>
          <cell r="BI24">
            <v>3727.92</v>
          </cell>
          <cell r="BJ24">
            <v>21.965077605321508</v>
          </cell>
          <cell r="BK24">
            <v>46590.110999999997</v>
          </cell>
          <cell r="BL24">
            <v>43201</v>
          </cell>
          <cell r="BM24">
            <v>43794.704340000004</v>
          </cell>
          <cell r="BN24">
            <v>29789.940000000002</v>
          </cell>
          <cell r="BO24">
            <v>9.8048605563221738</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5950</v>
          </cell>
          <cell r="T25">
            <v>0</v>
          </cell>
          <cell r="U25">
            <v>1319.76</v>
          </cell>
          <cell r="V25">
            <v>16.832159325582055</v>
          </cell>
          <cell r="W25">
            <v>6226.4430000000002</v>
          </cell>
          <cell r="X25">
            <v>9579</v>
          </cell>
          <cell r="Y25">
            <v>2278.878138</v>
          </cell>
          <cell r="Z25">
            <v>2998.23</v>
          </cell>
          <cell r="AA25">
            <v>25.321843030479261</v>
          </cell>
          <cell r="AB25">
            <v>24662.880000000001</v>
          </cell>
          <cell r="AC25">
            <v>8712</v>
          </cell>
          <cell r="AD25">
            <v>9026.6140799999994</v>
          </cell>
          <cell r="AE25">
            <v>2726.86</v>
          </cell>
          <cell r="AF25">
            <v>21.449146908929759</v>
          </cell>
          <cell r="AG25">
            <v>36090.844799999992</v>
          </cell>
          <cell r="AH25">
            <v>2261</v>
          </cell>
          <cell r="AI25">
            <v>13209.249196799996</v>
          </cell>
          <cell r="AJ25">
            <v>718.09</v>
          </cell>
          <cell r="AK25">
            <v>6.0389957264957266</v>
          </cell>
          <cell r="AL25">
            <v>38922.508799999996</v>
          </cell>
          <cell r="AM25">
            <v>2637</v>
          </cell>
          <cell r="AN25">
            <v>14245.638220799998</v>
          </cell>
          <cell r="AO25">
            <v>837.51</v>
          </cell>
          <cell r="AP25">
            <v>7.1659555966194732</v>
          </cell>
          <cell r="AQ25">
            <v>38059.308000000005</v>
          </cell>
          <cell r="AR25">
            <v>0</v>
          </cell>
          <cell r="AS25">
            <v>13929.706728000001</v>
          </cell>
          <cell r="AT25">
            <v>0</v>
          </cell>
          <cell r="AU25">
            <v>0</v>
          </cell>
          <cell r="AV25">
            <v>16410.78</v>
          </cell>
          <cell r="AW25">
            <v>250</v>
          </cell>
          <cell r="AX25">
            <v>6006.345479999999</v>
          </cell>
          <cell r="AY25">
            <v>79.400000000000006</v>
          </cell>
          <cell r="AZ25">
            <v>0.67730486846739457</v>
          </cell>
          <cell r="BA25">
            <v>11920.392</v>
          </cell>
          <cell r="BB25">
            <v>0</v>
          </cell>
          <cell r="BC25">
            <v>4362.863472</v>
          </cell>
          <cell r="BD25">
            <v>0</v>
          </cell>
          <cell r="BE25">
            <v>0</v>
          </cell>
          <cell r="BF25">
            <v>6332.6304</v>
          </cell>
          <cell r="BG25">
            <v>0</v>
          </cell>
          <cell r="BH25">
            <v>2317.7427263999998</v>
          </cell>
          <cell r="BI25">
            <v>0</v>
          </cell>
          <cell r="BJ25">
            <v>0</v>
          </cell>
          <cell r="BK25">
            <v>178625.78699999998</v>
          </cell>
          <cell r="BL25">
            <v>29389</v>
          </cell>
          <cell r="BM25">
            <v>65377.038041999993</v>
          </cell>
          <cell r="BN25">
            <v>8679.85</v>
          </cell>
          <cell r="BO25">
            <v>6.6701013145471713</v>
          </cell>
        </row>
        <row r="26">
          <cell r="C26">
            <v>2471.2704000000003</v>
          </cell>
          <cell r="D26">
            <v>2200</v>
          </cell>
          <cell r="E26">
            <v>8550.5955840000006</v>
          </cell>
          <cell r="F26">
            <v>4818.4399999999996</v>
          </cell>
          <cell r="G26">
            <v>5.8523090019153008</v>
          </cell>
          <cell r="H26">
            <v>1011.4271999999999</v>
          </cell>
          <cell r="I26">
            <v>2145</v>
          </cell>
          <cell r="J26">
            <v>3499.5381119999993</v>
          </cell>
          <cell r="K26">
            <v>6292.36</v>
          </cell>
          <cell r="L26">
            <v>6.3791821561338287</v>
          </cell>
          <cell r="M26">
            <v>1467.3168000000001</v>
          </cell>
          <cell r="N26">
            <v>2035</v>
          </cell>
          <cell r="O26">
            <v>5076.9161279999998</v>
          </cell>
          <cell r="P26">
            <v>6471.3</v>
          </cell>
          <cell r="Q26">
            <v>5.5090825414873175</v>
          </cell>
          <cell r="R26">
            <v>3082.86</v>
          </cell>
          <cell r="S26">
            <v>770</v>
          </cell>
          <cell r="T26">
            <v>10666.695600000001</v>
          </cell>
          <cell r="U26">
            <v>2452.14</v>
          </cell>
          <cell r="V26">
            <v>2.1782794421341478</v>
          </cell>
          <cell r="W26">
            <v>1834.146</v>
          </cell>
          <cell r="X26">
            <v>1320</v>
          </cell>
          <cell r="Y26">
            <v>6346.14516</v>
          </cell>
          <cell r="Z26">
            <v>4203.67</v>
          </cell>
          <cell r="AA26">
            <v>3.4893864495492872</v>
          </cell>
          <cell r="AB26">
            <v>448.416</v>
          </cell>
          <cell r="AC26">
            <v>1595</v>
          </cell>
          <cell r="AD26">
            <v>1551.51936</v>
          </cell>
          <cell r="AE26">
            <v>5079.4399999999996</v>
          </cell>
          <cell r="AF26">
            <v>3.9269271487308268</v>
          </cell>
          <cell r="AG26">
            <v>617.81759999999997</v>
          </cell>
          <cell r="AH26">
            <v>715</v>
          </cell>
          <cell r="AI26">
            <v>2137.6488959999997</v>
          </cell>
          <cell r="AJ26">
            <v>2394.46</v>
          </cell>
          <cell r="AK26">
            <v>1.9097222222222223</v>
          </cell>
          <cell r="AL26">
            <v>1158.4079999999999</v>
          </cell>
          <cell r="AM26">
            <v>990</v>
          </cell>
          <cell r="AN26">
            <v>4008.0916799999995</v>
          </cell>
          <cell r="AO26">
            <v>3315.41</v>
          </cell>
          <cell r="AP26">
            <v>2.6902904970243755</v>
          </cell>
          <cell r="AQ26">
            <v>3138.9119999999998</v>
          </cell>
          <cell r="AR26">
            <v>1650</v>
          </cell>
          <cell r="AS26">
            <v>10860.63552</v>
          </cell>
          <cell r="AT26">
            <v>5525.69</v>
          </cell>
          <cell r="AU26">
            <v>4.5835879771098389</v>
          </cell>
          <cell r="AV26">
            <v>337.86899999999997</v>
          </cell>
          <cell r="AW26">
            <v>1375</v>
          </cell>
          <cell r="AX26">
            <v>1169.0267399999998</v>
          </cell>
          <cell r="AY26">
            <v>4407.5600000000004</v>
          </cell>
          <cell r="AZ26">
            <v>3.7251767765706698</v>
          </cell>
          <cell r="BA26">
            <v>1345.248</v>
          </cell>
          <cell r="BB26">
            <v>2090</v>
          </cell>
          <cell r="BC26">
            <v>4654.5580799999998</v>
          </cell>
          <cell r="BD26">
            <v>6708.69</v>
          </cell>
          <cell r="BE26">
            <v>5.8991221880380476</v>
          </cell>
          <cell r="BF26">
            <v>1081.1808000000001</v>
          </cell>
          <cell r="BG26">
            <v>2640</v>
          </cell>
          <cell r="BH26">
            <v>3740.8855680000001</v>
          </cell>
          <cell r="BI26">
            <v>8365.6299999999992</v>
          </cell>
          <cell r="BJ26">
            <v>7.3170731707317067</v>
          </cell>
          <cell r="BK26">
            <v>17994.871800000001</v>
          </cell>
          <cell r="BL26">
            <v>19525</v>
          </cell>
          <cell r="BM26">
            <v>62262.256427999993</v>
          </cell>
          <cell r="BN26">
            <v>60034.789999999994</v>
          </cell>
          <cell r="BO26">
            <v>4.4313766431839641</v>
          </cell>
        </row>
        <row r="27">
          <cell r="C27">
            <v>0</v>
          </cell>
          <cell r="D27">
            <v>8</v>
          </cell>
          <cell r="E27">
            <v>0</v>
          </cell>
          <cell r="F27">
            <v>28.47</v>
          </cell>
          <cell r="G27">
            <v>2.1281123643328365E-2</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5</v>
          </cell>
          <cell r="AN27">
            <v>0</v>
          </cell>
          <cell r="AO27">
            <v>17.79</v>
          </cell>
          <cell r="AP27">
            <v>1.3587325742547351E-2</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13</v>
          </cell>
          <cell r="BM27">
            <v>0</v>
          </cell>
          <cell r="BN27">
            <v>46.26</v>
          </cell>
          <cell r="BO27">
            <v>2.9504684436052002E-3</v>
          </cell>
        </row>
        <row r="28">
          <cell r="G28">
            <v>0</v>
          </cell>
          <cell r="L28">
            <v>0</v>
          </cell>
          <cell r="Q28">
            <v>0</v>
          </cell>
          <cell r="V28">
            <v>0</v>
          </cell>
          <cell r="AA28">
            <v>0</v>
          </cell>
          <cell r="AF28">
            <v>0</v>
          </cell>
          <cell r="AK28">
            <v>0</v>
          </cell>
          <cell r="AP28">
            <v>0</v>
          </cell>
          <cell r="AU28">
            <v>0</v>
          </cell>
          <cell r="AZ28">
            <v>0</v>
          </cell>
          <cell r="BE28">
            <v>0</v>
          </cell>
          <cell r="BJ28">
            <v>0</v>
          </cell>
          <cell r="BK28">
            <v>0</v>
          </cell>
          <cell r="BL28">
            <v>0</v>
          </cell>
          <cell r="BM28">
            <v>0</v>
          </cell>
          <cell r="BN28">
            <v>0</v>
          </cell>
          <cell r="BO28">
            <v>0</v>
          </cell>
        </row>
        <row r="29">
          <cell r="G29">
            <v>0</v>
          </cell>
          <cell r="L29">
            <v>0</v>
          </cell>
          <cell r="Q29">
            <v>0</v>
          </cell>
          <cell r="V29">
            <v>0</v>
          </cell>
          <cell r="AA29">
            <v>0</v>
          </cell>
          <cell r="AF29">
            <v>0</v>
          </cell>
          <cell r="AK29">
            <v>0</v>
          </cell>
          <cell r="AP29">
            <v>0</v>
          </cell>
          <cell r="AU29">
            <v>0</v>
          </cell>
          <cell r="AZ29">
            <v>0</v>
          </cell>
          <cell r="BE29">
            <v>0</v>
          </cell>
          <cell r="BJ29">
            <v>0</v>
          </cell>
          <cell r="BK29">
            <v>0</v>
          </cell>
          <cell r="BL29">
            <v>0</v>
          </cell>
          <cell r="BM29">
            <v>0</v>
          </cell>
          <cell r="BN29">
            <v>0</v>
          </cell>
          <cell r="BO29">
            <v>0</v>
          </cell>
        </row>
        <row r="33">
          <cell r="D33">
            <v>7.5999999999999988</v>
          </cell>
          <cell r="E33">
            <v>6.03</v>
          </cell>
          <cell r="F33">
            <v>11.1</v>
          </cell>
          <cell r="I33">
            <v>7.2566666666666668</v>
          </cell>
          <cell r="J33">
            <v>13.98</v>
          </cell>
          <cell r="K33">
            <v>10.07</v>
          </cell>
          <cell r="N33">
            <v>15.533333333333333</v>
          </cell>
          <cell r="O33">
            <v>14.45</v>
          </cell>
          <cell r="P33">
            <v>16.100000000000001</v>
          </cell>
          <cell r="S33">
            <v>14.733333333333334</v>
          </cell>
          <cell r="T33">
            <v>10.77</v>
          </cell>
          <cell r="U33">
            <v>17.3</v>
          </cell>
          <cell r="X33">
            <v>12.033333333333333</v>
          </cell>
          <cell r="Y33">
            <v>140</v>
          </cell>
          <cell r="Z33">
            <v>12.55</v>
          </cell>
          <cell r="AC33">
            <v>8.3433333333333337</v>
          </cell>
          <cell r="AD33">
            <v>22.63</v>
          </cell>
          <cell r="AE33">
            <v>9</v>
          </cell>
          <cell r="AH33">
            <v>8.9633333333333329</v>
          </cell>
          <cell r="AI33">
            <v>14.54</v>
          </cell>
          <cell r="AJ33">
            <v>5.9</v>
          </cell>
          <cell r="AM33">
            <v>6.7600000000000007</v>
          </cell>
          <cell r="AN33">
            <v>29.65</v>
          </cell>
          <cell r="AO33">
            <v>4.5199999999999996</v>
          </cell>
          <cell r="AR33">
            <v>8.2666666666666675</v>
          </cell>
          <cell r="AS33">
            <v>13.9</v>
          </cell>
          <cell r="AT33">
            <v>4.03</v>
          </cell>
          <cell r="AW33">
            <v>16.053333333333331</v>
          </cell>
          <cell r="AX33">
            <v>9.77</v>
          </cell>
          <cell r="AY33">
            <v>8.26</v>
          </cell>
          <cell r="BB33">
            <v>8.8666666666666671</v>
          </cell>
          <cell r="BC33">
            <v>9.5299999999999994</v>
          </cell>
          <cell r="BD33">
            <v>7.27</v>
          </cell>
          <cell r="BG33">
            <v>7.293333333333333</v>
          </cell>
          <cell r="BH33">
            <v>6.26</v>
          </cell>
          <cell r="BI33">
            <v>6.3</v>
          </cell>
        </row>
        <row r="34">
          <cell r="D34">
            <v>8180</v>
          </cell>
          <cell r="E34">
            <v>10107.42</v>
          </cell>
          <cell r="F34">
            <v>10107.42</v>
          </cell>
          <cell r="I34">
            <v>8180</v>
          </cell>
          <cell r="J34">
            <v>9256</v>
          </cell>
          <cell r="K34">
            <v>9256</v>
          </cell>
          <cell r="N34">
            <v>11180</v>
          </cell>
          <cell r="O34">
            <v>10573.7</v>
          </cell>
          <cell r="P34">
            <v>7412</v>
          </cell>
          <cell r="S34">
            <v>8180</v>
          </cell>
          <cell r="T34">
            <v>9057</v>
          </cell>
          <cell r="U34">
            <v>9057</v>
          </cell>
          <cell r="X34">
            <v>8180</v>
          </cell>
          <cell r="Y34">
            <v>6931</v>
          </cell>
          <cell r="Z34">
            <v>6931</v>
          </cell>
          <cell r="AC34">
            <v>8180</v>
          </cell>
          <cell r="AD34">
            <v>8180</v>
          </cell>
          <cell r="AE34">
            <v>8180</v>
          </cell>
          <cell r="AH34">
            <v>11180</v>
          </cell>
          <cell r="AI34">
            <v>11180</v>
          </cell>
          <cell r="AJ34">
            <v>11180</v>
          </cell>
          <cell r="AM34">
            <v>8180</v>
          </cell>
          <cell r="AN34">
            <v>7328</v>
          </cell>
          <cell r="AO34">
            <v>7328</v>
          </cell>
          <cell r="AR34">
            <v>8180</v>
          </cell>
          <cell r="AS34">
            <v>1339.33</v>
          </cell>
          <cell r="AT34">
            <v>1339.33</v>
          </cell>
          <cell r="AW34">
            <v>8180</v>
          </cell>
          <cell r="AX34">
            <v>-6064.7</v>
          </cell>
          <cell r="AY34">
            <v>-6064.7</v>
          </cell>
          <cell r="BB34">
            <v>8180</v>
          </cell>
          <cell r="BC34">
            <v>2195.64</v>
          </cell>
          <cell r="BD34">
            <v>2195.64</v>
          </cell>
          <cell r="BG34">
            <v>8180</v>
          </cell>
          <cell r="BH34">
            <v>2212.67</v>
          </cell>
          <cell r="BI34">
            <v>2212.67</v>
          </cell>
          <cell r="BL34">
            <v>104160</v>
          </cell>
          <cell r="BM34">
            <v>72296.06</v>
          </cell>
          <cell r="BN34">
            <v>69134.36</v>
          </cell>
        </row>
        <row r="35">
          <cell r="D35">
            <v>386.13600000000002</v>
          </cell>
          <cell r="E35">
            <v>375.92</v>
          </cell>
          <cell r="F35">
            <v>322.54000000000002</v>
          </cell>
          <cell r="I35">
            <v>348.76799999999997</v>
          </cell>
          <cell r="J35">
            <v>336.25</v>
          </cell>
          <cell r="K35">
            <v>283.58</v>
          </cell>
          <cell r="N35">
            <v>386.13600000000002</v>
          </cell>
          <cell r="O35">
            <v>369.39</v>
          </cell>
          <cell r="P35">
            <v>381.84</v>
          </cell>
          <cell r="S35">
            <v>467.1</v>
          </cell>
          <cell r="T35">
            <v>353.49</v>
          </cell>
          <cell r="U35">
            <v>364.56</v>
          </cell>
          <cell r="X35">
            <v>482.67</v>
          </cell>
          <cell r="Y35">
            <v>378.29</v>
          </cell>
          <cell r="Z35">
            <v>385.18</v>
          </cell>
          <cell r="AC35">
            <v>498.24</v>
          </cell>
          <cell r="AD35">
            <v>406.17</v>
          </cell>
          <cell r="AE35">
            <v>399.36</v>
          </cell>
          <cell r="AH35">
            <v>514.84799999999996</v>
          </cell>
          <cell r="AI35">
            <v>374.4</v>
          </cell>
          <cell r="AJ35">
            <v>409.84</v>
          </cell>
          <cell r="AM35">
            <v>579.20399999999995</v>
          </cell>
          <cell r="AN35">
            <v>367.99</v>
          </cell>
          <cell r="AO35">
            <v>438.92</v>
          </cell>
          <cell r="AR35">
            <v>560.52</v>
          </cell>
          <cell r="AS35">
            <v>359.98</v>
          </cell>
          <cell r="AT35">
            <v>402.84</v>
          </cell>
          <cell r="AW35">
            <v>482.67</v>
          </cell>
          <cell r="AX35">
            <v>369.11</v>
          </cell>
          <cell r="AY35">
            <v>499.19</v>
          </cell>
          <cell r="BB35">
            <v>373.68</v>
          </cell>
          <cell r="BC35">
            <v>354.29</v>
          </cell>
          <cell r="BD35">
            <v>304.05</v>
          </cell>
          <cell r="BG35">
            <v>386.13600000000002</v>
          </cell>
          <cell r="BH35">
            <v>360.8</v>
          </cell>
          <cell r="BI35">
            <v>386.13600000000002</v>
          </cell>
          <cell r="BL35">
            <v>5466.1080000000002</v>
          </cell>
          <cell r="BM35">
            <v>4406.08</v>
          </cell>
          <cell r="BN35">
            <v>4578.036000000001</v>
          </cell>
        </row>
        <row r="36">
          <cell r="D36">
            <v>178.08972142857144</v>
          </cell>
          <cell r="E36">
            <v>150.06320493722069</v>
          </cell>
          <cell r="F36">
            <v>109.65601165746881</v>
          </cell>
          <cell r="I36">
            <v>126.82762857142859</v>
          </cell>
          <cell r="J36">
            <v>147.79527137546467</v>
          </cell>
          <cell r="K36">
            <v>106.04</v>
          </cell>
          <cell r="N36">
            <v>163.96228571428571</v>
          </cell>
          <cell r="O36">
            <v>190.99187850239585</v>
          </cell>
          <cell r="P36">
            <v>120</v>
          </cell>
          <cell r="S36">
            <v>161.09050000000002</v>
          </cell>
          <cell r="T36">
            <v>137.48632210246399</v>
          </cell>
          <cell r="U36">
            <v>120</v>
          </cell>
          <cell r="X36">
            <v>177.80840000000003</v>
          </cell>
          <cell r="Y36">
            <v>197.12310661132992</v>
          </cell>
          <cell r="Z36">
            <v>153</v>
          </cell>
          <cell r="AC36">
            <v>145.75332142857141</v>
          </cell>
          <cell r="AD36">
            <v>176.24302631902898</v>
          </cell>
          <cell r="AE36">
            <v>107</v>
          </cell>
          <cell r="AH36">
            <v>170.69161428571428</v>
          </cell>
          <cell r="AI36">
            <v>159.91663995726495</v>
          </cell>
          <cell r="AJ36">
            <v>122</v>
          </cell>
          <cell r="AM36">
            <v>166.02650714285713</v>
          </cell>
          <cell r="AN36">
            <v>164.48900785347428</v>
          </cell>
          <cell r="AO36">
            <v>92</v>
          </cell>
          <cell r="AR36">
            <v>193.95818571428572</v>
          </cell>
          <cell r="AS36">
            <v>116.3164620256681</v>
          </cell>
          <cell r="AT36">
            <v>96</v>
          </cell>
          <cell r="AW36">
            <v>154.14257857142854</v>
          </cell>
          <cell r="AX36">
            <v>160.22779117336296</v>
          </cell>
          <cell r="AY36">
            <v>135</v>
          </cell>
          <cell r="BB36">
            <v>191.21404285714286</v>
          </cell>
          <cell r="BC36">
            <v>186.2143724067854</v>
          </cell>
          <cell r="BD36">
            <v>124</v>
          </cell>
          <cell r="BG36">
            <v>149.89773571428572</v>
          </cell>
          <cell r="BH36">
            <v>133.74113082039909</v>
          </cell>
          <cell r="BI36">
            <v>136.87409932273596</v>
          </cell>
          <cell r="BL36">
            <v>165.83919849031525</v>
          </cell>
          <cell r="BM36">
            <v>160.47299413537661</v>
          </cell>
          <cell r="BN36">
            <v>0</v>
          </cell>
        </row>
        <row r="37">
          <cell r="D37">
            <v>10445</v>
          </cell>
          <cell r="E37">
            <v>10446.64</v>
          </cell>
          <cell r="F37">
            <v>9672.5300000000007</v>
          </cell>
          <cell r="I37">
            <v>10445</v>
          </cell>
          <cell r="J37">
            <v>10446.64</v>
          </cell>
          <cell r="K37">
            <v>8252</v>
          </cell>
          <cell r="N37">
            <v>10445</v>
          </cell>
          <cell r="O37">
            <v>10446.64</v>
          </cell>
          <cell r="P37">
            <v>7967</v>
          </cell>
          <cell r="S37">
            <v>12262</v>
          </cell>
          <cell r="T37">
            <v>8934.67</v>
          </cell>
          <cell r="U37">
            <v>10694</v>
          </cell>
          <cell r="X37">
            <v>12262</v>
          </cell>
          <cell r="Y37">
            <v>8934.67</v>
          </cell>
          <cell r="Z37">
            <v>3244</v>
          </cell>
          <cell r="AC37">
            <v>8835</v>
          </cell>
          <cell r="AD37">
            <v>10841</v>
          </cell>
          <cell r="AE37">
            <v>10841</v>
          </cell>
          <cell r="AH37">
            <v>8835</v>
          </cell>
          <cell r="AI37">
            <v>16627</v>
          </cell>
          <cell r="AJ37">
            <v>16627</v>
          </cell>
          <cell r="AM37">
            <v>8835</v>
          </cell>
          <cell r="AN37">
            <v>16627</v>
          </cell>
          <cell r="AO37">
            <v>16627</v>
          </cell>
          <cell r="AR37">
            <v>8835</v>
          </cell>
          <cell r="AS37">
            <v>-10792.4</v>
          </cell>
          <cell r="AT37">
            <v>-10792.4</v>
          </cell>
          <cell r="AW37">
            <v>8835</v>
          </cell>
          <cell r="AX37">
            <v>9672</v>
          </cell>
          <cell r="AY37">
            <v>9672</v>
          </cell>
          <cell r="BB37">
            <v>8835</v>
          </cell>
          <cell r="BC37">
            <v>8835</v>
          </cell>
          <cell r="BD37">
            <v>8835</v>
          </cell>
          <cell r="BG37">
            <v>8835</v>
          </cell>
          <cell r="BH37">
            <v>8835</v>
          </cell>
          <cell r="BI37">
            <v>8835</v>
          </cell>
          <cell r="BL37">
            <v>117704</v>
          </cell>
          <cell r="BM37">
            <v>109853.86</v>
          </cell>
          <cell r="BN37">
            <v>100474.13</v>
          </cell>
        </row>
        <row r="48">
          <cell r="G48">
            <v>0</v>
          </cell>
          <cell r="L48">
            <v>0</v>
          </cell>
          <cell r="Q48">
            <v>0</v>
          </cell>
          <cell r="V48">
            <v>0</v>
          </cell>
          <cell r="AA48">
            <v>0</v>
          </cell>
          <cell r="AF48">
            <v>0</v>
          </cell>
          <cell r="AK48">
            <v>0</v>
          </cell>
          <cell r="AP48">
            <v>0</v>
          </cell>
          <cell r="AU48">
            <v>0</v>
          </cell>
          <cell r="AZ48">
            <v>0</v>
          </cell>
          <cell r="BE48">
            <v>0</v>
          </cell>
          <cell r="BJ48">
            <v>0</v>
          </cell>
          <cell r="BK48">
            <v>0</v>
          </cell>
          <cell r="BL48">
            <v>0</v>
          </cell>
          <cell r="BM48">
            <v>0</v>
          </cell>
          <cell r="BN48">
            <v>0</v>
          </cell>
          <cell r="BO48">
            <v>0</v>
          </cell>
        </row>
        <row r="49">
          <cell r="C49">
            <v>23755.2788</v>
          </cell>
          <cell r="D49">
            <v>21987</v>
          </cell>
          <cell r="E49">
            <v>30644.309652</v>
          </cell>
          <cell r="F49">
            <v>13161.42</v>
          </cell>
          <cell r="G49">
            <v>28.808962264150942</v>
          </cell>
          <cell r="H49">
            <v>18494.058499999999</v>
          </cell>
          <cell r="I49">
            <v>22616</v>
          </cell>
          <cell r="J49">
            <v>23857.335465</v>
          </cell>
          <cell r="K49">
            <v>23115.81</v>
          </cell>
          <cell r="L49">
            <v>32.857431349673909</v>
          </cell>
          <cell r="M49">
            <v>21977.430499999999</v>
          </cell>
          <cell r="N49">
            <v>20092</v>
          </cell>
          <cell r="O49">
            <v>28350.885344999999</v>
          </cell>
          <cell r="P49">
            <v>23101.78</v>
          </cell>
          <cell r="Q49">
            <v>28.227902520167806</v>
          </cell>
          <cell r="R49">
            <v>19739.940900000001</v>
          </cell>
          <cell r="S49">
            <v>18114</v>
          </cell>
          <cell r="T49">
            <v>25464.523761000004</v>
          </cell>
          <cell r="U49">
            <v>20827.48</v>
          </cell>
          <cell r="V49">
            <v>24.31083076097168</v>
          </cell>
          <cell r="W49">
            <v>24949.195100000001</v>
          </cell>
          <cell r="X49">
            <v>30253</v>
          </cell>
          <cell r="Y49">
            <v>32184.461679000004</v>
          </cell>
          <cell r="Z49">
            <v>35211.47</v>
          </cell>
          <cell r="AA49">
            <v>35.498508037121304</v>
          </cell>
          <cell r="AB49">
            <v>30114.877199999999</v>
          </cell>
          <cell r="AC49">
            <v>30057</v>
          </cell>
          <cell r="AD49">
            <v>38848.191588000002</v>
          </cell>
          <cell r="AE49">
            <v>37294.730000000003</v>
          </cell>
          <cell r="AF49">
            <v>33.783449627738015</v>
          </cell>
          <cell r="AG49">
            <v>29409.374400000001</v>
          </cell>
          <cell r="AH49">
            <v>28664</v>
          </cell>
          <cell r="AI49">
            <v>37938.092976</v>
          </cell>
          <cell r="AJ49">
            <v>24831.62</v>
          </cell>
          <cell r="AK49">
            <v>28.812586508624982</v>
          </cell>
          <cell r="AL49">
            <v>27893.1996</v>
          </cell>
          <cell r="AM49">
            <v>26602</v>
          </cell>
          <cell r="AN49">
            <v>35982.227484000003</v>
          </cell>
          <cell r="AO49">
            <v>24495.119999999999</v>
          </cell>
          <cell r="AP49">
            <v>27.334201248853027</v>
          </cell>
          <cell r="AQ49">
            <v>27487.414099999998</v>
          </cell>
          <cell r="AR49">
            <v>29791</v>
          </cell>
          <cell r="AS49">
            <v>35458.764189000001</v>
          </cell>
          <cell r="AT49">
            <v>17788.21</v>
          </cell>
          <cell r="AU49">
            <v>32.215576503207934</v>
          </cell>
          <cell r="AV49">
            <v>24343.227999999999</v>
          </cell>
          <cell r="AW49">
            <v>22092</v>
          </cell>
          <cell r="AX49">
            <v>31402.76412</v>
          </cell>
          <cell r="AY49">
            <v>13191.13</v>
          </cell>
          <cell r="AZ49">
            <v>27.77299361744122</v>
          </cell>
          <cell r="BA49">
            <v>20837.543999999998</v>
          </cell>
          <cell r="BB49">
            <v>21860</v>
          </cell>
          <cell r="BC49">
            <v>26880.431759999999</v>
          </cell>
          <cell r="BD49">
            <v>12436.15</v>
          </cell>
          <cell r="BE49">
            <v>31.958970880202106</v>
          </cell>
          <cell r="BF49">
            <v>18916.326000000001</v>
          </cell>
          <cell r="BG49">
            <v>25280</v>
          </cell>
          <cell r="BH49">
            <v>24402.060540000002</v>
          </cell>
          <cell r="BI49">
            <v>14169.44</v>
          </cell>
          <cell r="BJ49">
            <v>37.8720350675869</v>
          </cell>
          <cell r="BK49">
            <v>287917.86709999997</v>
          </cell>
          <cell r="BL49">
            <v>297408</v>
          </cell>
          <cell r="BM49">
            <v>371414.04855899996</v>
          </cell>
          <cell r="BN49">
            <v>259624.36</v>
          </cell>
          <cell r="BO49">
            <v>30.692035177038434</v>
          </cell>
        </row>
        <row r="50">
          <cell r="C50">
            <v>43344.519899999999</v>
          </cell>
          <cell r="D50">
            <v>37443</v>
          </cell>
          <cell r="E50">
            <v>8083.7529613500001</v>
          </cell>
          <cell r="F50">
            <v>7353.81</v>
          </cell>
          <cell r="G50">
            <v>49.060534591194966</v>
          </cell>
          <cell r="H50">
            <v>31684.160599999999</v>
          </cell>
          <cell r="I50">
            <v>33667</v>
          </cell>
          <cell r="J50">
            <v>5909.0959518999998</v>
          </cell>
          <cell r="K50">
            <v>6379.9</v>
          </cell>
          <cell r="L50">
            <v>48.912767122810024</v>
          </cell>
          <cell r="M50">
            <v>38066.568299999999</v>
          </cell>
          <cell r="N50">
            <v>35460</v>
          </cell>
          <cell r="O50">
            <v>7099.4149879500001</v>
          </cell>
          <cell r="P50">
            <v>6907.61</v>
          </cell>
          <cell r="Q50">
            <v>49.818904208896591</v>
          </cell>
          <cell r="R50">
            <v>33508.725300000006</v>
          </cell>
          <cell r="S50">
            <v>35930</v>
          </cell>
          <cell r="T50">
            <v>6249.3772684500009</v>
          </cell>
          <cell r="U50">
            <v>7074.62</v>
          </cell>
          <cell r="V50">
            <v>48.221715206012611</v>
          </cell>
          <cell r="W50">
            <v>43198.252999999997</v>
          </cell>
          <cell r="X50">
            <v>43720</v>
          </cell>
          <cell r="Y50">
            <v>8056.474184499999</v>
          </cell>
          <cell r="Z50">
            <v>8634.7000000000007</v>
          </cell>
          <cell r="AA50">
            <v>51.300524621787709</v>
          </cell>
          <cell r="AB50">
            <v>59063.333100000003</v>
          </cell>
          <cell r="AC50">
            <v>47990</v>
          </cell>
          <cell r="AD50">
            <v>11015.311623150001</v>
          </cell>
          <cell r="AE50">
            <v>9482.82</v>
          </cell>
          <cell r="AF50">
            <v>53.939772686400744</v>
          </cell>
          <cell r="AG50">
            <v>65630.478900000002</v>
          </cell>
          <cell r="AH50">
            <v>55350</v>
          </cell>
          <cell r="AI50">
            <v>12240.084314850001</v>
          </cell>
          <cell r="AJ50">
            <v>10942.7</v>
          </cell>
          <cell r="AK50">
            <v>55.636919594348058</v>
          </cell>
          <cell r="AL50">
            <v>72721.556100000002</v>
          </cell>
          <cell r="AM50">
            <v>52950</v>
          </cell>
          <cell r="AN50">
            <v>13562.57021265</v>
          </cell>
          <cell r="AO50">
            <v>10298.780000000001</v>
          </cell>
          <cell r="AP50">
            <v>54.407411327222306</v>
          </cell>
          <cell r="AQ50">
            <v>59665.513200000001</v>
          </cell>
          <cell r="AR50">
            <v>54095</v>
          </cell>
          <cell r="AS50">
            <v>11127.6182118</v>
          </cell>
          <cell r="AT50">
            <v>10548.53</v>
          </cell>
          <cell r="AU50">
            <v>58.497586886678292</v>
          </cell>
          <cell r="AV50">
            <v>54959.518600000003</v>
          </cell>
          <cell r="AW50">
            <v>42508</v>
          </cell>
          <cell r="AX50">
            <v>10249.950218900001</v>
          </cell>
          <cell r="AY50">
            <v>8148.78</v>
          </cell>
          <cell r="AZ50">
            <v>53.439001117607795</v>
          </cell>
          <cell r="BA50">
            <v>44961.008399999999</v>
          </cell>
          <cell r="BB50">
            <v>35600</v>
          </cell>
          <cell r="BC50">
            <v>8385.2280666000006</v>
          </cell>
          <cell r="BD50">
            <v>6803.16</v>
          </cell>
          <cell r="BE50">
            <v>52.046631442598127</v>
          </cell>
          <cell r="BF50">
            <v>36377.550000000003</v>
          </cell>
          <cell r="BG50">
            <v>32430</v>
          </cell>
          <cell r="BH50">
            <v>6784.4130750000004</v>
          </cell>
          <cell r="BI50">
            <v>6190.89</v>
          </cell>
          <cell r="BJ50">
            <v>48.583469036465317</v>
          </cell>
          <cell r="BK50">
            <v>583181.18540000007</v>
          </cell>
          <cell r="BL50">
            <v>507143</v>
          </cell>
          <cell r="BM50">
            <v>108763.2910771</v>
          </cell>
          <cell r="BN50">
            <v>98766.3</v>
          </cell>
          <cell r="BO50">
            <v>52.336355430213054</v>
          </cell>
        </row>
        <row r="51">
          <cell r="C51">
            <v>33151.023399999998</v>
          </cell>
          <cell r="D51">
            <v>33363</v>
          </cell>
          <cell r="E51">
            <v>10442.572371</v>
          </cell>
          <cell r="F51">
            <v>8107.21</v>
          </cell>
          <cell r="G51">
            <v>43.714622641509429</v>
          </cell>
          <cell r="H51">
            <v>26031.259699999999</v>
          </cell>
          <cell r="I51">
            <v>31588</v>
          </cell>
          <cell r="J51">
            <v>8199.8468054999994</v>
          </cell>
          <cell r="K51">
            <v>8885.7000000000007</v>
          </cell>
          <cell r="L51">
            <v>45.892312587261209</v>
          </cell>
          <cell r="M51">
            <v>31017.203799999999</v>
          </cell>
          <cell r="N51">
            <v>28711</v>
          </cell>
          <cell r="O51">
            <v>9770.4191969999993</v>
          </cell>
          <cell r="P51">
            <v>8553.01</v>
          </cell>
          <cell r="Q51">
            <v>40.337015192939369</v>
          </cell>
          <cell r="R51">
            <v>27397.071</v>
          </cell>
          <cell r="S51">
            <v>33781</v>
          </cell>
          <cell r="T51">
            <v>8630.0773649999992</v>
          </cell>
          <cell r="U51">
            <v>10384.280000000001</v>
          </cell>
          <cell r="V51">
            <v>45.337538585424774</v>
          </cell>
          <cell r="W51">
            <v>34823.0815</v>
          </cell>
          <cell r="X51">
            <v>38056</v>
          </cell>
          <cell r="Y51">
            <v>10969.270672500001</v>
          </cell>
          <cell r="Z51">
            <v>11816.39</v>
          </cell>
          <cell r="AA51">
            <v>44.654454826320972</v>
          </cell>
          <cell r="AB51">
            <v>43157.588100000008</v>
          </cell>
          <cell r="AC51">
            <v>42097</v>
          </cell>
          <cell r="AD51">
            <v>13594.640251500003</v>
          </cell>
          <cell r="AE51">
            <v>13151.1</v>
          </cell>
          <cell r="AF51">
            <v>47.316161924972121</v>
          </cell>
          <cell r="AG51">
            <v>42816.589200000002</v>
          </cell>
          <cell r="AH51">
            <v>44607</v>
          </cell>
          <cell r="AI51">
            <v>13487.225598000001</v>
          </cell>
          <cell r="AJ51">
            <v>14024.44</v>
          </cell>
          <cell r="AK51">
            <v>44.838230756008741</v>
          </cell>
          <cell r="AL51">
            <v>41397.050199999998</v>
          </cell>
          <cell r="AM51">
            <v>41552</v>
          </cell>
          <cell r="AN51">
            <v>13040.070813</v>
          </cell>
          <cell r="AO51">
            <v>13076.41</v>
          </cell>
          <cell r="AP51">
            <v>42.695689432837419</v>
          </cell>
          <cell r="AQ51">
            <v>31146.148400000002</v>
          </cell>
          <cell r="AR51">
            <v>42266</v>
          </cell>
          <cell r="AS51">
            <v>9811.0367459999998</v>
          </cell>
          <cell r="AT51">
            <v>13309.56</v>
          </cell>
          <cell r="AU51">
            <v>45.705869439917642</v>
          </cell>
          <cell r="AV51">
            <v>34174.146999999997</v>
          </cell>
          <cell r="AW51">
            <v>26344</v>
          </cell>
          <cell r="AX51">
            <v>10764.856304999999</v>
          </cell>
          <cell r="AY51">
            <v>8295.73</v>
          </cell>
          <cell r="AZ51">
            <v>33.118402311147541</v>
          </cell>
          <cell r="BA51">
            <v>28851.983999999997</v>
          </cell>
          <cell r="BB51">
            <v>29620</v>
          </cell>
          <cell r="BC51">
            <v>9088.3749599999992</v>
          </cell>
          <cell r="BD51">
            <v>9330.2999999999993</v>
          </cell>
          <cell r="BE51">
            <v>43.303966947465071</v>
          </cell>
          <cell r="BF51">
            <v>25828.060500000003</v>
          </cell>
          <cell r="BG51">
            <v>32994</v>
          </cell>
          <cell r="BH51">
            <v>8135.8390575000012</v>
          </cell>
          <cell r="BI51">
            <v>10393.11</v>
          </cell>
          <cell r="BJ51">
            <v>49.428398932751669</v>
          </cell>
          <cell r="BK51">
            <v>399791.20679999999</v>
          </cell>
          <cell r="BL51">
            <v>424979</v>
          </cell>
          <cell r="BM51">
            <v>125934.23014199999</v>
          </cell>
          <cell r="BN51">
            <v>129327.23999999999</v>
          </cell>
          <cell r="BO51">
            <v>43.857160592528167</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5534.3649999999998</v>
          </cell>
          <cell r="AM52">
            <v>0</v>
          </cell>
          <cell r="AN52">
            <v>3763.3682000000003</v>
          </cell>
          <cell r="AO52">
            <v>0</v>
          </cell>
          <cell r="AP52">
            <v>0</v>
          </cell>
          <cell r="AQ52">
            <v>28144.109999999997</v>
          </cell>
          <cell r="AR52">
            <v>0</v>
          </cell>
          <cell r="AS52">
            <v>19137.9948</v>
          </cell>
          <cell r="AT52">
            <v>0</v>
          </cell>
          <cell r="AU52">
            <v>0</v>
          </cell>
          <cell r="AV52">
            <v>14044.17</v>
          </cell>
          <cell r="AW52">
            <v>0</v>
          </cell>
          <cell r="AX52">
            <v>9550.0356000000011</v>
          </cell>
          <cell r="AY52">
            <v>0</v>
          </cell>
          <cell r="AZ52">
            <v>0</v>
          </cell>
          <cell r="BA52">
            <v>0</v>
          </cell>
          <cell r="BB52">
            <v>0</v>
          </cell>
          <cell r="BC52">
            <v>0</v>
          </cell>
          <cell r="BD52">
            <v>0</v>
          </cell>
          <cell r="BE52">
            <v>0</v>
          </cell>
          <cell r="BF52">
            <v>0</v>
          </cell>
          <cell r="BG52">
            <v>0</v>
          </cell>
          <cell r="BH52">
            <v>0</v>
          </cell>
          <cell r="BI52">
            <v>0</v>
          </cell>
          <cell r="BJ52">
            <v>0</v>
          </cell>
          <cell r="BK52">
            <v>47722.644999999997</v>
          </cell>
          <cell r="BL52">
            <v>0</v>
          </cell>
          <cell r="BM52">
            <v>32451.3986</v>
          </cell>
          <cell r="BN52">
            <v>0</v>
          </cell>
          <cell r="BO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row>
        <row r="54">
          <cell r="C54">
            <v>14714.090600000001</v>
          </cell>
          <cell r="D54">
            <v>18795</v>
          </cell>
          <cell r="E54">
            <v>6400.6294110000008</v>
          </cell>
          <cell r="F54">
            <v>5072.7700000000004</v>
          </cell>
          <cell r="G54">
            <v>24.626572327044023</v>
          </cell>
          <cell r="H54">
            <v>12282.8464</v>
          </cell>
          <cell r="I54">
            <v>16095</v>
          </cell>
          <cell r="J54">
            <v>5343.038184</v>
          </cell>
          <cell r="K54">
            <v>4344.04</v>
          </cell>
          <cell r="L54">
            <v>23.38346115904676</v>
          </cell>
          <cell r="M54">
            <v>17001.408500000001</v>
          </cell>
          <cell r="N54">
            <v>17465</v>
          </cell>
          <cell r="O54">
            <v>7395.6126975000006</v>
          </cell>
          <cell r="P54">
            <v>4617.75</v>
          </cell>
          <cell r="Q54">
            <v>24.53714500869653</v>
          </cell>
          <cell r="R54">
            <v>14822.517900000003</v>
          </cell>
          <cell r="S54">
            <v>16744</v>
          </cell>
          <cell r="T54">
            <v>6447.7952865000007</v>
          </cell>
          <cell r="U54">
            <v>4427.1099999999997</v>
          </cell>
          <cell r="V54">
            <v>22.47215138907529</v>
          </cell>
          <cell r="W54">
            <v>17014.822100000001</v>
          </cell>
          <cell r="X54">
            <v>21020</v>
          </cell>
          <cell r="Y54">
            <v>7401.4476135000004</v>
          </cell>
          <cell r="Z54">
            <v>5608.14</v>
          </cell>
          <cell r="AA54">
            <v>24.664616366650904</v>
          </cell>
          <cell r="AB54">
            <v>19192.9323</v>
          </cell>
          <cell r="AC54">
            <v>19036</v>
          </cell>
          <cell r="AD54">
            <v>8348.9255505000001</v>
          </cell>
          <cell r="AE54">
            <v>5008.37</v>
          </cell>
          <cell r="AF54">
            <v>21.396072366291406</v>
          </cell>
          <cell r="AG54">
            <v>24327.607500000002</v>
          </cell>
          <cell r="AH54">
            <v>21528</v>
          </cell>
          <cell r="AI54">
            <v>10582.509262500002</v>
          </cell>
          <cell r="AJ54">
            <v>5664.02</v>
          </cell>
          <cell r="AK54">
            <v>21.63959539344399</v>
          </cell>
          <cell r="AL54">
            <v>22912.271100000002</v>
          </cell>
          <cell r="AM54">
            <v>21011</v>
          </cell>
          <cell r="AN54">
            <v>9966.837928500001</v>
          </cell>
          <cell r="AO54">
            <v>5687.68</v>
          </cell>
          <cell r="AP54">
            <v>21.589312925330837</v>
          </cell>
          <cell r="AQ54">
            <v>21014.268799999998</v>
          </cell>
          <cell r="AR54">
            <v>20046</v>
          </cell>
          <cell r="AS54">
            <v>9141.2069279999996</v>
          </cell>
          <cell r="AT54">
            <v>5426.45</v>
          </cell>
          <cell r="AU54">
            <v>21.67746791256776</v>
          </cell>
          <cell r="AV54">
            <v>16759.376199999999</v>
          </cell>
          <cell r="AW54">
            <v>17465</v>
          </cell>
          <cell r="AX54">
            <v>7290.3286469999994</v>
          </cell>
          <cell r="AY54">
            <v>4785.41</v>
          </cell>
          <cell r="AZ54">
            <v>21.956153065752801</v>
          </cell>
          <cell r="BA54">
            <v>16028.88</v>
          </cell>
          <cell r="BB54">
            <v>14812</v>
          </cell>
          <cell r="BC54">
            <v>6972.5627999999997</v>
          </cell>
          <cell r="BD54">
            <v>4113.29</v>
          </cell>
          <cell r="BE54">
            <v>21.654907441791106</v>
          </cell>
          <cell r="BF54">
            <v>11131.5303</v>
          </cell>
          <cell r="BG54">
            <v>17523</v>
          </cell>
          <cell r="BH54">
            <v>4842.2156805000004</v>
          </cell>
          <cell r="BI54">
            <v>4841.6000000000004</v>
          </cell>
          <cell r="BJ54">
            <v>26.251252788343564</v>
          </cell>
          <cell r="BK54">
            <v>207202.55170000001</v>
          </cell>
          <cell r="BL54">
            <v>221540</v>
          </cell>
          <cell r="BM54">
            <v>90133.109989500008</v>
          </cell>
          <cell r="BN54">
            <v>59596.62999999999</v>
          </cell>
          <cell r="BO54">
            <v>22.862577580700904</v>
          </cell>
        </row>
        <row r="55">
          <cell r="D55">
            <v>-4491.2700000000004</v>
          </cell>
          <cell r="E55">
            <v>0</v>
          </cell>
          <cell r="F55">
            <v>-4491.2700000000004</v>
          </cell>
          <cell r="G55">
            <v>0</v>
          </cell>
          <cell r="I55">
            <v>0</v>
          </cell>
          <cell r="J55">
            <v>0</v>
          </cell>
          <cell r="K55">
            <v>0</v>
          </cell>
          <cell r="L55">
            <v>0</v>
          </cell>
          <cell r="N55">
            <v>0</v>
          </cell>
          <cell r="O55">
            <v>0</v>
          </cell>
          <cell r="P55">
            <v>0</v>
          </cell>
          <cell r="Q55">
            <v>0</v>
          </cell>
          <cell r="S55">
            <v>0</v>
          </cell>
          <cell r="T55">
            <v>0</v>
          </cell>
          <cell r="U55">
            <v>0</v>
          </cell>
          <cell r="V55">
            <v>0</v>
          </cell>
          <cell r="X55">
            <v>0</v>
          </cell>
          <cell r="Y55">
            <v>0</v>
          </cell>
          <cell r="Z55">
            <v>0</v>
          </cell>
          <cell r="AA55">
            <v>0</v>
          </cell>
          <cell r="AC55">
            <v>-25.8</v>
          </cell>
          <cell r="AD55">
            <v>0</v>
          </cell>
          <cell r="AE55">
            <v>-25.8</v>
          </cell>
          <cell r="AF55">
            <v>-2.8998669208358811E-2</v>
          </cell>
          <cell r="AH55">
            <v>0</v>
          </cell>
          <cell r="AI55">
            <v>0</v>
          </cell>
          <cell r="AJ55">
            <v>0</v>
          </cell>
          <cell r="AK55">
            <v>0</v>
          </cell>
          <cell r="AM55">
            <v>0</v>
          </cell>
          <cell r="AN55">
            <v>0</v>
          </cell>
          <cell r="AO55">
            <v>0</v>
          </cell>
          <cell r="AP55">
            <v>0</v>
          </cell>
          <cell r="AR55">
            <v>13182.490000000005</v>
          </cell>
          <cell r="AS55">
            <v>0</v>
          </cell>
          <cell r="AT55">
            <v>13182.490000000005</v>
          </cell>
          <cell r="AU55">
            <v>14.255362864548813</v>
          </cell>
          <cell r="AW55">
            <v>0</v>
          </cell>
          <cell r="AX55">
            <v>0</v>
          </cell>
          <cell r="AY55">
            <v>0</v>
          </cell>
          <cell r="AZ55">
            <v>0</v>
          </cell>
          <cell r="BB55">
            <v>0</v>
          </cell>
          <cell r="BC55">
            <v>0</v>
          </cell>
          <cell r="BD55">
            <v>0</v>
          </cell>
          <cell r="BE55">
            <v>0</v>
          </cell>
          <cell r="BG55">
            <v>0</v>
          </cell>
          <cell r="BH55">
            <v>0</v>
          </cell>
          <cell r="BI55">
            <v>0</v>
          </cell>
          <cell r="BJ55">
            <v>0</v>
          </cell>
          <cell r="BK55">
            <v>0</v>
          </cell>
          <cell r="BL55">
            <v>8665.4200000000055</v>
          </cell>
          <cell r="BM55">
            <v>0</v>
          </cell>
          <cell r="BN55">
            <v>8665.4200000000055</v>
          </cell>
          <cell r="BO55">
            <v>0.89425763753433851</v>
          </cell>
        </row>
        <row r="56">
          <cell r="C56">
            <v>3368.2857999999997</v>
          </cell>
          <cell r="D56">
            <v>3650</v>
          </cell>
          <cell r="E56">
            <v>606.29144399999996</v>
          </cell>
          <cell r="F56">
            <v>511</v>
          </cell>
          <cell r="G56">
            <v>4.782494758909853</v>
          </cell>
          <cell r="H56">
            <v>3070.7116000000001</v>
          </cell>
          <cell r="I56">
            <v>3100</v>
          </cell>
          <cell r="J56">
            <v>552.72808799999996</v>
          </cell>
          <cell r="K56">
            <v>542.5</v>
          </cell>
          <cell r="L56">
            <v>4.5038042617611032</v>
          </cell>
          <cell r="M56">
            <v>3234.4142999999999</v>
          </cell>
          <cell r="N56">
            <v>4100</v>
          </cell>
          <cell r="O56">
            <v>582.19457399999999</v>
          </cell>
          <cell r="P56">
            <v>760.55</v>
          </cell>
          <cell r="Q56">
            <v>5.7602229908763682</v>
          </cell>
          <cell r="R56">
            <v>1194.2312999999999</v>
          </cell>
          <cell r="S56">
            <v>4100</v>
          </cell>
          <cell r="T56">
            <v>214.96163399999998</v>
          </cell>
          <cell r="U56">
            <v>773.67</v>
          </cell>
          <cell r="V56">
            <v>5.5026170983760565</v>
          </cell>
          <cell r="W56">
            <v>1410.5552</v>
          </cell>
          <cell r="X56">
            <v>-650</v>
          </cell>
          <cell r="Y56">
            <v>253.899936</v>
          </cell>
          <cell r="Z56">
            <v>-122.26</v>
          </cell>
          <cell r="AA56">
            <v>-0.76270221875942379</v>
          </cell>
          <cell r="AB56">
            <v>5301.915</v>
          </cell>
          <cell r="AC56">
            <v>2100</v>
          </cell>
          <cell r="AD56">
            <v>954.34469999999999</v>
          </cell>
          <cell r="AE56">
            <v>396.27</v>
          </cell>
          <cell r="AF56">
            <v>2.3603567960292056</v>
          </cell>
          <cell r="AG56">
            <v>2162.4540000000002</v>
          </cell>
          <cell r="AH56">
            <v>2550</v>
          </cell>
          <cell r="AI56">
            <v>389.24172000000004</v>
          </cell>
          <cell r="AJ56">
            <v>467.16</v>
          </cell>
          <cell r="AK56">
            <v>2.5632185178967939</v>
          </cell>
          <cell r="AL56">
            <v>2767.1824999999999</v>
          </cell>
          <cell r="AM56">
            <v>2400</v>
          </cell>
          <cell r="AN56">
            <v>498.09284999999994</v>
          </cell>
          <cell r="AO56">
            <v>439.68</v>
          </cell>
          <cell r="AP56">
            <v>2.4660583037834471</v>
          </cell>
          <cell r="AQ56">
            <v>3658.7342999999996</v>
          </cell>
          <cell r="AR56">
            <v>2450</v>
          </cell>
          <cell r="AS56">
            <v>658.5721739999999</v>
          </cell>
          <cell r="AT56">
            <v>443.94</v>
          </cell>
          <cell r="AU56">
            <v>2.6493962080111251</v>
          </cell>
          <cell r="AV56">
            <v>3276.973</v>
          </cell>
          <cell r="AW56">
            <v>700</v>
          </cell>
          <cell r="AX56">
            <v>589.85514000000001</v>
          </cell>
          <cell r="AY56">
            <v>126.84</v>
          </cell>
          <cell r="AZ56">
            <v>0.88000613489991197</v>
          </cell>
          <cell r="BA56">
            <v>2885.1983999999998</v>
          </cell>
          <cell r="BB56">
            <v>1850</v>
          </cell>
          <cell r="BC56">
            <v>519.33571199999994</v>
          </cell>
          <cell r="BD56">
            <v>334.11</v>
          </cell>
          <cell r="BE56">
            <v>2.7046704541799587</v>
          </cell>
          <cell r="BF56">
            <v>2764.6938</v>
          </cell>
          <cell r="BG56">
            <v>3200</v>
          </cell>
          <cell r="BH56">
            <v>497.64488399999999</v>
          </cell>
          <cell r="BI56">
            <v>577.91999999999996</v>
          </cell>
          <cell r="BJ56">
            <v>4.7939284895679624</v>
          </cell>
          <cell r="BK56">
            <v>35095.349200000004</v>
          </cell>
          <cell r="BL56">
            <v>29550</v>
          </cell>
          <cell r="BM56">
            <v>6317.1628559999999</v>
          </cell>
          <cell r="BN56">
            <v>5251.3799999999992</v>
          </cell>
          <cell r="BO56">
            <v>3.0495132595003689</v>
          </cell>
        </row>
        <row r="57">
          <cell r="C57">
            <v>6880.0825238095231</v>
          </cell>
          <cell r="D57">
            <v>6728</v>
          </cell>
          <cell r="E57">
            <v>6467.2775723809509</v>
          </cell>
          <cell r="F57">
            <v>1809.83</v>
          </cell>
          <cell r="G57">
            <v>8.815513626834381</v>
          </cell>
          <cell r="H57">
            <v>5029.2318412698414</v>
          </cell>
          <cell r="I57">
            <v>6754</v>
          </cell>
          <cell r="J57">
            <v>4727.4779307936506</v>
          </cell>
          <cell r="K57">
            <v>5226.92</v>
          </cell>
          <cell r="L57">
            <v>9.8124819303014501</v>
          </cell>
          <cell r="M57">
            <v>6042.3124285714284</v>
          </cell>
          <cell r="N57">
            <v>6865</v>
          </cell>
          <cell r="O57">
            <v>5679.7736828571424</v>
          </cell>
          <cell r="P57">
            <v>5312.82</v>
          </cell>
          <cell r="Q57">
            <v>9.64486117862592</v>
          </cell>
          <cell r="R57">
            <v>5318.8452857142865</v>
          </cell>
          <cell r="S57">
            <v>3373</v>
          </cell>
          <cell r="T57">
            <v>4999.7145685714295</v>
          </cell>
          <cell r="U57">
            <v>2610.36</v>
          </cell>
          <cell r="V57">
            <v>4.5269091397127905</v>
          </cell>
          <cell r="W57">
            <v>6856.8655555555551</v>
          </cell>
          <cell r="X57">
            <v>6982</v>
          </cell>
          <cell r="Y57">
            <v>6445.4536222222214</v>
          </cell>
          <cell r="Z57">
            <v>5403.37</v>
          </cell>
          <cell r="AA57">
            <v>8.1925952175050725</v>
          </cell>
          <cell r="AB57">
            <v>9375.1322380952388</v>
          </cell>
          <cell r="AC57">
            <v>7821</v>
          </cell>
          <cell r="AD57">
            <v>8812.6243038095236</v>
          </cell>
          <cell r="AE57">
            <v>6052.67</v>
          </cell>
          <cell r="AF57">
            <v>8.79064309606877</v>
          </cell>
          <cell r="AG57">
            <v>10417.536333333335</v>
          </cell>
          <cell r="AH57">
            <v>8586</v>
          </cell>
          <cell r="AI57">
            <v>9792.4841533333347</v>
          </cell>
          <cell r="AJ57">
            <v>6644.71</v>
          </cell>
          <cell r="AK57">
            <v>8.6305075273183807</v>
          </cell>
          <cell r="AL57">
            <v>11543.104142857144</v>
          </cell>
          <cell r="AM57">
            <v>8133</v>
          </cell>
          <cell r="AN57">
            <v>10850.517894285715</v>
          </cell>
          <cell r="AO57">
            <v>4405.6499999999996</v>
          </cell>
          <cell r="AP57">
            <v>8.3568550769461574</v>
          </cell>
          <cell r="AQ57">
            <v>9470.7163809523809</v>
          </cell>
          <cell r="AR57">
            <v>7832</v>
          </cell>
          <cell r="AS57">
            <v>8902.4733980952369</v>
          </cell>
          <cell r="AT57">
            <v>4242.59</v>
          </cell>
          <cell r="AU57">
            <v>8.4694167759767893</v>
          </cell>
          <cell r="AV57">
            <v>8723.7331111111125</v>
          </cell>
          <cell r="AW57">
            <v>6883</v>
          </cell>
          <cell r="AX57">
            <v>8200.3091244444458</v>
          </cell>
          <cell r="AY57">
            <v>2774.54</v>
          </cell>
          <cell r="AZ57">
            <v>8.6529746093087052</v>
          </cell>
          <cell r="BA57">
            <v>7136.6679999999997</v>
          </cell>
          <cell r="BB57">
            <v>6084</v>
          </cell>
          <cell r="BC57">
            <v>6708.4679199999991</v>
          </cell>
          <cell r="BD57">
            <v>2452.46</v>
          </cell>
          <cell r="BE57">
            <v>8.8947108341788486</v>
          </cell>
          <cell r="BF57">
            <v>5774.2142857142862</v>
          </cell>
          <cell r="BG57">
            <v>6305</v>
          </cell>
          <cell r="BH57">
            <v>5427.761428571429</v>
          </cell>
          <cell r="BI57">
            <v>2541.5500000000002</v>
          </cell>
          <cell r="BJ57">
            <v>9.4455372271018767</v>
          </cell>
          <cell r="BK57">
            <v>92568.44212698414</v>
          </cell>
          <cell r="BL57">
            <v>82346</v>
          </cell>
          <cell r="BM57">
            <v>87014.335599365077</v>
          </cell>
          <cell r="BN57">
            <v>49477.47</v>
          </cell>
          <cell r="BO57">
            <v>8.4979769498076951</v>
          </cell>
        </row>
        <row r="58">
          <cell r="C58">
            <v>13916.338699999998</v>
          </cell>
          <cell r="D58">
            <v>38213</v>
          </cell>
          <cell r="E58">
            <v>5093.3799641999994</v>
          </cell>
          <cell r="F58">
            <v>7875.7</v>
          </cell>
          <cell r="G58">
            <v>50.069444444444443</v>
          </cell>
          <cell r="H58">
            <v>1046.8335</v>
          </cell>
          <cell r="I58">
            <v>23402</v>
          </cell>
          <cell r="J58">
            <v>383.14106099999998</v>
          </cell>
          <cell r="K58">
            <v>6061.12</v>
          </cell>
          <cell r="L58">
            <v>33.999363656043016</v>
          </cell>
          <cell r="M58">
            <v>4395.4861000000001</v>
          </cell>
          <cell r="N58">
            <v>16953</v>
          </cell>
          <cell r="O58">
            <v>1608.7479126000001</v>
          </cell>
          <cell r="P58">
            <v>4390.83</v>
          </cell>
          <cell r="Q58">
            <v>23.817819601055383</v>
          </cell>
          <cell r="R58">
            <v>19458.945299999999</v>
          </cell>
          <cell r="S58">
            <v>17920</v>
          </cell>
          <cell r="T58">
            <v>7121.9739798000001</v>
          </cell>
          <cell r="U58">
            <v>4641.28</v>
          </cell>
          <cell r="V58">
            <v>24.050463025097301</v>
          </cell>
          <cell r="W58">
            <v>11725.240100000001</v>
          </cell>
          <cell r="X58">
            <v>48328</v>
          </cell>
          <cell r="Y58">
            <v>4291.4378766</v>
          </cell>
          <cell r="Z58">
            <v>14430.74</v>
          </cell>
          <cell r="AA58">
            <v>56.707496658777593</v>
          </cell>
          <cell r="AB58">
            <v>28100.1495</v>
          </cell>
          <cell r="AC58">
            <v>31015</v>
          </cell>
          <cell r="AD58">
            <v>10284.654716999999</v>
          </cell>
          <cell r="AE58">
            <v>8395.76</v>
          </cell>
          <cell r="AF58">
            <v>34.860221918498006</v>
          </cell>
          <cell r="AG58">
            <v>55358.822400000005</v>
          </cell>
          <cell r="AH58">
            <v>51151</v>
          </cell>
          <cell r="AI58">
            <v>20261.3289984</v>
          </cell>
          <cell r="AJ58">
            <v>15120.24</v>
          </cell>
          <cell r="AK58">
            <v>51.416153101544666</v>
          </cell>
          <cell r="AL58">
            <v>92202.520900000003</v>
          </cell>
          <cell r="AM58">
            <v>84742</v>
          </cell>
          <cell r="AN58">
            <v>33746.1226494</v>
          </cell>
          <cell r="AO58">
            <v>21414.3</v>
          </cell>
          <cell r="AP58">
            <v>87.074463658007033</v>
          </cell>
          <cell r="AQ58">
            <v>84995.212199999994</v>
          </cell>
          <cell r="AR58">
            <v>37480</v>
          </cell>
          <cell r="AS58">
            <v>31108.247665199997</v>
          </cell>
          <cell r="AT58">
            <v>7297.36</v>
          </cell>
          <cell r="AU58">
            <v>40.530355051533455</v>
          </cell>
          <cell r="AV58">
            <v>86512.087200000009</v>
          </cell>
          <cell r="AW58">
            <v>18105</v>
          </cell>
          <cell r="AX58">
            <v>31663.423915200001</v>
          </cell>
          <cell r="AY58">
            <v>3525.04</v>
          </cell>
          <cell r="AZ58">
            <v>22.760730103375579</v>
          </cell>
          <cell r="BA58">
            <v>21158.121599999999</v>
          </cell>
          <cell r="BB58">
            <v>26345</v>
          </cell>
          <cell r="BC58">
            <v>7743.8725055999994</v>
          </cell>
          <cell r="BD58">
            <v>4014.98</v>
          </cell>
          <cell r="BE58">
            <v>38.515969251551901</v>
          </cell>
          <cell r="BF58">
            <v>3564.9999000000003</v>
          </cell>
          <cell r="BG58">
            <v>10884</v>
          </cell>
          <cell r="BH58">
            <v>1304.7899634</v>
          </cell>
          <cell r="BI58">
            <v>1658.72</v>
          </cell>
          <cell r="BJ58">
            <v>16.305349275143033</v>
          </cell>
          <cell r="BK58">
            <v>422434.7574</v>
          </cell>
          <cell r="BL58">
            <v>404538</v>
          </cell>
          <cell r="BM58">
            <v>154611.1212084</v>
          </cell>
          <cell r="BN58">
            <v>98826.069999999992</v>
          </cell>
          <cell r="BO58">
            <v>41.747681724932669</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938.13699999999994</v>
          </cell>
          <cell r="AR59">
            <v>-27</v>
          </cell>
          <cell r="AS59">
            <v>3245.9540199999997</v>
          </cell>
          <cell r="AT59">
            <v>-50.6</v>
          </cell>
          <cell r="AU59">
            <v>-2.919742759848995E-2</v>
          </cell>
          <cell r="AV59">
            <v>936.27800000000002</v>
          </cell>
          <cell r="AW59">
            <v>0</v>
          </cell>
          <cell r="AX59">
            <v>3239.5218800000002</v>
          </cell>
          <cell r="AY59">
            <v>0</v>
          </cell>
          <cell r="AZ59">
            <v>0</v>
          </cell>
          <cell r="BA59">
            <v>400.72199999999998</v>
          </cell>
          <cell r="BB59">
            <v>0</v>
          </cell>
          <cell r="BC59">
            <v>1386.49812</v>
          </cell>
          <cell r="BD59">
            <v>0</v>
          </cell>
          <cell r="BE59">
            <v>0</v>
          </cell>
          <cell r="BF59">
            <v>0</v>
          </cell>
          <cell r="BG59">
            <v>0</v>
          </cell>
          <cell r="BH59">
            <v>0</v>
          </cell>
          <cell r="BI59">
            <v>0</v>
          </cell>
          <cell r="BJ59">
            <v>0</v>
          </cell>
          <cell r="BK59">
            <v>2275.1369999999997</v>
          </cell>
          <cell r="BL59">
            <v>-27</v>
          </cell>
          <cell r="BM59">
            <v>7871.9740199999997</v>
          </cell>
          <cell r="BN59">
            <v>-50.6</v>
          </cell>
          <cell r="BO59">
            <v>-2.7863572929444995E-3</v>
          </cell>
        </row>
        <row r="60">
          <cell r="C60">
            <v>1772.7819999999999</v>
          </cell>
          <cell r="D60">
            <v>655</v>
          </cell>
          <cell r="E60">
            <v>2286.8887799999998</v>
          </cell>
          <cell r="F60">
            <v>612.16</v>
          </cell>
          <cell r="G60">
            <v>0.85822851153039825</v>
          </cell>
          <cell r="H60">
            <v>1256.2002</v>
          </cell>
          <cell r="I60">
            <v>370</v>
          </cell>
          <cell r="J60">
            <v>1620.4982580000001</v>
          </cell>
          <cell r="K60">
            <v>345.8</v>
          </cell>
          <cell r="L60">
            <v>0.53755083124245429</v>
          </cell>
          <cell r="M60">
            <v>1492.8066000000001</v>
          </cell>
          <cell r="N60">
            <v>686</v>
          </cell>
          <cell r="O60">
            <v>1925.7205140000001</v>
          </cell>
          <cell r="P60">
            <v>641.14</v>
          </cell>
          <cell r="Q60">
            <v>0.96378365164419244</v>
          </cell>
          <cell r="R60">
            <v>1053.7335</v>
          </cell>
          <cell r="S60">
            <v>0</v>
          </cell>
          <cell r="T60">
            <v>1359.3162150000001</v>
          </cell>
          <cell r="U60">
            <v>0</v>
          </cell>
          <cell r="V60">
            <v>0</v>
          </cell>
          <cell r="W60">
            <v>1322.3955000000001</v>
          </cell>
          <cell r="X60">
            <v>193</v>
          </cell>
          <cell r="Y60">
            <v>1705.8901950000002</v>
          </cell>
          <cell r="Z60">
            <v>180.38</v>
          </cell>
          <cell r="AA60">
            <v>0.22646388957010585</v>
          </cell>
          <cell r="AB60">
            <v>1484.5362</v>
          </cell>
          <cell r="AC60">
            <v>930</v>
          </cell>
          <cell r="AD60">
            <v>1915.051698</v>
          </cell>
          <cell r="AE60">
            <v>869.18</v>
          </cell>
          <cell r="AF60">
            <v>1.0453008668129338</v>
          </cell>
          <cell r="AG60">
            <v>1513.7178000000001</v>
          </cell>
          <cell r="AH60">
            <v>931</v>
          </cell>
          <cell r="AI60">
            <v>1952.6959620000002</v>
          </cell>
          <cell r="AJ60">
            <v>870.11</v>
          </cell>
          <cell r="AK60">
            <v>0.9358260549654569</v>
          </cell>
          <cell r="AL60">
            <v>1328.2475999999999</v>
          </cell>
          <cell r="AM60">
            <v>232</v>
          </cell>
          <cell r="AN60">
            <v>1713.439404</v>
          </cell>
          <cell r="AO60">
            <v>216.83</v>
          </cell>
          <cell r="AP60">
            <v>0.2383856360323999</v>
          </cell>
          <cell r="AQ60">
            <v>1594.8328999999999</v>
          </cell>
          <cell r="AR60">
            <v>810</v>
          </cell>
          <cell r="AS60">
            <v>2057.334441</v>
          </cell>
          <cell r="AT60">
            <v>684.86</v>
          </cell>
          <cell r="AU60">
            <v>0.87592282795469856</v>
          </cell>
          <cell r="AV60">
            <v>1404.4169999999999</v>
          </cell>
          <cell r="AW60">
            <v>40</v>
          </cell>
          <cell r="AX60">
            <v>1811.69793</v>
          </cell>
          <cell r="AY60">
            <v>33.82</v>
          </cell>
          <cell r="AZ60">
            <v>5.0286064851423541E-2</v>
          </cell>
          <cell r="BA60">
            <v>1362.4548</v>
          </cell>
          <cell r="BB60">
            <v>237</v>
          </cell>
          <cell r="BC60">
            <v>1757.5666920000001</v>
          </cell>
          <cell r="BD60">
            <v>200.38</v>
          </cell>
          <cell r="BE60">
            <v>0.34649021494089199</v>
          </cell>
          <cell r="BF60">
            <v>873.06119999999999</v>
          </cell>
          <cell r="BG60">
            <v>788</v>
          </cell>
          <cell r="BH60">
            <v>1126.2489479999999</v>
          </cell>
          <cell r="BI60">
            <v>666.25</v>
          </cell>
          <cell r="BJ60">
            <v>1.1805048905561109</v>
          </cell>
          <cell r="BK60">
            <v>16459.185300000001</v>
          </cell>
          <cell r="BL60">
            <v>5872</v>
          </cell>
          <cell r="BM60">
            <v>21232.349037</v>
          </cell>
          <cell r="BN60">
            <v>5320.91</v>
          </cell>
          <cell r="BO60">
            <v>0.60598111200630012</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13455</v>
          </cell>
          <cell r="Y61">
            <v>0</v>
          </cell>
          <cell r="Z61">
            <v>1393.94</v>
          </cell>
          <cell r="AA61">
            <v>15.787935928320072</v>
          </cell>
          <cell r="AB61">
            <v>0</v>
          </cell>
          <cell r="AC61">
            <v>0</v>
          </cell>
          <cell r="AD61">
            <v>0</v>
          </cell>
          <cell r="AE61">
            <v>0</v>
          </cell>
          <cell r="AF61">
            <v>0</v>
          </cell>
          <cell r="AG61">
            <v>48655.215000000004</v>
          </cell>
          <cell r="AH61">
            <v>172101</v>
          </cell>
          <cell r="AI61">
            <v>7074.4682610000009</v>
          </cell>
          <cell r="AJ61">
            <v>20342.34</v>
          </cell>
          <cell r="AK61">
            <v>172.99312554845338</v>
          </cell>
          <cell r="AL61">
            <v>221374.6</v>
          </cell>
          <cell r="AM61">
            <v>181744</v>
          </cell>
          <cell r="AN61">
            <v>32187.866840000002</v>
          </cell>
          <cell r="AO61">
            <v>23281.41</v>
          </cell>
          <cell r="AP61">
            <v>186.7463751511745</v>
          </cell>
          <cell r="AQ61">
            <v>239224.935</v>
          </cell>
          <cell r="AR61">
            <v>133216</v>
          </cell>
          <cell r="AS61">
            <v>34783.305548999997</v>
          </cell>
          <cell r="AT61">
            <v>15839.38</v>
          </cell>
          <cell r="AU61">
            <v>144.05794499853471</v>
          </cell>
          <cell r="AV61">
            <v>280883.40000000002</v>
          </cell>
          <cell r="AW61">
            <v>0</v>
          </cell>
          <cell r="AX61">
            <v>40840.446360000002</v>
          </cell>
          <cell r="AY61">
            <v>0</v>
          </cell>
          <cell r="AZ61">
            <v>0</v>
          </cell>
          <cell r="BA61">
            <v>60108.299999999996</v>
          </cell>
          <cell r="BB61">
            <v>94162</v>
          </cell>
          <cell r="BC61">
            <v>8739.7468200000003</v>
          </cell>
          <cell r="BD61">
            <v>11082.87</v>
          </cell>
          <cell r="BE61">
            <v>137.66334016567205</v>
          </cell>
          <cell r="BF61">
            <v>0</v>
          </cell>
          <cell r="BG61">
            <v>947</v>
          </cell>
          <cell r="BH61">
            <v>0</v>
          </cell>
          <cell r="BI61">
            <v>110.33</v>
          </cell>
          <cell r="BJ61">
            <v>1.4187032123815189</v>
          </cell>
          <cell r="BK61">
            <v>850246.45000000007</v>
          </cell>
          <cell r="BL61">
            <v>595625</v>
          </cell>
          <cell r="BM61">
            <v>123625.83383</v>
          </cell>
          <cell r="BN61">
            <v>72050.27</v>
          </cell>
          <cell r="BO61">
            <v>61.467557874446946</v>
          </cell>
        </row>
        <row r="62">
          <cell r="C62">
            <v>239325.56999999998</v>
          </cell>
          <cell r="D62">
            <v>290302</v>
          </cell>
          <cell r="E62">
            <v>37095.463349999998</v>
          </cell>
          <cell r="F62">
            <v>43893.66</v>
          </cell>
          <cell r="G62">
            <v>380.37473794549265</v>
          </cell>
          <cell r="H62">
            <v>111662.24</v>
          </cell>
          <cell r="I62">
            <v>220406</v>
          </cell>
          <cell r="J62">
            <v>17307.647199999999</v>
          </cell>
          <cell r="K62">
            <v>33942.519999999997</v>
          </cell>
          <cell r="L62">
            <v>320.21467165087671</v>
          </cell>
          <cell r="M62">
            <v>161720.715</v>
          </cell>
          <cell r="N62">
            <v>155039</v>
          </cell>
          <cell r="O62">
            <v>25066.710824999998</v>
          </cell>
          <cell r="P62">
            <v>23984.53</v>
          </cell>
          <cell r="Q62">
            <v>217.81932006889789</v>
          </cell>
          <cell r="R62">
            <v>168597.36000000002</v>
          </cell>
          <cell r="S62">
            <v>172217</v>
          </cell>
          <cell r="T62">
            <v>26132.590800000002</v>
          </cell>
          <cell r="U62">
            <v>26659.19</v>
          </cell>
          <cell r="V62">
            <v>231.13273386122668</v>
          </cell>
          <cell r="W62">
            <v>154279.47500000001</v>
          </cell>
          <cell r="X62">
            <v>346495</v>
          </cell>
          <cell r="Y62">
            <v>23913.318625</v>
          </cell>
          <cell r="Z62">
            <v>53672.08</v>
          </cell>
          <cell r="AA62">
            <v>406.57308506007161</v>
          </cell>
          <cell r="AB62">
            <v>180265.11000000002</v>
          </cell>
          <cell r="AC62">
            <v>445232</v>
          </cell>
          <cell r="AD62">
            <v>27941.092050000003</v>
          </cell>
          <cell r="AE62">
            <v>68966.44</v>
          </cell>
          <cell r="AF62">
            <v>500.43160809984533</v>
          </cell>
          <cell r="AG62">
            <v>194620.86000000002</v>
          </cell>
          <cell r="AH62">
            <v>148881</v>
          </cell>
          <cell r="AI62">
            <v>30166.233300000004</v>
          </cell>
          <cell r="AJ62">
            <v>22302.37</v>
          </cell>
          <cell r="AK62">
            <v>149.65275927960494</v>
          </cell>
          <cell r="AL62">
            <v>204771.505</v>
          </cell>
          <cell r="AM62">
            <v>333459</v>
          </cell>
          <cell r="AN62">
            <v>31739.583275000001</v>
          </cell>
          <cell r="AO62">
            <v>49485.32</v>
          </cell>
          <cell r="AP62">
            <v>342.63722330055191</v>
          </cell>
          <cell r="AQ62">
            <v>197008.77</v>
          </cell>
          <cell r="AR62">
            <v>206722</v>
          </cell>
          <cell r="AS62">
            <v>30536.359349999999</v>
          </cell>
          <cell r="AT62">
            <v>30636.2</v>
          </cell>
          <cell r="AU62">
            <v>223.54631955611259</v>
          </cell>
          <cell r="AV62">
            <v>159167.26</v>
          </cell>
          <cell r="AW62">
            <v>248694</v>
          </cell>
          <cell r="AX62">
            <v>24670.925300000003</v>
          </cell>
          <cell r="AY62">
            <v>36831.58</v>
          </cell>
          <cell r="AZ62">
            <v>312.64606530399811</v>
          </cell>
          <cell r="BA62">
            <v>104187.72</v>
          </cell>
          <cell r="BB62">
            <v>136519</v>
          </cell>
          <cell r="BC62">
            <v>16149.096600000001</v>
          </cell>
          <cell r="BD62">
            <v>20218.46</v>
          </cell>
          <cell r="BE62">
            <v>199.58859769415881</v>
          </cell>
          <cell r="BF62">
            <v>189163.26</v>
          </cell>
          <cell r="BG62">
            <v>235692</v>
          </cell>
          <cell r="BH62">
            <v>29320.3053</v>
          </cell>
          <cell r="BI62">
            <v>34905.99</v>
          </cell>
          <cell r="BJ62">
            <v>353.0908104885163</v>
          </cell>
          <cell r="BK62">
            <v>2064769.845</v>
          </cell>
          <cell r="BL62">
            <v>2939658</v>
          </cell>
          <cell r="BM62">
            <v>320039.32597499999</v>
          </cell>
          <cell r="BN62">
            <v>445498.34</v>
          </cell>
          <cell r="BO62">
            <v>303.36805581713486</v>
          </cell>
        </row>
        <row r="66">
          <cell r="D66">
            <v>51.4</v>
          </cell>
          <cell r="E66">
            <v>106.71</v>
          </cell>
          <cell r="F66">
            <v>40.08</v>
          </cell>
          <cell r="I66">
            <v>39.56666666666667</v>
          </cell>
          <cell r="J66">
            <v>33.07</v>
          </cell>
          <cell r="K66">
            <v>83.7</v>
          </cell>
          <cell r="N66">
            <v>41.5</v>
          </cell>
          <cell r="O66">
            <v>84</v>
          </cell>
          <cell r="P66">
            <v>61</v>
          </cell>
          <cell r="S66">
            <v>68.766666666666666</v>
          </cell>
          <cell r="T66">
            <v>63.8</v>
          </cell>
          <cell r="U66">
            <v>63.8</v>
          </cell>
          <cell r="X66">
            <v>16.583333333333332</v>
          </cell>
          <cell r="Y66">
            <v>170</v>
          </cell>
          <cell r="Z66">
            <v>14.65</v>
          </cell>
          <cell r="AC66">
            <v>10.066666666666666</v>
          </cell>
          <cell r="AD66">
            <v>62.9</v>
          </cell>
          <cell r="AE66">
            <v>9.1999999999999993</v>
          </cell>
          <cell r="AH66">
            <v>8.7999999999999989</v>
          </cell>
          <cell r="AI66">
            <v>20.58</v>
          </cell>
          <cell r="AJ66">
            <v>4.9000000000000004</v>
          </cell>
          <cell r="AM66">
            <v>7.0333333333333341</v>
          </cell>
          <cell r="AN66">
            <v>54.55</v>
          </cell>
          <cell r="AO66">
            <v>4.5</v>
          </cell>
          <cell r="AR66">
            <v>15.233333333333334</v>
          </cell>
          <cell r="AS66">
            <v>27.9</v>
          </cell>
          <cell r="AT66">
            <v>3.65</v>
          </cell>
          <cell r="AW66">
            <v>17.766666666666666</v>
          </cell>
          <cell r="AX66">
            <v>32.840000000000003</v>
          </cell>
          <cell r="AY66">
            <v>6.72</v>
          </cell>
          <cell r="BB66">
            <v>13.566666666666665</v>
          </cell>
          <cell r="BC66">
            <v>14.62</v>
          </cell>
          <cell r="BD66">
            <v>14.6</v>
          </cell>
          <cell r="BG66">
            <v>20.133333333333333</v>
          </cell>
          <cell r="BH66">
            <v>83.34</v>
          </cell>
          <cell r="BI66">
            <v>83.3</v>
          </cell>
          <cell r="BL66">
            <v>25.868055555555557</v>
          </cell>
          <cell r="BM66">
            <v>57.306666666666665</v>
          </cell>
          <cell r="BN66">
            <v>29.168333333333337</v>
          </cell>
        </row>
        <row r="67">
          <cell r="D67">
            <v>10041</v>
          </cell>
          <cell r="E67">
            <v>6521.84</v>
          </cell>
          <cell r="F67">
            <v>6521.84</v>
          </cell>
          <cell r="I67">
            <v>16480</v>
          </cell>
          <cell r="J67">
            <v>14553</v>
          </cell>
          <cell r="K67">
            <v>14553</v>
          </cell>
          <cell r="N67">
            <v>13041</v>
          </cell>
          <cell r="O67">
            <v>12996.46</v>
          </cell>
          <cell r="P67">
            <v>14345</v>
          </cell>
          <cell r="S67">
            <v>10041</v>
          </cell>
          <cell r="T67">
            <v>12976</v>
          </cell>
          <cell r="U67">
            <v>12976</v>
          </cell>
          <cell r="X67">
            <v>16480</v>
          </cell>
          <cell r="Y67">
            <v>12871</v>
          </cell>
          <cell r="Z67">
            <v>12871</v>
          </cell>
          <cell r="AC67">
            <v>10041</v>
          </cell>
          <cell r="AD67">
            <v>10041</v>
          </cell>
          <cell r="AE67">
            <v>10041</v>
          </cell>
          <cell r="AH67">
            <v>19480</v>
          </cell>
          <cell r="AI67">
            <v>19480</v>
          </cell>
          <cell r="AJ67">
            <v>19480</v>
          </cell>
          <cell r="AM67">
            <v>11041</v>
          </cell>
          <cell r="AN67">
            <v>14366</v>
          </cell>
          <cell r="AO67">
            <v>14366</v>
          </cell>
          <cell r="AR67">
            <v>17480</v>
          </cell>
          <cell r="AS67">
            <v>4205.41</v>
          </cell>
          <cell r="AT67">
            <v>4205.41</v>
          </cell>
          <cell r="AW67">
            <v>11041</v>
          </cell>
          <cell r="AX67">
            <v>5329.15</v>
          </cell>
          <cell r="AY67">
            <v>5329.15</v>
          </cell>
          <cell r="BB67">
            <v>11041</v>
          </cell>
          <cell r="BC67">
            <v>5883.37</v>
          </cell>
          <cell r="BD67">
            <v>5883.37</v>
          </cell>
          <cell r="BG67">
            <v>17480</v>
          </cell>
          <cell r="BH67">
            <v>13760.36</v>
          </cell>
          <cell r="BI67">
            <v>13760.36</v>
          </cell>
          <cell r="BL67">
            <v>163687</v>
          </cell>
          <cell r="BM67">
            <v>132983.59</v>
          </cell>
          <cell r="BN67">
            <v>134332.13</v>
          </cell>
        </row>
        <row r="68">
          <cell r="D68">
            <v>886.39099999999996</v>
          </cell>
          <cell r="E68">
            <v>763.2</v>
          </cell>
          <cell r="F68">
            <v>892.947</v>
          </cell>
          <cell r="I68">
            <v>697.88900000000001</v>
          </cell>
          <cell r="J68">
            <v>688.30700000000002</v>
          </cell>
          <cell r="K68">
            <v>835.45500000000004</v>
          </cell>
          <cell r="N68">
            <v>829.33699999999999</v>
          </cell>
          <cell r="O68">
            <v>711.77800000000002</v>
          </cell>
          <cell r="P68">
            <v>791.4</v>
          </cell>
          <cell r="S68">
            <v>702.48900000000003</v>
          </cell>
          <cell r="T68">
            <v>745.1</v>
          </cell>
          <cell r="U68">
            <v>805.4</v>
          </cell>
          <cell r="X68">
            <v>881.59699999999998</v>
          </cell>
          <cell r="Y68">
            <v>852.23299999999995</v>
          </cell>
          <cell r="Z68">
            <v>901.9</v>
          </cell>
          <cell r="AC68">
            <v>1060.383</v>
          </cell>
          <cell r="AD68">
            <v>889.69600000000003</v>
          </cell>
          <cell r="AE68">
            <v>1020.5</v>
          </cell>
          <cell r="AH68">
            <v>1081.2270000000001</v>
          </cell>
          <cell r="AI68">
            <v>994.84299999999996</v>
          </cell>
          <cell r="AJ68">
            <v>1164.665</v>
          </cell>
          <cell r="AM68">
            <v>1106.873</v>
          </cell>
          <cell r="AN68">
            <v>973.21299999999997</v>
          </cell>
          <cell r="AO68">
            <v>1229.43</v>
          </cell>
          <cell r="AR68">
            <v>938.13699999999994</v>
          </cell>
          <cell r="AS68">
            <v>924.73900000000003</v>
          </cell>
          <cell r="AT68">
            <v>1107.7850000000001</v>
          </cell>
          <cell r="AW68">
            <v>936.27800000000002</v>
          </cell>
          <cell r="AX68">
            <v>795.44899999999996</v>
          </cell>
          <cell r="AY68">
            <v>866.84</v>
          </cell>
          <cell r="BB68">
            <v>801.44399999999996</v>
          </cell>
          <cell r="BC68">
            <v>684.00199999999995</v>
          </cell>
          <cell r="BD68">
            <v>802.69</v>
          </cell>
          <cell r="BG68">
            <v>727.55100000000004</v>
          </cell>
          <cell r="BH68">
            <v>667.51099999999997</v>
          </cell>
          <cell r="BI68">
            <v>599.94221706047767</v>
          </cell>
          <cell r="BL68">
            <v>10649.595999999998</v>
          </cell>
          <cell r="BM68">
            <v>9690.0709999999999</v>
          </cell>
          <cell r="BN68">
            <v>11018.954217060478</v>
          </cell>
        </row>
        <row r="69">
          <cell r="D69">
            <v>120.85024047619048</v>
          </cell>
          <cell r="E69">
            <v>109.94010744234801</v>
          </cell>
          <cell r="F69">
            <v>80.478337460117999</v>
          </cell>
          <cell r="I69">
            <v>97.294568253968251</v>
          </cell>
          <cell r="J69">
            <v>129.07657484233053</v>
          </cell>
          <cell r="K69">
            <v>102</v>
          </cell>
          <cell r="N69">
            <v>105.48122142857144</v>
          </cell>
          <cell r="O69">
            <v>109.96408992691542</v>
          </cell>
          <cell r="P69">
            <v>81</v>
          </cell>
          <cell r="S69">
            <v>123.30489285714286</v>
          </cell>
          <cell r="T69">
            <v>103.87597637900951</v>
          </cell>
          <cell r="U69">
            <v>80</v>
          </cell>
          <cell r="X69">
            <v>108.01041111111111</v>
          </cell>
          <cell r="Y69">
            <v>159.84941911425634</v>
          </cell>
          <cell r="Z69">
            <v>66</v>
          </cell>
          <cell r="AC69">
            <v>114.78384365079366</v>
          </cell>
          <cell r="AD69">
            <v>168.13781336546413</v>
          </cell>
          <cell r="AE69">
            <v>73</v>
          </cell>
          <cell r="AH69">
            <v>133.07507539682541</v>
          </cell>
          <cell r="AI69">
            <v>121.8380287140785</v>
          </cell>
          <cell r="AJ69">
            <v>70</v>
          </cell>
          <cell r="AM69">
            <v>168.99020714285714</v>
          </cell>
          <cell r="AN69">
            <v>157.00692448621217</v>
          </cell>
          <cell r="AO69">
            <v>120</v>
          </cell>
          <cell r="AR69">
            <v>208.89152380952382</v>
          </cell>
          <cell r="AS69">
            <v>129.06233001960553</v>
          </cell>
          <cell r="AT69">
            <v>113</v>
          </cell>
          <cell r="AW69">
            <v>192.54336269841269</v>
          </cell>
          <cell r="AX69">
            <v>97.696860515256162</v>
          </cell>
          <cell r="AY69">
            <v>163</v>
          </cell>
          <cell r="BB69">
            <v>117.7015261904762</v>
          </cell>
          <cell r="BC69">
            <v>103.78063222037363</v>
          </cell>
          <cell r="BD69">
            <v>67</v>
          </cell>
          <cell r="BG69">
            <v>112.48871746031745</v>
          </cell>
          <cell r="BH69">
            <v>113.93939575527595</v>
          </cell>
          <cell r="BI69">
            <v>127.67586747903738</v>
          </cell>
          <cell r="BL69">
            <v>136.09982772054124</v>
          </cell>
          <cell r="BM69">
            <v>127.17696186127017</v>
          </cell>
          <cell r="BN69">
            <v>0</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2010"/>
    </sheetNames>
    <sheetDataSet>
      <sheetData sheetId="0"/>
      <sheetData sheetId="1">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13961</v>
          </cell>
          <cell r="AI14">
            <v>0</v>
          </cell>
          <cell r="AJ14">
            <v>1590.16</v>
          </cell>
          <cell r="AK14">
            <v>31.834454452171929</v>
          </cell>
          <cell r="AL14">
            <v>0</v>
          </cell>
          <cell r="AM14">
            <v>0</v>
          </cell>
          <cell r="AN14">
            <v>0</v>
          </cell>
          <cell r="AO14">
            <v>0</v>
          </cell>
          <cell r="AP14">
            <v>0</v>
          </cell>
          <cell r="AQ14">
            <v>0</v>
          </cell>
          <cell r="AR14">
            <v>54854</v>
          </cell>
          <cell r="AS14">
            <v>0</v>
          </cell>
          <cell r="AT14">
            <v>5924.23</v>
          </cell>
          <cell r="AU14">
            <v>127.89461412916765</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68815</v>
          </cell>
          <cell r="BM14">
            <v>0</v>
          </cell>
          <cell r="BN14">
            <v>7514.3899999999994</v>
          </cell>
          <cell r="BO14">
            <v>15.056405454131731</v>
          </cell>
        </row>
        <row r="15">
          <cell r="C15">
            <v>178822.52251863445</v>
          </cell>
          <cell r="D15">
            <v>121880</v>
          </cell>
          <cell r="E15">
            <v>26331.616440868922</v>
          </cell>
          <cell r="F15">
            <v>17757.919999999998</v>
          </cell>
          <cell r="G15">
            <v>412.5372326022204</v>
          </cell>
          <cell r="H15">
            <v>121591.77593416421</v>
          </cell>
          <cell r="I15">
            <v>118042</v>
          </cell>
          <cell r="J15">
            <v>17904.389006305679</v>
          </cell>
          <cell r="K15">
            <v>17068.87</v>
          </cell>
          <cell r="L15">
            <v>352.17495077271911</v>
          </cell>
          <cell r="M15">
            <v>149932.31960995807</v>
          </cell>
          <cell r="N15">
            <v>125030</v>
          </cell>
          <cell r="O15">
            <v>22077.534062566323</v>
          </cell>
          <cell r="P15">
            <v>18016.82</v>
          </cell>
          <cell r="Q15">
            <v>340.10663184810403</v>
          </cell>
          <cell r="R15">
            <v>140375.23748307923</v>
          </cell>
          <cell r="S15">
            <v>101227</v>
          </cell>
          <cell r="T15">
            <v>20670.253719383414</v>
          </cell>
          <cell r="U15">
            <v>14586.81</v>
          </cell>
          <cell r="V15">
            <v>291.1331607707794</v>
          </cell>
          <cell r="W15">
            <v>125275.09546392944</v>
          </cell>
          <cell r="X15">
            <v>224640</v>
          </cell>
          <cell r="Y15">
            <v>18446.757807063608</v>
          </cell>
          <cell r="Z15">
            <v>32370.62</v>
          </cell>
          <cell r="AA15">
            <v>646.20429767281303</v>
          </cell>
          <cell r="AB15">
            <v>152295.97611194581</v>
          </cell>
          <cell r="AC15">
            <v>140914</v>
          </cell>
          <cell r="AD15">
            <v>22425.58248248402</v>
          </cell>
          <cell r="AE15">
            <v>20305.71</v>
          </cell>
          <cell r="AF15">
            <v>357.73146150135818</v>
          </cell>
          <cell r="AG15">
            <v>152437.38664828971</v>
          </cell>
          <cell r="AH15">
            <v>206016</v>
          </cell>
          <cell r="AI15">
            <v>22446.405183960658</v>
          </cell>
          <cell r="AJ15">
            <v>29686.91</v>
          </cell>
          <cell r="AK15">
            <v>469.76627522517384</v>
          </cell>
          <cell r="AL15">
            <v>184671.34910690159</v>
          </cell>
          <cell r="AM15">
            <v>220513</v>
          </cell>
          <cell r="AN15">
            <v>27192.856155991256</v>
          </cell>
          <cell r="AO15">
            <v>31753.87</v>
          </cell>
          <cell r="AP15">
            <v>426.74704391074641</v>
          </cell>
          <cell r="AQ15">
            <v>156361.28199258388</v>
          </cell>
          <cell r="AR15">
            <v>131904</v>
          </cell>
          <cell r="AS15">
            <v>23024.198773407978</v>
          </cell>
          <cell r="AT15">
            <v>18994.18</v>
          </cell>
          <cell r="AU15">
            <v>307.54021916530661</v>
          </cell>
          <cell r="AV15">
            <v>119645.66843091589</v>
          </cell>
          <cell r="AW15">
            <v>117978</v>
          </cell>
          <cell r="AX15">
            <v>17617.824676452365</v>
          </cell>
          <cell r="AY15">
            <v>16988.830000000002</v>
          </cell>
          <cell r="AZ15">
            <v>255.048965561969</v>
          </cell>
          <cell r="BA15">
            <v>141017.0002791647</v>
          </cell>
          <cell r="BB15">
            <v>110326</v>
          </cell>
          <cell r="BC15">
            <v>20764.753291107001</v>
          </cell>
          <cell r="BD15">
            <v>15886.94</v>
          </cell>
          <cell r="BE15">
            <v>328.72296049103153</v>
          </cell>
          <cell r="BF15">
            <v>163565.53126609515</v>
          </cell>
          <cell r="BG15">
            <v>210663</v>
          </cell>
          <cell r="BH15">
            <v>24085.024478932508</v>
          </cell>
          <cell r="BI15">
            <v>30335.47</v>
          </cell>
          <cell r="BJ15">
            <v>700.73844925656124</v>
          </cell>
          <cell r="BK15">
            <v>1785991.1448456622</v>
          </cell>
          <cell r="BL15">
            <v>1829133</v>
          </cell>
          <cell r="BM15">
            <v>262987.19607852376</v>
          </cell>
          <cell r="BN15">
            <v>263752.94999999995</v>
          </cell>
          <cell r="BO15">
            <v>400.2058864714428</v>
          </cell>
        </row>
        <row r="16">
          <cell r="V16">
            <v>0</v>
          </cell>
          <cell r="AA16">
            <v>0</v>
          </cell>
          <cell r="AF16">
            <v>0</v>
          </cell>
          <cell r="AK16">
            <v>0</v>
          </cell>
          <cell r="AP16">
            <v>0</v>
          </cell>
          <cell r="AU16">
            <v>0</v>
          </cell>
          <cell r="AZ16">
            <v>0</v>
          </cell>
          <cell r="BE16">
            <v>0</v>
          </cell>
          <cell r="BJ16">
            <v>0</v>
          </cell>
          <cell r="BK16">
            <v>0</v>
          </cell>
          <cell r="BL16">
            <v>0</v>
          </cell>
          <cell r="BM16">
            <v>0</v>
          </cell>
          <cell r="BN16">
            <v>0</v>
          </cell>
          <cell r="BO16">
            <v>0</v>
          </cell>
        </row>
        <row r="17">
          <cell r="C17">
            <v>23550.588938615241</v>
          </cell>
          <cell r="D17">
            <v>16541</v>
          </cell>
          <cell r="E17">
            <v>6192.9806202429572</v>
          </cell>
          <cell r="F17">
            <v>3228.8</v>
          </cell>
          <cell r="G17">
            <v>55.98767939344706</v>
          </cell>
          <cell r="H17">
            <v>18676.956719890473</v>
          </cell>
          <cell r="I17">
            <v>22347</v>
          </cell>
          <cell r="J17">
            <v>4911.3859238459981</v>
          </cell>
          <cell r="K17">
            <v>4462.7</v>
          </cell>
          <cell r="L17">
            <v>66.671639119279192</v>
          </cell>
          <cell r="M17">
            <v>22517.269080195063</v>
          </cell>
          <cell r="N17">
            <v>24875</v>
          </cell>
          <cell r="O17">
            <v>5921.2536636734949</v>
          </cell>
          <cell r="P17">
            <v>4997.3900000000003</v>
          </cell>
          <cell r="Q17">
            <v>67.664980142538496</v>
          </cell>
          <cell r="R17">
            <v>26169.652198354292</v>
          </cell>
          <cell r="S17">
            <v>22110</v>
          </cell>
          <cell r="T17">
            <v>6881.7025903402364</v>
          </cell>
          <cell r="U17">
            <v>4450.74</v>
          </cell>
          <cell r="V17">
            <v>63.589301121656604</v>
          </cell>
          <cell r="W17">
            <v>25819.663483936562</v>
          </cell>
          <cell r="X17">
            <v>19905</v>
          </cell>
          <cell r="Y17">
            <v>6789.6678080533784</v>
          </cell>
          <cell r="Z17">
            <v>4008.87</v>
          </cell>
          <cell r="AA17">
            <v>57.259154848545869</v>
          </cell>
          <cell r="AB17">
            <v>33766.289604731464</v>
          </cell>
          <cell r="AC17">
            <v>28230</v>
          </cell>
          <cell r="AD17">
            <v>8879.3523459082098</v>
          </cell>
          <cell r="AE17">
            <v>5685.52</v>
          </cell>
          <cell r="AF17">
            <v>71.666116625625136</v>
          </cell>
          <cell r="AG17">
            <v>37475.524797934304</v>
          </cell>
          <cell r="AH17">
            <v>38657</v>
          </cell>
          <cell r="AI17">
            <v>9854.7513784887942</v>
          </cell>
          <cell r="AJ17">
            <v>7785.52</v>
          </cell>
          <cell r="AK17">
            <v>88.147303614183102</v>
          </cell>
          <cell r="AL17">
            <v>36877.656620471571</v>
          </cell>
          <cell r="AM17">
            <v>37753</v>
          </cell>
          <cell r="AN17">
            <v>9697.5329732023074</v>
          </cell>
          <cell r="AO17">
            <v>7603.45</v>
          </cell>
          <cell r="AP17">
            <v>73.061366671182242</v>
          </cell>
          <cell r="AQ17">
            <v>28623.680182117416</v>
          </cell>
          <cell r="AR17">
            <v>31280</v>
          </cell>
          <cell r="AS17">
            <v>7527.0260590905064</v>
          </cell>
          <cell r="AT17">
            <v>6299.79</v>
          </cell>
          <cell r="AU17">
            <v>72.930753089298207</v>
          </cell>
          <cell r="AV17">
            <v>24442.983776606907</v>
          </cell>
          <cell r="AW17">
            <v>37175</v>
          </cell>
          <cell r="AX17">
            <v>6427.649228815435</v>
          </cell>
          <cell r="AY17">
            <v>7487.05</v>
          </cell>
          <cell r="AZ17">
            <v>80.366214843158872</v>
          </cell>
          <cell r="BA17">
            <v>22176.073731604793</v>
          </cell>
          <cell r="BB17">
            <v>17365</v>
          </cell>
          <cell r="BC17">
            <v>5831.5312288314544</v>
          </cell>
          <cell r="BD17">
            <v>3497.31</v>
          </cell>
          <cell r="BE17">
            <v>51.740063166676599</v>
          </cell>
          <cell r="BF17">
            <v>20759.29350420005</v>
          </cell>
          <cell r="BG17">
            <v>19277</v>
          </cell>
          <cell r="BH17">
            <v>5458.9676163319664</v>
          </cell>
          <cell r="BI17">
            <v>3882.39</v>
          </cell>
          <cell r="BJ17">
            <v>64.122010444732723</v>
          </cell>
          <cell r="BK17">
            <v>320855.63263865811</v>
          </cell>
          <cell r="BL17">
            <v>315515</v>
          </cell>
          <cell r="BM17">
            <v>84373.801436824753</v>
          </cell>
          <cell r="BN17">
            <v>63389.529999999992</v>
          </cell>
          <cell r="BO17">
            <v>69.033230645358898</v>
          </cell>
        </row>
        <row r="18">
          <cell r="C18">
            <v>14907.641350549073</v>
          </cell>
          <cell r="D18">
            <v>11907</v>
          </cell>
          <cell r="E18">
            <v>4789.8251659314174</v>
          </cell>
          <cell r="F18">
            <v>3756.66</v>
          </cell>
          <cell r="G18">
            <v>40.302599512591392</v>
          </cell>
          <cell r="H18">
            <v>12197.581988918326</v>
          </cell>
          <cell r="I18">
            <v>14178</v>
          </cell>
          <cell r="J18">
            <v>3919.0830930394586</v>
          </cell>
          <cell r="K18">
            <v>4488.75</v>
          </cell>
          <cell r="L18">
            <v>42.299659884241301</v>
          </cell>
          <cell r="M18">
            <v>14881.836531106352</v>
          </cell>
          <cell r="N18">
            <v>16414</v>
          </cell>
          <cell r="O18">
            <v>4781.5340774444712</v>
          </cell>
          <cell r="P18">
            <v>5196.67</v>
          </cell>
          <cell r="Q18">
            <v>44.649366193351831</v>
          </cell>
          <cell r="R18">
            <v>14121.847365230473</v>
          </cell>
          <cell r="S18">
            <v>14144</v>
          </cell>
          <cell r="T18">
            <v>4537.3495584485518</v>
          </cell>
          <cell r="U18">
            <v>4517.59</v>
          </cell>
          <cell r="V18">
            <v>40.678746045441471</v>
          </cell>
          <cell r="W18">
            <v>15156.223148038649</v>
          </cell>
          <cell r="X18">
            <v>18761</v>
          </cell>
          <cell r="Y18">
            <v>4869.6944974648186</v>
          </cell>
          <cell r="Z18">
            <v>5994.14</v>
          </cell>
          <cell r="AA18">
            <v>53.968299628915801</v>
          </cell>
          <cell r="AB18">
            <v>19850.268453335812</v>
          </cell>
          <cell r="AC18">
            <v>21423</v>
          </cell>
          <cell r="AD18">
            <v>6377.8912540567972</v>
          </cell>
          <cell r="AE18">
            <v>6848.93</v>
          </cell>
          <cell r="AF18">
            <v>54.38551953491914</v>
          </cell>
          <cell r="AG18">
            <v>22898.166315654544</v>
          </cell>
          <cell r="AH18">
            <v>20027</v>
          </cell>
          <cell r="AI18">
            <v>7357.1808372198057</v>
          </cell>
          <cell r="AJ18">
            <v>6404.63</v>
          </cell>
          <cell r="AK18">
            <v>45.666400638467678</v>
          </cell>
          <cell r="AL18">
            <v>19001.239392486939</v>
          </cell>
          <cell r="AM18">
            <v>23055</v>
          </cell>
          <cell r="AN18">
            <v>6105.0982168060546</v>
          </cell>
          <cell r="AO18">
            <v>7375.29</v>
          </cell>
          <cell r="AP18">
            <v>44.617111450854409</v>
          </cell>
          <cell r="AQ18">
            <v>24416.98287273445</v>
          </cell>
          <cell r="AR18">
            <v>18576</v>
          </cell>
          <cell r="AS18">
            <v>7845.1765970095794</v>
          </cell>
          <cell r="AT18">
            <v>5955.47</v>
          </cell>
          <cell r="AU18">
            <v>43.310795057122874</v>
          </cell>
          <cell r="AV18">
            <v>14878.882314653269</v>
          </cell>
          <cell r="AW18">
            <v>19665</v>
          </cell>
          <cell r="AX18">
            <v>4780.5848876980954</v>
          </cell>
          <cell r="AY18">
            <v>6302.63</v>
          </cell>
          <cell r="AZ18">
            <v>42.512484596925873</v>
          </cell>
          <cell r="BA18">
            <v>13807.960709553465</v>
          </cell>
          <cell r="BB18">
            <v>13518</v>
          </cell>
          <cell r="BC18">
            <v>4436.4977759795283</v>
          </cell>
          <cell r="BD18">
            <v>4331.17</v>
          </cell>
          <cell r="BE18">
            <v>40.277695012216199</v>
          </cell>
          <cell r="BF18">
            <v>13019.996823444415</v>
          </cell>
          <cell r="BG18">
            <v>12293</v>
          </cell>
          <cell r="BH18">
            <v>4183.3249793726909</v>
          </cell>
          <cell r="BI18">
            <v>3937.45</v>
          </cell>
          <cell r="BJ18">
            <v>40.890795995077006</v>
          </cell>
          <cell r="BK18">
            <v>199138.62726570579</v>
          </cell>
          <cell r="BL18">
            <v>203961</v>
          </cell>
          <cell r="BM18">
            <v>63983.240940471274</v>
          </cell>
          <cell r="BN18">
            <v>65109.37999999999</v>
          </cell>
          <cell r="BO18">
            <v>44.625728588682144</v>
          </cell>
        </row>
        <row r="19">
          <cell r="C19">
            <v>0</v>
          </cell>
          <cell r="D19">
            <v>1775</v>
          </cell>
          <cell r="E19">
            <v>0</v>
          </cell>
          <cell r="F19">
            <v>1528.28</v>
          </cell>
          <cell r="G19">
            <v>6.0079880855672894</v>
          </cell>
          <cell r="H19">
            <v>515.40067073720513</v>
          </cell>
          <cell r="I19">
            <v>2625</v>
          </cell>
          <cell r="J19">
            <v>430.87496073630348</v>
          </cell>
          <cell r="K19">
            <v>2260.13</v>
          </cell>
          <cell r="L19">
            <v>7.831612864729399</v>
          </cell>
          <cell r="M19">
            <v>842.70374293382315</v>
          </cell>
          <cell r="N19">
            <v>1500</v>
          </cell>
          <cell r="O19">
            <v>704.50032909267611</v>
          </cell>
          <cell r="P19">
            <v>1358.1</v>
          </cell>
          <cell r="Q19">
            <v>4.0803003101028237</v>
          </cell>
          <cell r="R19">
            <v>1769.1852294443279</v>
          </cell>
          <cell r="S19">
            <v>0</v>
          </cell>
          <cell r="T19">
            <v>1479.038851815458</v>
          </cell>
          <cell r="U19">
            <v>0</v>
          </cell>
          <cell r="V19">
            <v>0</v>
          </cell>
          <cell r="W19">
            <v>1826.2947574492362</v>
          </cell>
          <cell r="X19">
            <v>0</v>
          </cell>
          <cell r="Y19">
            <v>1526.7824172275614</v>
          </cell>
          <cell r="Z19">
            <v>0</v>
          </cell>
          <cell r="AA19">
            <v>0</v>
          </cell>
          <cell r="AB19">
            <v>489.38257975485027</v>
          </cell>
          <cell r="AC19">
            <v>0</v>
          </cell>
          <cell r="AD19">
            <v>409.1238366750548</v>
          </cell>
          <cell r="AE19">
            <v>0</v>
          </cell>
          <cell r="AF19">
            <v>0</v>
          </cell>
          <cell r="AG19">
            <v>692.68063054326626</v>
          </cell>
          <cell r="AH19">
            <v>0</v>
          </cell>
          <cell r="AI19">
            <v>579.08100713417059</v>
          </cell>
          <cell r="AJ19">
            <v>0</v>
          </cell>
          <cell r="AK19">
            <v>0</v>
          </cell>
          <cell r="AL19">
            <v>741.07070366888911</v>
          </cell>
          <cell r="AM19">
            <v>0</v>
          </cell>
          <cell r="AN19">
            <v>619.53510826719128</v>
          </cell>
          <cell r="AO19">
            <v>0</v>
          </cell>
          <cell r="AP19">
            <v>0</v>
          </cell>
          <cell r="AQ19">
            <v>3864.1457982195743</v>
          </cell>
          <cell r="AR19">
            <v>0</v>
          </cell>
          <cell r="AS19">
            <v>3230.4258873115641</v>
          </cell>
          <cell r="AT19">
            <v>0</v>
          </cell>
          <cell r="AU19">
            <v>0</v>
          </cell>
          <cell r="AV19">
            <v>3157.3683405528955</v>
          </cell>
          <cell r="AW19">
            <v>0</v>
          </cell>
          <cell r="AX19">
            <v>2639.5599327022205</v>
          </cell>
          <cell r="AY19">
            <v>0</v>
          </cell>
          <cell r="AZ19">
            <v>0</v>
          </cell>
          <cell r="BA19">
            <v>778.23130783275622</v>
          </cell>
          <cell r="BB19">
            <v>0</v>
          </cell>
          <cell r="BC19">
            <v>650.60137334818421</v>
          </cell>
          <cell r="BD19">
            <v>0</v>
          </cell>
          <cell r="BE19">
            <v>0</v>
          </cell>
          <cell r="BF19">
            <v>1232.9464782012205</v>
          </cell>
          <cell r="BG19">
            <v>0</v>
          </cell>
          <cell r="BH19">
            <v>1030.7432557762204</v>
          </cell>
          <cell r="BI19">
            <v>0</v>
          </cell>
          <cell r="BJ19">
            <v>0</v>
          </cell>
          <cell r="BK19">
            <v>15909.410239338045</v>
          </cell>
          <cell r="BL19">
            <v>5900</v>
          </cell>
          <cell r="BM19">
            <v>13300.266960086605</v>
          </cell>
          <cell r="BN19">
            <v>5146.51</v>
          </cell>
          <cell r="BO19">
            <v>1.2908928602685055</v>
          </cell>
        </row>
        <row r="20">
          <cell r="C20">
            <v>0</v>
          </cell>
          <cell r="D20">
            <v>0</v>
          </cell>
          <cell r="E20">
            <v>0</v>
          </cell>
          <cell r="F20">
            <v>0</v>
          </cell>
          <cell r="G20">
            <v>0</v>
          </cell>
          <cell r="H20">
            <v>0</v>
          </cell>
          <cell r="I20">
            <v>0</v>
          </cell>
          <cell r="J20">
            <v>0</v>
          </cell>
          <cell r="K20">
            <v>0</v>
          </cell>
          <cell r="L20">
            <v>0</v>
          </cell>
          <cell r="M20">
            <v>6564.3120000000008</v>
          </cell>
          <cell r="N20">
            <v>6000</v>
          </cell>
          <cell r="O20">
            <v>8481.091104000001</v>
          </cell>
          <cell r="P20">
            <v>8656.2000000000007</v>
          </cell>
          <cell r="Q20">
            <v>16.321201240411295</v>
          </cell>
          <cell r="R20">
            <v>0</v>
          </cell>
          <cell r="S20">
            <v>0</v>
          </cell>
          <cell r="T20">
            <v>0</v>
          </cell>
          <cell r="U20">
            <v>0</v>
          </cell>
          <cell r="V20">
            <v>0</v>
          </cell>
          <cell r="W20">
            <v>6564.3120000000008</v>
          </cell>
          <cell r="X20">
            <v>0</v>
          </cell>
          <cell r="Y20">
            <v>8481.091104000001</v>
          </cell>
          <cell r="Z20">
            <v>0</v>
          </cell>
          <cell r="AA20">
            <v>0</v>
          </cell>
          <cell r="AB20">
            <v>0</v>
          </cell>
          <cell r="AC20">
            <v>6000</v>
          </cell>
          <cell r="AD20">
            <v>0</v>
          </cell>
          <cell r="AE20">
            <v>8656.2000000000007</v>
          </cell>
          <cell r="AF20">
            <v>15.231905765276331</v>
          </cell>
          <cell r="AG20">
            <v>5920.7520000000004</v>
          </cell>
          <cell r="AH20">
            <v>0</v>
          </cell>
          <cell r="AI20">
            <v>7649.6115840000011</v>
          </cell>
          <cell r="AJ20">
            <v>0</v>
          </cell>
          <cell r="AK20">
            <v>0</v>
          </cell>
          <cell r="AL20">
            <v>0</v>
          </cell>
          <cell r="AM20">
            <v>0</v>
          </cell>
          <cell r="AN20">
            <v>0</v>
          </cell>
          <cell r="AO20">
            <v>0</v>
          </cell>
          <cell r="AP20">
            <v>0</v>
          </cell>
          <cell r="AQ20">
            <v>5729.76</v>
          </cell>
          <cell r="AR20">
            <v>0</v>
          </cell>
          <cell r="AS20">
            <v>7402.8499200000006</v>
          </cell>
          <cell r="AT20">
            <v>0</v>
          </cell>
          <cell r="AU20">
            <v>0</v>
          </cell>
          <cell r="AV20">
            <v>0</v>
          </cell>
          <cell r="AW20">
            <v>0</v>
          </cell>
          <cell r="AX20">
            <v>0</v>
          </cell>
          <cell r="AY20">
            <v>0</v>
          </cell>
          <cell r="AZ20">
            <v>0</v>
          </cell>
          <cell r="BA20">
            <v>6539.4000000000005</v>
          </cell>
          <cell r="BB20">
            <v>6000</v>
          </cell>
          <cell r="BC20">
            <v>8448.9048000000003</v>
          </cell>
          <cell r="BD20">
            <v>8656.2000000000007</v>
          </cell>
          <cell r="BE20">
            <v>17.877361301471904</v>
          </cell>
          <cell r="BF20">
            <v>0</v>
          </cell>
          <cell r="BG20">
            <v>0</v>
          </cell>
          <cell r="BH20">
            <v>0</v>
          </cell>
          <cell r="BI20">
            <v>0</v>
          </cell>
          <cell r="BJ20">
            <v>0</v>
          </cell>
          <cell r="BK20">
            <v>31318.536000000007</v>
          </cell>
          <cell r="BL20">
            <v>18000</v>
          </cell>
          <cell r="BM20">
            <v>40463.548512000008</v>
          </cell>
          <cell r="BN20">
            <v>25968.600000000002</v>
          </cell>
          <cell r="BO20">
            <v>3.9383172008191694</v>
          </cell>
        </row>
        <row r="21">
          <cell r="C21">
            <v>6703.0362742951629</v>
          </cell>
          <cell r="D21">
            <v>9369</v>
          </cell>
          <cell r="E21">
            <v>1724.3560815624305</v>
          </cell>
          <cell r="F21">
            <v>1771.22</v>
          </cell>
          <cell r="G21">
            <v>31.712022745735176</v>
          </cell>
          <cell r="H21">
            <v>4440.6589913005364</v>
          </cell>
          <cell r="I21">
            <v>9430</v>
          </cell>
          <cell r="J21">
            <v>1142.3595255120629</v>
          </cell>
          <cell r="K21">
            <v>2622.48</v>
          </cell>
          <cell r="L21">
            <v>28.134136881675516</v>
          </cell>
          <cell r="M21">
            <v>6718.1278231450606</v>
          </cell>
          <cell r="N21">
            <v>9464</v>
          </cell>
          <cell r="O21">
            <v>1728.2383825040667</v>
          </cell>
          <cell r="P21">
            <v>2654.65</v>
          </cell>
          <cell r="Q21">
            <v>25.74397475654208</v>
          </cell>
          <cell r="R21">
            <v>6527.4231356397331</v>
          </cell>
          <cell r="S21">
            <v>7244</v>
          </cell>
          <cell r="T21">
            <v>1679.1796016433211</v>
          </cell>
          <cell r="U21">
            <v>2031.94</v>
          </cell>
          <cell r="V21">
            <v>20.83405234397469</v>
          </cell>
          <cell r="W21">
            <v>6834.5695558841062</v>
          </cell>
          <cell r="X21">
            <v>7124</v>
          </cell>
          <cell r="Y21">
            <v>1758.1930182511862</v>
          </cell>
          <cell r="Z21">
            <v>2022.5</v>
          </cell>
          <cell r="AA21">
            <v>20.493052958605414</v>
          </cell>
          <cell r="AB21">
            <v>8001.6647592292447</v>
          </cell>
          <cell r="AC21">
            <v>8287</v>
          </cell>
          <cell r="AD21">
            <v>2058.4282593117232</v>
          </cell>
          <cell r="AE21">
            <v>2352.6799999999998</v>
          </cell>
          <cell r="AF21">
            <v>21.037800512807493</v>
          </cell>
          <cell r="AG21">
            <v>7462.1420998295835</v>
          </cell>
          <cell r="AH21">
            <v>7474</v>
          </cell>
          <cell r="AI21">
            <v>1919.6360551811601</v>
          </cell>
          <cell r="AJ21">
            <v>2134.5700000000002</v>
          </cell>
          <cell r="AK21">
            <v>17.042526507809828</v>
          </cell>
          <cell r="AL21">
            <v>8674.0193706849532</v>
          </cell>
          <cell r="AM21">
            <v>9976</v>
          </cell>
          <cell r="AN21">
            <v>2231.3914831087041</v>
          </cell>
          <cell r="AO21">
            <v>2860.12</v>
          </cell>
          <cell r="AP21">
            <v>19.306020552319392</v>
          </cell>
          <cell r="AQ21">
            <v>12407.443772644543</v>
          </cell>
          <cell r="AR21">
            <v>9962</v>
          </cell>
          <cell r="AS21">
            <v>3191.8149105128086</v>
          </cell>
          <cell r="AT21">
            <v>2856.11</v>
          </cell>
          <cell r="AU21">
            <v>23.226859407787366</v>
          </cell>
          <cell r="AV21">
            <v>7073.617505153823</v>
          </cell>
          <cell r="AW21">
            <v>8483</v>
          </cell>
          <cell r="AX21">
            <v>1819.6881032008207</v>
          </cell>
          <cell r="AY21">
            <v>2443.1</v>
          </cell>
          <cell r="AZ21">
            <v>18.338846012495406</v>
          </cell>
          <cell r="BA21">
            <v>6105.1884752551105</v>
          </cell>
          <cell r="BB21">
            <v>7094</v>
          </cell>
          <cell r="BC21">
            <v>1570.559735259377</v>
          </cell>
          <cell r="BD21">
            <v>2045.2</v>
          </cell>
          <cell r="BE21">
            <v>21.137000178773611</v>
          </cell>
          <cell r="BF21">
            <v>6235.9780779783787</v>
          </cell>
          <cell r="BG21">
            <v>5069</v>
          </cell>
          <cell r="BH21">
            <v>1604.2053605599378</v>
          </cell>
          <cell r="BI21">
            <v>1461.39</v>
          </cell>
          <cell r="BJ21">
            <v>16.861258024814557</v>
          </cell>
          <cell r="BK21">
            <v>87183.869841040228</v>
          </cell>
          <cell r="BL21">
            <v>98976</v>
          </cell>
          <cell r="BM21">
            <v>22428.050516607596</v>
          </cell>
          <cell r="BN21">
            <v>27255.96</v>
          </cell>
          <cell r="BO21">
            <v>21.655493514904339</v>
          </cell>
        </row>
        <row r="22">
          <cell r="C22">
            <v>11628.722305271143</v>
          </cell>
          <cell r="D22">
            <v>7398</v>
          </cell>
          <cell r="E22">
            <v>9150.6415820178627</v>
          </cell>
          <cell r="F22">
            <v>4502.42</v>
          </cell>
          <cell r="G22">
            <v>25.040617384240456</v>
          </cell>
          <cell r="H22">
            <v>8368.9252326830483</v>
          </cell>
          <cell r="I22">
            <v>8060</v>
          </cell>
          <cell r="J22">
            <v>6585.5072655982913</v>
          </cell>
          <cell r="K22">
            <v>4905.32</v>
          </cell>
          <cell r="L22">
            <v>24.046780834178652</v>
          </cell>
          <cell r="M22">
            <v>9497.6364241015344</v>
          </cell>
          <cell r="N22">
            <v>9427</v>
          </cell>
          <cell r="O22">
            <v>7473.690102125498</v>
          </cell>
          <cell r="P22">
            <v>5150.91</v>
          </cell>
          <cell r="Q22">
            <v>25.643327348892878</v>
          </cell>
          <cell r="R22">
            <v>10770.788915114354</v>
          </cell>
          <cell r="S22">
            <v>8906</v>
          </cell>
          <cell r="T22">
            <v>8475.5337973034857</v>
          </cell>
          <cell r="U22">
            <v>4866.24</v>
          </cell>
          <cell r="V22">
            <v>25.614035087719298</v>
          </cell>
          <cell r="W22">
            <v>10925.965920800581</v>
          </cell>
          <cell r="X22">
            <v>12241</v>
          </cell>
          <cell r="Y22">
            <v>8597.6425830779772</v>
          </cell>
          <cell r="Z22">
            <v>6235.57</v>
          </cell>
          <cell r="AA22">
            <v>35.212726174380805</v>
          </cell>
          <cell r="AB22">
            <v>13267.323789808986</v>
          </cell>
          <cell r="AC22">
            <v>10974</v>
          </cell>
          <cell r="AD22">
            <v>10440.057090200691</v>
          </cell>
          <cell r="AE22">
            <v>5401.4</v>
          </cell>
          <cell r="AF22">
            <v>27.859155644690411</v>
          </cell>
          <cell r="AG22">
            <v>14619.292140549223</v>
          </cell>
          <cell r="AH22">
            <v>12052</v>
          </cell>
          <cell r="AI22">
            <v>11503.920985398185</v>
          </cell>
          <cell r="AJ22">
            <v>5817.5</v>
          </cell>
          <cell r="AK22">
            <v>27.481473036141832</v>
          </cell>
          <cell r="AL22">
            <v>13671.702228411357</v>
          </cell>
          <cell r="AM22">
            <v>15212</v>
          </cell>
          <cell r="AN22">
            <v>10758.262483536897</v>
          </cell>
          <cell r="AO22">
            <v>7210.49</v>
          </cell>
          <cell r="AP22">
            <v>29.438971996981014</v>
          </cell>
          <cell r="AQ22">
            <v>16555.945253688486</v>
          </cell>
          <cell r="AR22">
            <v>12261</v>
          </cell>
          <cell r="AS22">
            <v>13027.87332012747</v>
          </cell>
          <cell r="AT22">
            <v>5746.73</v>
          </cell>
          <cell r="AU22">
            <v>28.587083236185592</v>
          </cell>
          <cell r="AV22">
            <v>11752.56933701141</v>
          </cell>
          <cell r="AW22">
            <v>13633</v>
          </cell>
          <cell r="AX22">
            <v>9248.0968112942792</v>
          </cell>
          <cell r="AY22">
            <v>6348.89</v>
          </cell>
          <cell r="AZ22">
            <v>29.472296084916877</v>
          </cell>
          <cell r="BA22">
            <v>10958.931976784044</v>
          </cell>
          <cell r="BB22">
            <v>9964</v>
          </cell>
          <cell r="BC22">
            <v>8623.5835725313646</v>
          </cell>
          <cell r="BD22">
            <v>4617.32</v>
          </cell>
          <cell r="BE22">
            <v>29.688338001311006</v>
          </cell>
          <cell r="BF22">
            <v>11675.610903740862</v>
          </cell>
          <cell r="BG22">
            <v>7263</v>
          </cell>
          <cell r="BH22">
            <v>9187.538220153685</v>
          </cell>
          <cell r="BI22">
            <v>3365.67</v>
          </cell>
          <cell r="BJ22">
            <v>24.159265542361041</v>
          </cell>
          <cell r="BK22">
            <v>143693.41442796504</v>
          </cell>
          <cell r="BL22">
            <v>127391</v>
          </cell>
          <cell r="BM22">
            <v>113072.34781336569</v>
          </cell>
          <cell r="BN22">
            <v>64168.46</v>
          </cell>
          <cell r="BO22">
            <v>27.872564807197492</v>
          </cell>
        </row>
        <row r="23">
          <cell r="C23">
            <v>2281.6489356697416</v>
          </cell>
          <cell r="D23">
            <v>450</v>
          </cell>
          <cell r="E23">
            <v>390.16196799952576</v>
          </cell>
          <cell r="F23">
            <v>80.64</v>
          </cell>
          <cell r="G23">
            <v>1.5231519090170593</v>
          </cell>
          <cell r="H23">
            <v>1655.1573363158031</v>
          </cell>
          <cell r="I23">
            <v>1350</v>
          </cell>
          <cell r="J23">
            <v>283.03190451000233</v>
          </cell>
          <cell r="K23">
            <v>241.92</v>
          </cell>
          <cell r="L23">
            <v>4.0276866161465481</v>
          </cell>
          <cell r="M23">
            <v>2951.1231606493116</v>
          </cell>
          <cell r="N23">
            <v>1550</v>
          </cell>
          <cell r="O23">
            <v>504.64206047103221</v>
          </cell>
          <cell r="P23">
            <v>277.76</v>
          </cell>
          <cell r="Q23">
            <v>4.2163103204395842</v>
          </cell>
          <cell r="R23">
            <v>1926.6145458294304</v>
          </cell>
          <cell r="S23">
            <v>1500</v>
          </cell>
          <cell r="T23">
            <v>329.45108733683259</v>
          </cell>
          <cell r="U23">
            <v>280.35000000000002</v>
          </cell>
          <cell r="V23">
            <v>4.3140638481449525</v>
          </cell>
          <cell r="W23">
            <v>2838.9352545337488</v>
          </cell>
          <cell r="X23">
            <v>1000</v>
          </cell>
          <cell r="Y23">
            <v>485.45792852527097</v>
          </cell>
          <cell r="Z23">
            <v>186.9</v>
          </cell>
          <cell r="AA23">
            <v>2.8766216954808272</v>
          </cell>
          <cell r="AB23">
            <v>2586.4910604196784</v>
          </cell>
          <cell r="AC23">
            <v>1750</v>
          </cell>
          <cell r="AD23">
            <v>442.289971331765</v>
          </cell>
          <cell r="AE23">
            <v>330.58</v>
          </cell>
          <cell r="AF23">
            <v>4.4426391815389303</v>
          </cell>
          <cell r="AG23">
            <v>3131.0520108265505</v>
          </cell>
          <cell r="AH23">
            <v>1350</v>
          </cell>
          <cell r="AI23">
            <v>535.40989385134014</v>
          </cell>
          <cell r="AJ23">
            <v>255.02</v>
          </cell>
          <cell r="AK23">
            <v>3.0783263025880743</v>
          </cell>
          <cell r="AL23">
            <v>2054.1300474209643</v>
          </cell>
          <cell r="AM23">
            <v>1195</v>
          </cell>
          <cell r="AN23">
            <v>351.25623810898486</v>
          </cell>
          <cell r="AO23">
            <v>225.74</v>
          </cell>
          <cell r="AP23">
            <v>2.3126197433862945</v>
          </cell>
          <cell r="AQ23">
            <v>4070.0994711489102</v>
          </cell>
          <cell r="AR23">
            <v>1605</v>
          </cell>
          <cell r="AS23">
            <v>695.9870095664636</v>
          </cell>
          <cell r="AT23">
            <v>303.18</v>
          </cell>
          <cell r="AU23">
            <v>3.7421310328747963</v>
          </cell>
          <cell r="AV23">
            <v>2679.6900112654985</v>
          </cell>
          <cell r="AW23">
            <v>1650</v>
          </cell>
          <cell r="AX23">
            <v>458.22699192640022</v>
          </cell>
          <cell r="AY23">
            <v>303.44</v>
          </cell>
          <cell r="AZ23">
            <v>3.5670276931059082</v>
          </cell>
          <cell r="BA23">
            <v>2358.0234674642516</v>
          </cell>
          <cell r="BB23">
            <v>950</v>
          </cell>
          <cell r="BC23">
            <v>403.22201293638699</v>
          </cell>
          <cell r="BD23">
            <v>174.71</v>
          </cell>
          <cell r="BE23">
            <v>2.8305822060663846</v>
          </cell>
          <cell r="BF23">
            <v>2654.1311198394983</v>
          </cell>
          <cell r="BG23">
            <v>1750</v>
          </cell>
          <cell r="BH23">
            <v>453.85642149255415</v>
          </cell>
          <cell r="BI23">
            <v>321.83</v>
          </cell>
          <cell r="BJ23">
            <v>5.8211090044240432</v>
          </cell>
          <cell r="BK23">
            <v>31187.09642138339</v>
          </cell>
          <cell r="BL23">
            <v>16100</v>
          </cell>
          <cell r="BM23">
            <v>5332.9934880565588</v>
          </cell>
          <cell r="BN23">
            <v>2982.0699999999997</v>
          </cell>
          <cell r="BO23">
            <v>3.5226059407327015</v>
          </cell>
        </row>
        <row r="24">
          <cell r="C24">
            <v>3822.7681572551915</v>
          </cell>
          <cell r="D24">
            <v>1948</v>
          </cell>
          <cell r="E24">
            <v>3413.7319644288855</v>
          </cell>
          <cell r="F24">
            <v>916.34</v>
          </cell>
          <cell r="G24">
            <v>6.5935553750338478</v>
          </cell>
          <cell r="H24">
            <v>2200.8278823780529</v>
          </cell>
          <cell r="I24">
            <v>2015</v>
          </cell>
          <cell r="J24">
            <v>1965.3392989636011</v>
          </cell>
          <cell r="K24">
            <v>947.86</v>
          </cell>
          <cell r="L24">
            <v>6.0116952085446629</v>
          </cell>
          <cell r="M24">
            <v>2588.1542003091377</v>
          </cell>
          <cell r="N24">
            <v>2501</v>
          </cell>
          <cell r="O24">
            <v>2311.2217008760595</v>
          </cell>
          <cell r="P24">
            <v>1176.47</v>
          </cell>
          <cell r="Q24">
            <v>6.8032207170447743</v>
          </cell>
          <cell r="R24">
            <v>1988.6148518658115</v>
          </cell>
          <cell r="S24">
            <v>1796</v>
          </cell>
          <cell r="T24">
            <v>1775.8330627161695</v>
          </cell>
          <cell r="U24">
            <v>844.84</v>
          </cell>
          <cell r="V24">
            <v>5.1653724475122234</v>
          </cell>
          <cell r="W24">
            <v>3068.8393854827577</v>
          </cell>
          <cell r="X24">
            <v>1697</v>
          </cell>
          <cell r="Y24">
            <v>2740.4735712361025</v>
          </cell>
          <cell r="Z24">
            <v>798.27</v>
          </cell>
          <cell r="AA24">
            <v>4.8816270172309641</v>
          </cell>
          <cell r="AB24">
            <v>8289.1015626973349</v>
          </cell>
          <cell r="AC24">
            <v>6433</v>
          </cell>
          <cell r="AD24">
            <v>7402.1676954887189</v>
          </cell>
          <cell r="AE24">
            <v>2707.01</v>
          </cell>
          <cell r="AF24">
            <v>16.331141631337108</v>
          </cell>
          <cell r="AG24">
            <v>8080.8343335126319</v>
          </cell>
          <cell r="AH24">
            <v>3496</v>
          </cell>
          <cell r="AI24">
            <v>7216.1850598267793</v>
          </cell>
          <cell r="AJ24">
            <v>1471.12</v>
          </cell>
          <cell r="AK24">
            <v>7.9717250028503015</v>
          </cell>
          <cell r="AL24">
            <v>6751.8296219323965</v>
          </cell>
          <cell r="AM24">
            <v>4114</v>
          </cell>
          <cell r="AN24">
            <v>6029.3838523856293</v>
          </cell>
          <cell r="AO24">
            <v>1731.17</v>
          </cell>
          <cell r="AP24">
            <v>7.9616047065198456</v>
          </cell>
          <cell r="AQ24">
            <v>7894.4831408484351</v>
          </cell>
          <cell r="AR24">
            <v>4336</v>
          </cell>
          <cell r="AS24">
            <v>7049.773444777652</v>
          </cell>
          <cell r="AT24">
            <v>1824.59</v>
          </cell>
          <cell r="AU24">
            <v>10.109582653299137</v>
          </cell>
          <cell r="AV24">
            <v>3622.5568734958206</v>
          </cell>
          <cell r="AW24">
            <v>7038</v>
          </cell>
          <cell r="AX24">
            <v>3234.9432880317672</v>
          </cell>
          <cell r="AY24">
            <v>2726.52</v>
          </cell>
          <cell r="AZ24">
            <v>15.214994487320839</v>
          </cell>
          <cell r="BA24">
            <v>6689.4811103144866</v>
          </cell>
          <cell r="BB24">
            <v>2829</v>
          </cell>
          <cell r="BC24">
            <v>5973.7066315108359</v>
          </cell>
          <cell r="BD24">
            <v>1095.95</v>
          </cell>
          <cell r="BE24">
            <v>8.4291758536440025</v>
          </cell>
          <cell r="BF24">
            <v>2274.2779057107241</v>
          </cell>
          <cell r="BG24">
            <v>2271</v>
          </cell>
          <cell r="BH24">
            <v>2030.9301697996764</v>
          </cell>
          <cell r="BI24">
            <v>879.79</v>
          </cell>
          <cell r="BJ24">
            <v>7.5541363137411439</v>
          </cell>
          <cell r="BK24">
            <v>57271.769025802787</v>
          </cell>
          <cell r="BL24">
            <v>40474</v>
          </cell>
          <cell r="BM24">
            <v>51143.689740041889</v>
          </cell>
          <cell r="BN24">
            <v>17119.93</v>
          </cell>
          <cell r="BO24">
            <v>8.8555250214419488</v>
          </cell>
        </row>
        <row r="25">
          <cell r="C25">
            <v>618.35914790762581</v>
          </cell>
          <cell r="D25">
            <v>0</v>
          </cell>
          <cell r="E25">
            <v>124.47569647380509</v>
          </cell>
          <cell r="F25">
            <v>0</v>
          </cell>
          <cell r="G25">
            <v>0</v>
          </cell>
          <cell r="H25">
            <v>0</v>
          </cell>
          <cell r="I25">
            <v>0</v>
          </cell>
          <cell r="J25">
            <v>0</v>
          </cell>
          <cell r="K25">
            <v>0</v>
          </cell>
          <cell r="L25">
            <v>0</v>
          </cell>
          <cell r="M25">
            <v>806.19164637614199</v>
          </cell>
          <cell r="N25">
            <v>0</v>
          </cell>
          <cell r="O25">
            <v>162.28637841551739</v>
          </cell>
          <cell r="P25">
            <v>0</v>
          </cell>
          <cell r="Q25">
            <v>0</v>
          </cell>
          <cell r="R25">
            <v>909.52464663110072</v>
          </cell>
          <cell r="S25">
            <v>0</v>
          </cell>
          <cell r="T25">
            <v>183.08731136684059</v>
          </cell>
          <cell r="U25">
            <v>0</v>
          </cell>
          <cell r="V25">
            <v>0</v>
          </cell>
          <cell r="W25">
            <v>4514.9775451270625</v>
          </cell>
          <cell r="X25">
            <v>18416</v>
          </cell>
          <cell r="Y25">
            <v>908.86497983407776</v>
          </cell>
          <cell r="Z25">
            <v>3966.81</v>
          </cell>
          <cell r="AA25">
            <v>52.975865143974914</v>
          </cell>
          <cell r="AB25">
            <v>18515.667791659853</v>
          </cell>
          <cell r="AC25">
            <v>13060</v>
          </cell>
          <cell r="AD25">
            <v>3727.2039264611285</v>
          </cell>
          <cell r="AE25">
            <v>2813.12</v>
          </cell>
          <cell r="AF25">
            <v>33.154781549084817</v>
          </cell>
          <cell r="AG25">
            <v>29134.012547874256</v>
          </cell>
          <cell r="AH25">
            <v>4798</v>
          </cell>
          <cell r="AI25">
            <v>5864.6767258870877</v>
          </cell>
          <cell r="AJ25">
            <v>383.84</v>
          </cell>
          <cell r="AK25">
            <v>10.940599703568578</v>
          </cell>
          <cell r="AL25">
            <v>27326.861454853079</v>
          </cell>
          <cell r="AM25">
            <v>2302</v>
          </cell>
          <cell r="AN25">
            <v>5500.8972108619246</v>
          </cell>
          <cell r="AO25">
            <v>184.16</v>
          </cell>
          <cell r="AP25">
            <v>4.4549377818202931</v>
          </cell>
          <cell r="AQ25">
            <v>26886.566592733798</v>
          </cell>
          <cell r="AR25">
            <v>21915</v>
          </cell>
          <cell r="AS25">
            <v>5412.2658551173135</v>
          </cell>
          <cell r="AT25">
            <v>1753.2</v>
          </cell>
          <cell r="AU25">
            <v>51.095826532991374</v>
          </cell>
          <cell r="AV25">
            <v>9862.3930983203009</v>
          </cell>
          <cell r="AW25">
            <v>0</v>
          </cell>
          <cell r="AX25">
            <v>1985.2997306918767</v>
          </cell>
          <cell r="AY25">
            <v>0</v>
          </cell>
          <cell r="AZ25">
            <v>0</v>
          </cell>
          <cell r="BA25">
            <v>10212.362869349457</v>
          </cell>
          <cell r="BB25">
            <v>0</v>
          </cell>
          <cell r="BC25">
            <v>2055.7486456000461</v>
          </cell>
          <cell r="BD25">
            <v>0</v>
          </cell>
          <cell r="BE25">
            <v>0</v>
          </cell>
          <cell r="BF25">
            <v>4753.5445985166079</v>
          </cell>
          <cell r="BG25">
            <v>0</v>
          </cell>
          <cell r="BH25">
            <v>956.88852768139316</v>
          </cell>
          <cell r="BI25">
            <v>0</v>
          </cell>
          <cell r="BJ25">
            <v>0</v>
          </cell>
          <cell r="BK25">
            <v>133540.46193934928</v>
          </cell>
          <cell r="BL25">
            <v>60491</v>
          </cell>
          <cell r="BM25">
            <v>26881.694988391009</v>
          </cell>
          <cell r="BN25">
            <v>9101.130000000001</v>
          </cell>
          <cell r="BO25">
            <v>13.235152544152911</v>
          </cell>
        </row>
        <row r="26">
          <cell r="C26">
            <v>2283.3740739786094</v>
          </cell>
          <cell r="D26">
            <v>880</v>
          </cell>
          <cell r="E26">
            <v>7505.4505811676891</v>
          </cell>
          <cell r="F26">
            <v>2788.54</v>
          </cell>
          <cell r="G26">
            <v>2.9786081776333604</v>
          </cell>
          <cell r="H26">
            <v>1366.9785721678033</v>
          </cell>
          <cell r="I26">
            <v>1980</v>
          </cell>
          <cell r="J26">
            <v>4493.2585667155699</v>
          </cell>
          <cell r="K26">
            <v>6274.22</v>
          </cell>
          <cell r="L26">
            <v>5.9072737036816036</v>
          </cell>
          <cell r="M26">
            <v>1620.5645590949177</v>
          </cell>
          <cell r="N26">
            <v>941</v>
          </cell>
          <cell r="O26">
            <v>5326.7957057449948</v>
          </cell>
          <cell r="P26">
            <v>2488.9499999999998</v>
          </cell>
          <cell r="Q26">
            <v>2.559708394537838</v>
          </cell>
          <cell r="R26">
            <v>2550.2465411810276</v>
          </cell>
          <cell r="S26">
            <v>271</v>
          </cell>
          <cell r="T26">
            <v>8382.6603808620384</v>
          </cell>
          <cell r="U26">
            <v>716.8</v>
          </cell>
          <cell r="V26">
            <v>0.7794075352315214</v>
          </cell>
          <cell r="W26">
            <v>1499.1247155342382</v>
          </cell>
          <cell r="X26">
            <v>0</v>
          </cell>
          <cell r="Y26">
            <v>4927.6229399610411</v>
          </cell>
          <cell r="Z26">
            <v>0</v>
          </cell>
          <cell r="AA26">
            <v>0</v>
          </cell>
          <cell r="AB26">
            <v>393.23840406784416</v>
          </cell>
          <cell r="AC26">
            <v>220</v>
          </cell>
          <cell r="AD26">
            <v>1292.5746341710037</v>
          </cell>
          <cell r="AE26">
            <v>581.9</v>
          </cell>
          <cell r="AF26">
            <v>0.55850321139346548</v>
          </cell>
          <cell r="AG26">
            <v>711.78732640582007</v>
          </cell>
          <cell r="AH26">
            <v>110</v>
          </cell>
          <cell r="AI26">
            <v>2339.6449418959305</v>
          </cell>
          <cell r="AJ26">
            <v>290.95</v>
          </cell>
          <cell r="AK26">
            <v>0.25082658761828752</v>
          </cell>
          <cell r="AL26">
            <v>877.44564721981135</v>
          </cell>
          <cell r="AM26">
            <v>0</v>
          </cell>
          <cell r="AN26">
            <v>2884.1638424115199</v>
          </cell>
          <cell r="AO26">
            <v>0</v>
          </cell>
          <cell r="AP26">
            <v>0</v>
          </cell>
          <cell r="AQ26">
            <v>2135.6394277704644</v>
          </cell>
          <cell r="AR26">
            <v>285</v>
          </cell>
          <cell r="AS26">
            <v>7019.8467990815161</v>
          </cell>
          <cell r="AT26">
            <v>740.86</v>
          </cell>
          <cell r="AU26">
            <v>0.66449055723944983</v>
          </cell>
          <cell r="AV26">
            <v>209.13968747435626</v>
          </cell>
          <cell r="AW26">
            <v>165</v>
          </cell>
          <cell r="AX26">
            <v>687.44215272820907</v>
          </cell>
          <cell r="AY26">
            <v>428.92</v>
          </cell>
          <cell r="AZ26">
            <v>0.35670276931059086</v>
          </cell>
          <cell r="BA26">
            <v>996.09447028907607</v>
          </cell>
          <cell r="BB26">
            <v>0</v>
          </cell>
          <cell r="BC26">
            <v>3274.162523840193</v>
          </cell>
          <cell r="BD26">
            <v>0</v>
          </cell>
          <cell r="BE26">
            <v>0</v>
          </cell>
          <cell r="BF26">
            <v>1174.4868226295512</v>
          </cell>
          <cell r="BG26">
            <v>0</v>
          </cell>
          <cell r="BH26">
            <v>3860.5381859833346</v>
          </cell>
          <cell r="BI26">
            <v>0</v>
          </cell>
          <cell r="BJ26">
            <v>0</v>
          </cell>
          <cell r="BK26">
            <v>15818.12024781352</v>
          </cell>
          <cell r="BL26">
            <v>4852</v>
          </cell>
          <cell r="BM26">
            <v>51994.161254563049</v>
          </cell>
          <cell r="BN26">
            <v>14311.14</v>
          </cell>
          <cell r="BO26">
            <v>1.0615952810208118</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row>
        <row r="28">
          <cell r="G28">
            <v>0</v>
          </cell>
          <cell r="L28">
            <v>0</v>
          </cell>
          <cell r="Q28">
            <v>0</v>
          </cell>
          <cell r="V28">
            <v>0</v>
          </cell>
          <cell r="AA28">
            <v>0</v>
          </cell>
          <cell r="AF28">
            <v>0</v>
          </cell>
          <cell r="AK28">
            <v>0</v>
          </cell>
          <cell r="AP28">
            <v>0</v>
          </cell>
          <cell r="AU28">
            <v>0</v>
          </cell>
          <cell r="AZ28">
            <v>0</v>
          </cell>
          <cell r="BE28">
            <v>0</v>
          </cell>
          <cell r="BJ28">
            <v>0</v>
          </cell>
          <cell r="BK28">
            <v>0</v>
          </cell>
          <cell r="BL28">
            <v>0</v>
          </cell>
          <cell r="BM28">
            <v>0</v>
          </cell>
          <cell r="BN28">
            <v>0</v>
          </cell>
          <cell r="BO28">
            <v>0</v>
          </cell>
        </row>
        <row r="29">
          <cell r="G29">
            <v>0</v>
          </cell>
          <cell r="L29">
            <v>0</v>
          </cell>
          <cell r="Q29">
            <v>0</v>
          </cell>
          <cell r="V29">
            <v>0</v>
          </cell>
          <cell r="AA29">
            <v>0</v>
          </cell>
          <cell r="AF29">
            <v>0</v>
          </cell>
          <cell r="AK29">
            <v>0</v>
          </cell>
          <cell r="AP29">
            <v>0</v>
          </cell>
          <cell r="AU29">
            <v>0</v>
          </cell>
          <cell r="AZ29">
            <v>0</v>
          </cell>
          <cell r="BE29">
            <v>0</v>
          </cell>
          <cell r="BJ29">
            <v>0</v>
          </cell>
          <cell r="BK29">
            <v>0</v>
          </cell>
          <cell r="BL29">
            <v>0</v>
          </cell>
          <cell r="BM29">
            <v>0</v>
          </cell>
          <cell r="BN29">
            <v>0</v>
          </cell>
          <cell r="BO29">
            <v>0</v>
          </cell>
        </row>
        <row r="33">
          <cell r="D33">
            <v>7.5999999999999988</v>
          </cell>
          <cell r="E33">
            <v>17.190000000000001</v>
          </cell>
          <cell r="F33">
            <v>6</v>
          </cell>
          <cell r="I33">
            <v>7.2566666666666668</v>
          </cell>
          <cell r="J33">
            <v>5.46</v>
          </cell>
          <cell r="K33">
            <v>13.98</v>
          </cell>
          <cell r="N33">
            <v>15.533333333333333</v>
          </cell>
          <cell r="O33">
            <v>13.94</v>
          </cell>
          <cell r="P33">
            <v>14.5</v>
          </cell>
          <cell r="S33">
            <v>14.733333333333334</v>
          </cell>
          <cell r="T33">
            <v>16.399999999999999</v>
          </cell>
          <cell r="U33">
            <v>10.8</v>
          </cell>
          <cell r="X33">
            <v>12.033333333333333</v>
          </cell>
          <cell r="Y33">
            <v>76.55</v>
          </cell>
          <cell r="Z33">
            <v>140</v>
          </cell>
          <cell r="AC33">
            <v>8.3433333333333337</v>
          </cell>
          <cell r="AD33">
            <v>11.27</v>
          </cell>
          <cell r="AE33">
            <v>22.6</v>
          </cell>
          <cell r="AH33">
            <v>8.9633333333333329</v>
          </cell>
          <cell r="AI33">
            <v>8.8699999999999992</v>
          </cell>
          <cell r="AJ33">
            <v>14.5</v>
          </cell>
          <cell r="AM33">
            <v>6.7600000000000007</v>
          </cell>
          <cell r="AN33">
            <v>8.7799999999999994</v>
          </cell>
          <cell r="AO33">
            <v>29.7</v>
          </cell>
          <cell r="AR33">
            <v>8.2666666666666675</v>
          </cell>
          <cell r="AS33">
            <v>4.5</v>
          </cell>
          <cell r="AT33">
            <v>13.9</v>
          </cell>
          <cell r="AW33">
            <v>16.053333333333331</v>
          </cell>
          <cell r="AX33">
            <v>4.55</v>
          </cell>
          <cell r="AY33">
            <v>9.8000000000000007</v>
          </cell>
          <cell r="BB33">
            <v>8.8666666666666671</v>
          </cell>
          <cell r="BC33">
            <v>6.67</v>
          </cell>
          <cell r="BD33">
            <v>9.5</v>
          </cell>
          <cell r="BG33">
            <v>7.293333333333333</v>
          </cell>
          <cell r="BH33">
            <v>37.97</v>
          </cell>
          <cell r="BI33">
            <v>8.58</v>
          </cell>
        </row>
        <row r="34">
          <cell r="D34">
            <v>8180</v>
          </cell>
          <cell r="E34">
            <v>10107.42</v>
          </cell>
          <cell r="F34">
            <v>10107.42</v>
          </cell>
          <cell r="I34">
            <v>8180</v>
          </cell>
          <cell r="J34">
            <v>9256</v>
          </cell>
          <cell r="K34">
            <v>9256</v>
          </cell>
          <cell r="N34">
            <v>11180</v>
          </cell>
          <cell r="O34">
            <v>10573.7</v>
          </cell>
          <cell r="P34">
            <v>10573.7</v>
          </cell>
          <cell r="S34">
            <v>8180</v>
          </cell>
          <cell r="T34">
            <v>9057</v>
          </cell>
          <cell r="U34">
            <v>9057</v>
          </cell>
          <cell r="X34">
            <v>8180</v>
          </cell>
          <cell r="Y34">
            <v>6931</v>
          </cell>
          <cell r="Z34">
            <v>6931</v>
          </cell>
          <cell r="AC34">
            <v>8180</v>
          </cell>
          <cell r="AD34">
            <v>8180</v>
          </cell>
          <cell r="AE34">
            <v>8180</v>
          </cell>
          <cell r="AH34">
            <v>11180</v>
          </cell>
          <cell r="AI34">
            <v>11180</v>
          </cell>
          <cell r="AJ34">
            <v>11180</v>
          </cell>
          <cell r="AM34">
            <v>8180</v>
          </cell>
          <cell r="AN34">
            <v>7328</v>
          </cell>
          <cell r="AO34">
            <v>7328</v>
          </cell>
          <cell r="AR34">
            <v>8180</v>
          </cell>
          <cell r="AS34">
            <v>1339.33</v>
          </cell>
          <cell r="AT34">
            <v>1339.33</v>
          </cell>
          <cell r="AW34">
            <v>8180</v>
          </cell>
          <cell r="AX34">
            <v>-6064.7</v>
          </cell>
          <cell r="AY34">
            <v>-6064.7</v>
          </cell>
          <cell r="BB34">
            <v>8180</v>
          </cell>
          <cell r="BC34">
            <v>2195.64</v>
          </cell>
          <cell r="BD34">
            <v>2195.64</v>
          </cell>
          <cell r="BG34">
            <v>8180</v>
          </cell>
          <cell r="BH34">
            <v>2212.67</v>
          </cell>
          <cell r="BI34">
            <v>2212.67</v>
          </cell>
          <cell r="BL34">
            <v>104160</v>
          </cell>
          <cell r="BM34">
            <v>72296.06</v>
          </cell>
          <cell r="BN34">
            <v>72296.06</v>
          </cell>
        </row>
        <row r="35">
          <cell r="D35">
            <v>386.13600000000002</v>
          </cell>
          <cell r="E35">
            <v>295.44</v>
          </cell>
          <cell r="F35">
            <v>375.92</v>
          </cell>
          <cell r="I35">
            <v>348.76800000000003</v>
          </cell>
          <cell r="J35">
            <v>335.18</v>
          </cell>
          <cell r="K35">
            <v>336.25</v>
          </cell>
          <cell r="N35">
            <v>386.13600000000002</v>
          </cell>
          <cell r="O35">
            <v>367.62</v>
          </cell>
          <cell r="P35">
            <v>369.39</v>
          </cell>
          <cell r="S35">
            <v>373.68</v>
          </cell>
          <cell r="T35">
            <v>347.7</v>
          </cell>
          <cell r="U35">
            <v>353.49</v>
          </cell>
          <cell r="X35">
            <v>386.13600000000002</v>
          </cell>
          <cell r="Y35">
            <v>347.63</v>
          </cell>
          <cell r="Z35">
            <v>378.29</v>
          </cell>
          <cell r="AC35">
            <v>498.24</v>
          </cell>
          <cell r="AD35">
            <v>393.91</v>
          </cell>
          <cell r="AE35">
            <v>406.17</v>
          </cell>
          <cell r="AH35">
            <v>514.84800000000007</v>
          </cell>
          <cell r="AI35">
            <v>438.55</v>
          </cell>
          <cell r="AJ35">
            <v>374.4</v>
          </cell>
          <cell r="AM35">
            <v>514.84800000000007</v>
          </cell>
          <cell r="AN35">
            <v>516.73</v>
          </cell>
          <cell r="AO35">
            <v>367.99</v>
          </cell>
          <cell r="AR35">
            <v>498.24</v>
          </cell>
          <cell r="AS35">
            <v>428.9</v>
          </cell>
          <cell r="AT35">
            <v>359.98</v>
          </cell>
          <cell r="AW35">
            <v>386.13600000000002</v>
          </cell>
          <cell r="AX35">
            <v>462.57</v>
          </cell>
          <cell r="AY35">
            <v>369.11</v>
          </cell>
          <cell r="BB35">
            <v>373.68</v>
          </cell>
          <cell r="BC35">
            <v>335.62</v>
          </cell>
          <cell r="BD35">
            <v>354.29</v>
          </cell>
          <cell r="BG35">
            <v>386.13600000000002</v>
          </cell>
          <cell r="BH35">
            <v>300.63</v>
          </cell>
          <cell r="BI35">
            <v>372.12</v>
          </cell>
          <cell r="BL35">
            <v>5052.9840000000013</v>
          </cell>
          <cell r="BM35">
            <v>4570.4800000000005</v>
          </cell>
          <cell r="BN35">
            <v>4417.3999999999996</v>
          </cell>
        </row>
        <row r="36">
          <cell r="D36">
            <v>154.40994908709234</v>
          </cell>
          <cell r="E36">
            <v>122.97190630923366</v>
          </cell>
          <cell r="F36">
            <v>150.06320493722069</v>
          </cell>
          <cell r="I36">
            <v>119.3780092933611</v>
          </cell>
          <cell r="J36">
            <v>129.10152753744256</v>
          </cell>
          <cell r="K36">
            <v>147.79527137546467</v>
          </cell>
          <cell r="N36">
            <v>154.02031296463971</v>
          </cell>
          <cell r="O36">
            <v>135.93906751536912</v>
          </cell>
          <cell r="P36">
            <v>190.99187850239585</v>
          </cell>
          <cell r="S36">
            <v>145.56328934172646</v>
          </cell>
          <cell r="T36">
            <v>92.88268622375611</v>
          </cell>
          <cell r="U36">
            <v>137.48632210246399</v>
          </cell>
          <cell r="X36">
            <v>154.1743029779534</v>
          </cell>
          <cell r="Y36">
            <v>159.89321980266374</v>
          </cell>
          <cell r="Z36">
            <v>197.12310661132992</v>
          </cell>
          <cell r="AC36">
            <v>127.3576418916368</v>
          </cell>
          <cell r="AD36">
            <v>141.35982838719505</v>
          </cell>
          <cell r="AE36">
            <v>176.24302631902898</v>
          </cell>
          <cell r="AH36">
            <v>150.07634030401962</v>
          </cell>
          <cell r="AI36">
            <v>127.28359366092802</v>
          </cell>
          <cell r="AJ36">
            <v>159.91663995726495</v>
          </cell>
          <cell r="AM36">
            <v>138.6241717257918</v>
          </cell>
          <cell r="AN36">
            <v>114.07173959321115</v>
          </cell>
          <cell r="AO36">
            <v>164.48900785347428</v>
          </cell>
          <cell r="AR36">
            <v>171.45800934489972</v>
          </cell>
          <cell r="AS36">
            <v>117.50603870366051</v>
          </cell>
          <cell r="AT36">
            <v>116.3164620256681</v>
          </cell>
          <cell r="AW36">
            <v>126.63754688384785</v>
          </cell>
          <cell r="AX36">
            <v>93.022418228592429</v>
          </cell>
          <cell r="AY36">
            <v>160.22779117336296</v>
          </cell>
          <cell r="BB36">
            <v>166.0064001042185</v>
          </cell>
          <cell r="BC36">
            <v>120.09057863059411</v>
          </cell>
          <cell r="BD36">
            <v>186.2143724067854</v>
          </cell>
          <cell r="BG36">
            <v>136.87409932273596</v>
          </cell>
          <cell r="BH36">
            <v>146.97132688021821</v>
          </cell>
          <cell r="BI36">
            <v>90</v>
          </cell>
          <cell r="BL36">
            <v>145.64878727677188</v>
          </cell>
          <cell r="BM36">
            <v>123.79882419352015</v>
          </cell>
          <cell r="BN36">
            <v>0</v>
          </cell>
        </row>
        <row r="37">
          <cell r="D37">
            <v>7422.29</v>
          </cell>
          <cell r="E37">
            <v>7422.78</v>
          </cell>
          <cell r="F37">
            <v>10446.64</v>
          </cell>
          <cell r="I37">
            <v>7422.29</v>
          </cell>
          <cell r="J37">
            <v>7422.29</v>
          </cell>
          <cell r="K37">
            <v>10446.64</v>
          </cell>
          <cell r="N37">
            <v>7422.29</v>
          </cell>
          <cell r="O37">
            <v>7423</v>
          </cell>
          <cell r="P37">
            <v>10446.64</v>
          </cell>
          <cell r="S37">
            <v>3782.29</v>
          </cell>
          <cell r="T37">
            <v>3782.29</v>
          </cell>
          <cell r="U37">
            <v>8934.67</v>
          </cell>
          <cell r="X37">
            <v>3782.29</v>
          </cell>
          <cell r="Y37">
            <v>3782.29</v>
          </cell>
          <cell r="Z37">
            <v>8934.67</v>
          </cell>
          <cell r="AC37">
            <v>8835</v>
          </cell>
          <cell r="AD37">
            <v>10841</v>
          </cell>
          <cell r="AE37">
            <v>10841</v>
          </cell>
          <cell r="AH37">
            <v>8835</v>
          </cell>
          <cell r="AI37">
            <v>16627</v>
          </cell>
          <cell r="AJ37">
            <v>16627</v>
          </cell>
          <cell r="AM37">
            <v>8835</v>
          </cell>
          <cell r="AN37">
            <v>16627</v>
          </cell>
          <cell r="AO37">
            <v>16627</v>
          </cell>
          <cell r="AR37">
            <v>8835</v>
          </cell>
          <cell r="AS37">
            <v>-10792.4</v>
          </cell>
          <cell r="AT37">
            <v>-10792.4</v>
          </cell>
          <cell r="AW37">
            <v>8835</v>
          </cell>
          <cell r="AX37">
            <v>9672</v>
          </cell>
          <cell r="AY37">
            <v>9672</v>
          </cell>
          <cell r="BB37">
            <v>8835</v>
          </cell>
          <cell r="BC37">
            <v>8835</v>
          </cell>
          <cell r="BD37">
            <v>8835</v>
          </cell>
          <cell r="BG37">
            <v>8835</v>
          </cell>
          <cell r="BH37">
            <v>8835</v>
          </cell>
          <cell r="BI37">
            <v>8835</v>
          </cell>
          <cell r="BL37">
            <v>91676.45</v>
          </cell>
          <cell r="BM37">
            <v>90477.25</v>
          </cell>
          <cell r="BN37">
            <v>109853.86</v>
          </cell>
        </row>
        <row r="48">
          <cell r="G48">
            <v>0</v>
          </cell>
          <cell r="L48">
            <v>0</v>
          </cell>
          <cell r="Q48">
            <v>0</v>
          </cell>
          <cell r="V48">
            <v>0</v>
          </cell>
          <cell r="AA48">
            <v>0</v>
          </cell>
          <cell r="AF48">
            <v>0</v>
          </cell>
          <cell r="AK48">
            <v>0</v>
          </cell>
          <cell r="AP48">
            <v>0</v>
          </cell>
          <cell r="AU48">
            <v>0</v>
          </cell>
          <cell r="AZ48">
            <v>0</v>
          </cell>
          <cell r="BE48">
            <v>0</v>
          </cell>
          <cell r="BJ48">
            <v>0</v>
          </cell>
          <cell r="BK48">
            <v>0</v>
          </cell>
          <cell r="BL48">
            <v>0</v>
          </cell>
          <cell r="BM48">
            <v>0</v>
          </cell>
          <cell r="BN48">
            <v>0</v>
          </cell>
          <cell r="BO48">
            <v>0</v>
          </cell>
        </row>
        <row r="49">
          <cell r="C49">
            <v>21771.146143030943</v>
          </cell>
          <cell r="D49">
            <v>23021</v>
          </cell>
          <cell r="E49">
            <v>17131.71489995105</v>
          </cell>
          <cell r="F49">
            <v>11653.23</v>
          </cell>
          <cell r="G49">
            <v>27.822427624947728</v>
          </cell>
          <cell r="H49">
            <v>22127.387792559293</v>
          </cell>
          <cell r="I49">
            <v>17145</v>
          </cell>
          <cell r="J49">
            <v>17412.04145396491</v>
          </cell>
          <cell r="K49">
            <v>8678.7999999999993</v>
          </cell>
          <cell r="L49">
            <v>25.789090515270388</v>
          </cell>
          <cell r="M49">
            <v>23406.023032426816</v>
          </cell>
          <cell r="N49">
            <v>17946</v>
          </cell>
          <cell r="O49">
            <v>18418.199524216663</v>
          </cell>
          <cell r="P49">
            <v>8587.16</v>
          </cell>
          <cell r="Q49">
            <v>25.382412220218523</v>
          </cell>
          <cell r="R49">
            <v>21811.295780670807</v>
          </cell>
          <cell r="S49">
            <v>21575</v>
          </cell>
          <cell r="T49">
            <v>17163.30864980986</v>
          </cell>
          <cell r="U49">
            <v>10323.64</v>
          </cell>
          <cell r="V49">
            <v>26.389145407554818</v>
          </cell>
          <cell r="W49">
            <v>27159.917702548457</v>
          </cell>
          <cell r="X49">
            <v>28184</v>
          </cell>
          <cell r="Y49">
            <v>21372.139240135381</v>
          </cell>
          <cell r="Z49">
            <v>13085.83</v>
          </cell>
          <cell r="AA49">
            <v>31.938823961370613</v>
          </cell>
          <cell r="AB49">
            <v>26383.520599124258</v>
          </cell>
          <cell r="AC49">
            <v>24665</v>
          </cell>
          <cell r="AD49">
            <v>20761.192359450881</v>
          </cell>
          <cell r="AE49">
            <v>11358.23</v>
          </cell>
          <cell r="AF49">
            <v>26.772853531378999</v>
          </cell>
          <cell r="AG49">
            <v>27840.158374719413</v>
          </cell>
          <cell r="AH49">
            <v>29993</v>
          </cell>
          <cell r="AI49">
            <v>21907.420625066708</v>
          </cell>
          <cell r="AJ49">
            <v>13781.78</v>
          </cell>
          <cell r="AK49">
            <v>30.168945288925009</v>
          </cell>
          <cell r="AL49">
            <v>29323.555720777073</v>
          </cell>
          <cell r="AM49">
            <v>29560</v>
          </cell>
          <cell r="AN49">
            <v>23074.70599667948</v>
          </cell>
          <cell r="AO49">
            <v>13573.95</v>
          </cell>
          <cell r="AP49">
            <v>28.073827708753978</v>
          </cell>
          <cell r="AQ49">
            <v>28854.55219243926</v>
          </cell>
          <cell r="AR49">
            <v>33418</v>
          </cell>
          <cell r="AS49">
            <v>22705.647120230456</v>
          </cell>
          <cell r="AT49">
            <v>15342.2</v>
          </cell>
          <cell r="AU49">
            <v>34.824781889195961</v>
          </cell>
          <cell r="AV49">
            <v>27959.564676151818</v>
          </cell>
          <cell r="AW49">
            <v>22469</v>
          </cell>
          <cell r="AX49">
            <v>22001.381443663868</v>
          </cell>
          <cell r="AY49">
            <v>10313.27</v>
          </cell>
          <cell r="AZ49">
            <v>30.653018849648916</v>
          </cell>
          <cell r="BA49">
            <v>24165.051145930542</v>
          </cell>
          <cell r="BB49">
            <v>20469</v>
          </cell>
          <cell r="BC49">
            <v>19015.478746732744</v>
          </cell>
          <cell r="BD49">
            <v>9395.27</v>
          </cell>
          <cell r="BE49">
            <v>30.635015423021834</v>
          </cell>
          <cell r="BF49">
            <v>22273.723815732614</v>
          </cell>
          <cell r="BG49">
            <v>17409</v>
          </cell>
          <cell r="BH49">
            <v>17527.193270599993</v>
          </cell>
          <cell r="BI49">
            <v>7990.73</v>
          </cell>
          <cell r="BJ49">
            <v>27.377247429992153</v>
          </cell>
          <cell r="BK49">
            <v>303075.89697611134</v>
          </cell>
          <cell r="BL49">
            <v>285854</v>
          </cell>
          <cell r="BM49">
            <v>238490.42333050203</v>
          </cell>
          <cell r="BN49">
            <v>134084.09</v>
          </cell>
          <cell r="BO49">
            <v>28.978596080924021</v>
          </cell>
        </row>
        <row r="50">
          <cell r="C50">
            <v>38219.691736430403</v>
          </cell>
          <cell r="D50">
            <v>37377</v>
          </cell>
          <cell r="E50">
            <v>10050.441237470421</v>
          </cell>
          <cell r="F50">
            <v>7269.83</v>
          </cell>
          <cell r="G50">
            <v>45.172619666290394</v>
          </cell>
          <cell r="H50">
            <v>34474.143177700978</v>
          </cell>
          <cell r="I50">
            <v>28554</v>
          </cell>
          <cell r="J50">
            <v>9065.4930607241386</v>
          </cell>
          <cell r="K50">
            <v>5705.09</v>
          </cell>
          <cell r="L50">
            <v>42.950229838030367</v>
          </cell>
          <cell r="M50">
            <v>38797.248480906783</v>
          </cell>
          <cell r="N50">
            <v>31262</v>
          </cell>
          <cell r="O50">
            <v>10202.318446781652</v>
          </cell>
          <cell r="P50">
            <v>6289.91</v>
          </cell>
          <cell r="Q50">
            <v>44.216258265266433</v>
          </cell>
          <cell r="R50">
            <v>36874.375351610091</v>
          </cell>
          <cell r="S50">
            <v>36809</v>
          </cell>
          <cell r="T50">
            <v>9696.6701143361479</v>
          </cell>
          <cell r="U50">
            <v>7409.65</v>
          </cell>
          <cell r="V50">
            <v>45.022389492777997</v>
          </cell>
          <cell r="W50">
            <v>47797.042015015832</v>
          </cell>
          <cell r="X50">
            <v>45674</v>
          </cell>
          <cell r="Y50">
            <v>12568.949153478638</v>
          </cell>
          <cell r="Z50">
            <v>9194.18</v>
          </cell>
          <cell r="AA50">
            <v>51.758935765386084</v>
          </cell>
          <cell r="AB50">
            <v>51702.950783878645</v>
          </cell>
          <cell r="AC50">
            <v>54776</v>
          </cell>
          <cell r="AD50">
            <v>13596.066452882647</v>
          </cell>
          <cell r="AE50">
            <v>11026.41</v>
          </cell>
          <cell r="AF50">
            <v>59.457118387789016</v>
          </cell>
          <cell r="AG50">
            <v>60578.232753271594</v>
          </cell>
          <cell r="AH50">
            <v>65573</v>
          </cell>
          <cell r="AI50">
            <v>15929.954975964065</v>
          </cell>
          <cell r="AJ50">
            <v>13199.84</v>
          </cell>
          <cell r="AK50">
            <v>65.95766510288</v>
          </cell>
          <cell r="AL50">
            <v>73168.898302377609</v>
          </cell>
          <cell r="AM50">
            <v>70148</v>
          </cell>
          <cell r="AN50">
            <v>19240.859342084728</v>
          </cell>
          <cell r="AO50">
            <v>14120.79</v>
          </cell>
          <cell r="AP50">
            <v>66.621206566768407</v>
          </cell>
          <cell r="AQ50">
            <v>62525.188984404922</v>
          </cell>
          <cell r="AR50">
            <v>62717</v>
          </cell>
          <cell r="AS50">
            <v>16441.93632128404</v>
          </cell>
          <cell r="AT50">
            <v>12631.2</v>
          </cell>
          <cell r="AU50">
            <v>65.357168165201472</v>
          </cell>
          <cell r="AV50">
            <v>52937.361845831343</v>
          </cell>
          <cell r="AW50">
            <v>41487</v>
          </cell>
          <cell r="AX50">
            <v>13920.673357789039</v>
          </cell>
          <cell r="AY50">
            <v>8355.48</v>
          </cell>
          <cell r="AZ50">
            <v>56.598059237855914</v>
          </cell>
          <cell r="BA50">
            <v>38233.783072802595</v>
          </cell>
          <cell r="BB50">
            <v>34798</v>
          </cell>
          <cell r="BC50">
            <v>10054.146765739535</v>
          </cell>
          <cell r="BD50">
            <v>7008.32</v>
          </cell>
          <cell r="BE50">
            <v>52.080573877097748</v>
          </cell>
          <cell r="BF50">
            <v>30380.837046624933</v>
          </cell>
          <cell r="BG50">
            <v>31105</v>
          </cell>
          <cell r="BH50">
            <v>7989.0968139657252</v>
          </cell>
          <cell r="BI50">
            <v>6264.55</v>
          </cell>
          <cell r="BJ50">
            <v>48.915462192538676</v>
          </cell>
          <cell r="BK50">
            <v>565689.75355085579</v>
          </cell>
          <cell r="BL50">
            <v>540280</v>
          </cell>
          <cell r="BM50">
            <v>148756.60604250079</v>
          </cell>
          <cell r="BN50">
            <v>108475.25000000001</v>
          </cell>
          <cell r="BO50">
            <v>54.771162518634092</v>
          </cell>
        </row>
        <row r="51">
          <cell r="C51">
            <v>29983.211248725769</v>
          </cell>
          <cell r="D51">
            <v>33274</v>
          </cell>
          <cell r="E51">
            <v>9633.6057742155899</v>
          </cell>
          <cell r="F51">
            <v>10561.17</v>
          </cell>
          <cell r="G51">
            <v>40.213868067960156</v>
          </cell>
          <cell r="H51">
            <v>28040.037244750456</v>
          </cell>
          <cell r="I51">
            <v>29952</v>
          </cell>
          <cell r="J51">
            <v>9009.2639667383228</v>
          </cell>
          <cell r="K51">
            <v>9542.7099999999991</v>
          </cell>
          <cell r="L51">
            <v>45.05306731486607</v>
          </cell>
          <cell r="M51">
            <v>31321.707463005991</v>
          </cell>
          <cell r="N51">
            <v>30800</v>
          </cell>
          <cell r="O51">
            <v>10063.664607863826</v>
          </cell>
          <cell r="P51">
            <v>9834.44</v>
          </cell>
          <cell r="Q51">
            <v>43.562816024893039</v>
          </cell>
          <cell r="R51">
            <v>29625.318962967023</v>
          </cell>
          <cell r="S51">
            <v>35468</v>
          </cell>
          <cell r="T51">
            <v>9518.6149828013058</v>
          </cell>
          <cell r="U51">
            <v>11324.93</v>
          </cell>
          <cell r="V51">
            <v>43.382164974051179</v>
          </cell>
          <cell r="W51">
            <v>37923.567485822372</v>
          </cell>
          <cell r="X51">
            <v>38749</v>
          </cell>
          <cell r="Y51">
            <v>12184.842233194729</v>
          </cell>
          <cell r="Z51">
            <v>12064.58</v>
          </cell>
          <cell r="AA51">
            <v>43.911350045385674</v>
          </cell>
          <cell r="AB51">
            <v>34590.76392960002</v>
          </cell>
          <cell r="AC51">
            <v>42998</v>
          </cell>
          <cell r="AD51">
            <v>11114.012450580487</v>
          </cell>
          <cell r="AE51">
            <v>13755.06</v>
          </cell>
          <cell r="AF51">
            <v>46.672578801631225</v>
          </cell>
          <cell r="AG51">
            <v>40212.929423057794</v>
          </cell>
          <cell r="AH51">
            <v>45680</v>
          </cell>
          <cell r="AI51">
            <v>12920.41422362847</v>
          </cell>
          <cell r="AJ51">
            <v>14613.03</v>
          </cell>
          <cell r="AK51">
            <v>45.947968552598759</v>
          </cell>
          <cell r="AL51">
            <v>44097.945781065071</v>
          </cell>
          <cell r="AM51">
            <v>46974</v>
          </cell>
          <cell r="AN51">
            <v>14168.669979456208</v>
          </cell>
          <cell r="AO51">
            <v>15243.06</v>
          </cell>
          <cell r="AP51">
            <v>44.612313355582188</v>
          </cell>
          <cell r="AQ51">
            <v>35279.410212844814</v>
          </cell>
          <cell r="AR51">
            <v>43799</v>
          </cell>
          <cell r="AS51">
            <v>11335.274501387039</v>
          </cell>
          <cell r="AT51">
            <v>14046.34</v>
          </cell>
          <cell r="AU51">
            <v>45.642785982551132</v>
          </cell>
          <cell r="AV51">
            <v>33208.984422024711</v>
          </cell>
          <cell r="AW51">
            <v>28545</v>
          </cell>
          <cell r="AX51">
            <v>10670.04669479654</v>
          </cell>
          <cell r="AY51">
            <v>9142.9599999999991</v>
          </cell>
          <cell r="AZ51">
            <v>38.942116830443204</v>
          </cell>
          <cell r="BA51">
            <v>25814.440546991947</v>
          </cell>
          <cell r="BB51">
            <v>27201</v>
          </cell>
          <cell r="BC51">
            <v>8294.1797477485143</v>
          </cell>
          <cell r="BD51">
            <v>8707.0400000000009</v>
          </cell>
          <cell r="BE51">
            <v>40.710491695814007</v>
          </cell>
          <cell r="BF51">
            <v>22133.090399712652</v>
          </cell>
          <cell r="BG51">
            <v>26039</v>
          </cell>
          <cell r="BH51">
            <v>7111.3619454276759</v>
          </cell>
          <cell r="BI51">
            <v>8332.48</v>
          </cell>
          <cell r="BJ51">
            <v>40.948713069651653</v>
          </cell>
          <cell r="BK51">
            <v>392231.40712056862</v>
          </cell>
          <cell r="BL51">
            <v>429479</v>
          </cell>
          <cell r="BM51">
            <v>126023.95110783873</v>
          </cell>
          <cell r="BN51">
            <v>137167.80000000002</v>
          </cell>
          <cell r="BO51">
            <v>43.538654229918656</v>
          </cell>
        </row>
        <row r="52">
          <cell r="C52">
            <v>998.5695365059654</v>
          </cell>
          <cell r="D52">
            <v>480</v>
          </cell>
          <cell r="E52">
            <v>645.07592058285366</v>
          </cell>
          <cell r="F52">
            <v>339.79</v>
          </cell>
          <cell r="G52">
            <v>0.58011230007275572</v>
          </cell>
          <cell r="H52">
            <v>57.191924010472619</v>
          </cell>
          <cell r="I52">
            <v>0</v>
          </cell>
          <cell r="J52">
            <v>36.945982910765309</v>
          </cell>
          <cell r="K52">
            <v>0</v>
          </cell>
          <cell r="L52">
            <v>0</v>
          </cell>
          <cell r="M52">
            <v>0</v>
          </cell>
          <cell r="N52">
            <v>0</v>
          </cell>
          <cell r="O52">
            <v>0</v>
          </cell>
          <cell r="P52">
            <v>0</v>
          </cell>
          <cell r="Q52">
            <v>0</v>
          </cell>
          <cell r="R52">
            <v>0</v>
          </cell>
          <cell r="S52">
            <v>0</v>
          </cell>
          <cell r="T52">
            <v>0</v>
          </cell>
          <cell r="U52">
            <v>0</v>
          </cell>
          <cell r="V52">
            <v>0</v>
          </cell>
          <cell r="W52">
            <v>11.755209918311673</v>
          </cell>
          <cell r="X52">
            <v>0</v>
          </cell>
          <cell r="Y52">
            <v>7.5938656072293407</v>
          </cell>
          <cell r="Z52">
            <v>0</v>
          </cell>
          <cell r="AA52">
            <v>0</v>
          </cell>
          <cell r="AB52">
            <v>3785.6872697892072</v>
          </cell>
          <cell r="AC52">
            <v>0</v>
          </cell>
          <cell r="AD52">
            <v>2445.553976283828</v>
          </cell>
          <cell r="AE52">
            <v>0</v>
          </cell>
          <cell r="AF52">
            <v>0</v>
          </cell>
          <cell r="AG52">
            <v>3823.4057453183755</v>
          </cell>
          <cell r="AH52">
            <v>0</v>
          </cell>
          <cell r="AI52">
            <v>2469.9201114756706</v>
          </cell>
          <cell r="AJ52">
            <v>0</v>
          </cell>
          <cell r="AK52">
            <v>0</v>
          </cell>
          <cell r="AL52">
            <v>0</v>
          </cell>
          <cell r="AM52">
            <v>0</v>
          </cell>
          <cell r="AN52">
            <v>0</v>
          </cell>
          <cell r="AO52">
            <v>0</v>
          </cell>
          <cell r="AP52">
            <v>0</v>
          </cell>
          <cell r="AQ52">
            <v>3847.9361379823526</v>
          </cell>
          <cell r="AR52">
            <v>0</v>
          </cell>
          <cell r="AS52">
            <v>2485.7667451366001</v>
          </cell>
          <cell r="AT52">
            <v>0</v>
          </cell>
          <cell r="AU52">
            <v>0</v>
          </cell>
          <cell r="AV52">
            <v>10869.136595488586</v>
          </cell>
          <cell r="AW52">
            <v>0</v>
          </cell>
          <cell r="AX52">
            <v>7021.462240685627</v>
          </cell>
          <cell r="AY52">
            <v>0</v>
          </cell>
          <cell r="AZ52">
            <v>0</v>
          </cell>
          <cell r="BA52">
            <v>0</v>
          </cell>
          <cell r="BB52">
            <v>0</v>
          </cell>
          <cell r="BC52">
            <v>0</v>
          </cell>
          <cell r="BD52">
            <v>0</v>
          </cell>
          <cell r="BE52">
            <v>0</v>
          </cell>
          <cell r="BF52">
            <v>0</v>
          </cell>
          <cell r="BG52">
            <v>0</v>
          </cell>
          <cell r="BH52">
            <v>0</v>
          </cell>
          <cell r="BI52">
            <v>0</v>
          </cell>
          <cell r="BJ52">
            <v>0</v>
          </cell>
          <cell r="BK52">
            <v>23393.682419013272</v>
          </cell>
          <cell r="BL52">
            <v>480</v>
          </cell>
          <cell r="BM52">
            <v>15112.318842682575</v>
          </cell>
          <cell r="BN52">
            <v>339.79</v>
          </cell>
          <cell r="BO52">
            <v>4.8660246555386769E-2</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row>
        <row r="54">
          <cell r="C54">
            <v>12941.752178227793</v>
          </cell>
          <cell r="D54">
            <v>20452</v>
          </cell>
          <cell r="E54">
            <v>3329.2657478490992</v>
          </cell>
          <cell r="F54">
            <v>5609.98</v>
          </cell>
          <cell r="G54">
            <v>24.717618252266668</v>
          </cell>
          <cell r="H54">
            <v>13210.068079362656</v>
          </cell>
          <cell r="I54">
            <v>15918</v>
          </cell>
          <cell r="J54">
            <v>3398.2900134160432</v>
          </cell>
          <cell r="K54">
            <v>4366.3100000000004</v>
          </cell>
          <cell r="L54">
            <v>23.943467064571248</v>
          </cell>
          <cell r="M54">
            <v>16488.633204487014</v>
          </cell>
          <cell r="N54">
            <v>15110</v>
          </cell>
          <cell r="O54">
            <v>4241.7008918542842</v>
          </cell>
          <cell r="P54">
            <v>4280.66</v>
          </cell>
          <cell r="Q54">
            <v>21.371238640783567</v>
          </cell>
          <cell r="R54">
            <v>15185.683257900906</v>
          </cell>
          <cell r="S54">
            <v>15467</v>
          </cell>
          <cell r="T54">
            <v>3906.5170180950076</v>
          </cell>
          <cell r="U54">
            <v>4381.8</v>
          </cell>
          <cell r="V54">
            <v>18.918234624271165</v>
          </cell>
          <cell r="W54">
            <v>17558.749128512303</v>
          </cell>
          <cell r="X54">
            <v>19662</v>
          </cell>
          <cell r="Y54">
            <v>4516.9882133097899</v>
          </cell>
          <cell r="Z54">
            <v>5350.4</v>
          </cell>
          <cell r="AA54">
            <v>22.281477317927511</v>
          </cell>
          <cell r="AB54">
            <v>15473.904965690135</v>
          </cell>
          <cell r="AC54">
            <v>18878</v>
          </cell>
          <cell r="AD54">
            <v>3980.6620524237869</v>
          </cell>
          <cell r="AE54">
            <v>5412.32</v>
          </cell>
          <cell r="AF54">
            <v>20.491300586473656</v>
          </cell>
          <cell r="AG54">
            <v>20545.614666902922</v>
          </cell>
          <cell r="AH54">
            <v>22684</v>
          </cell>
          <cell r="AI54">
            <v>5285.3593730607763</v>
          </cell>
          <cell r="AJ54">
            <v>6535.26</v>
          </cell>
          <cell r="AK54">
            <v>22.81706914726686</v>
          </cell>
          <cell r="AL54">
            <v>23198.428731634885</v>
          </cell>
          <cell r="AM54">
            <v>23939</v>
          </cell>
          <cell r="AN54">
            <v>5967.7957912130742</v>
          </cell>
          <cell r="AO54">
            <v>6908.8</v>
          </cell>
          <cell r="AP54">
            <v>22.73543171582752</v>
          </cell>
          <cell r="AQ54">
            <v>21210.678950760353</v>
          </cell>
          <cell r="AR54">
            <v>20453</v>
          </cell>
          <cell r="AS54">
            <v>5456.4471600831002</v>
          </cell>
          <cell r="AT54">
            <v>5902.74</v>
          </cell>
          <cell r="AU54">
            <v>21.314000358481206</v>
          </cell>
          <cell r="AV54">
            <v>15657.536447723332</v>
          </cell>
          <cell r="AW54">
            <v>15170</v>
          </cell>
          <cell r="AX54">
            <v>4027.9012511768269</v>
          </cell>
          <cell r="AY54">
            <v>4381.1000000000004</v>
          </cell>
          <cell r="AZ54">
            <v>20.695460231838268</v>
          </cell>
          <cell r="BA54">
            <v>12991.689884356274</v>
          </cell>
          <cell r="BB54">
            <v>16432</v>
          </cell>
          <cell r="BC54">
            <v>3342.1122227506512</v>
          </cell>
          <cell r="BD54">
            <v>4745.5600000000004</v>
          </cell>
          <cell r="BE54">
            <v>24.593022298651363</v>
          </cell>
          <cell r="BF54">
            <v>9703.2349194104681</v>
          </cell>
          <cell r="BG54">
            <v>14035</v>
          </cell>
          <cell r="BH54">
            <v>2496.1571830183429</v>
          </cell>
          <cell r="BI54">
            <v>4053.31</v>
          </cell>
          <cell r="BJ54">
            <v>22.071323320118321</v>
          </cell>
          <cell r="BK54">
            <v>194165.97441496907</v>
          </cell>
          <cell r="BL54">
            <v>218200</v>
          </cell>
          <cell r="BM54">
            <v>49949.196918250789</v>
          </cell>
          <cell r="BN54">
            <v>61928.24</v>
          </cell>
          <cell r="BO54">
            <v>22.12013707996957</v>
          </cell>
        </row>
        <row r="55">
          <cell r="D55">
            <v>0</v>
          </cell>
          <cell r="E55">
            <v>0</v>
          </cell>
          <cell r="F55">
            <v>0</v>
          </cell>
          <cell r="G55">
            <v>0</v>
          </cell>
          <cell r="I55">
            <v>0</v>
          </cell>
          <cell r="J55">
            <v>0</v>
          </cell>
          <cell r="K55">
            <v>0</v>
          </cell>
          <cell r="L55">
            <v>0</v>
          </cell>
          <cell r="N55">
            <v>139.5</v>
          </cell>
          <cell r="O55">
            <v>0</v>
          </cell>
          <cell r="P55">
            <v>139.5</v>
          </cell>
          <cell r="Q55">
            <v>0.3794679288395626</v>
          </cell>
          <cell r="S55">
            <v>0</v>
          </cell>
          <cell r="T55">
            <v>0</v>
          </cell>
          <cell r="U55">
            <v>0</v>
          </cell>
          <cell r="V55">
            <v>0</v>
          </cell>
          <cell r="X55">
            <v>0</v>
          </cell>
          <cell r="Y55">
            <v>0</v>
          </cell>
          <cell r="Z55">
            <v>0</v>
          </cell>
          <cell r="AA55">
            <v>0</v>
          </cell>
          <cell r="AC55">
            <v>0</v>
          </cell>
          <cell r="AD55">
            <v>0</v>
          </cell>
          <cell r="AE55">
            <v>0</v>
          </cell>
          <cell r="AF55">
            <v>0</v>
          </cell>
          <cell r="AH55">
            <v>0</v>
          </cell>
          <cell r="AI55">
            <v>0</v>
          </cell>
          <cell r="AJ55">
            <v>0</v>
          </cell>
          <cell r="AK55">
            <v>0</v>
          </cell>
          <cell r="AM55">
            <v>0</v>
          </cell>
          <cell r="AN55">
            <v>0</v>
          </cell>
          <cell r="AO55">
            <v>0</v>
          </cell>
          <cell r="AP55">
            <v>0</v>
          </cell>
          <cell r="AR55">
            <v>0</v>
          </cell>
          <cell r="AS55">
            <v>0</v>
          </cell>
          <cell r="AT55">
            <v>0</v>
          </cell>
          <cell r="AU55">
            <v>0</v>
          </cell>
          <cell r="AW55">
            <v>0</v>
          </cell>
          <cell r="AX55">
            <v>0</v>
          </cell>
          <cell r="AY55">
            <v>0</v>
          </cell>
          <cell r="AZ55">
            <v>0</v>
          </cell>
          <cell r="BB55">
            <v>0</v>
          </cell>
          <cell r="BC55">
            <v>0</v>
          </cell>
          <cell r="BD55">
            <v>0</v>
          </cell>
          <cell r="BE55">
            <v>0</v>
          </cell>
          <cell r="BG55">
            <v>0</v>
          </cell>
          <cell r="BH55">
            <v>0</v>
          </cell>
          <cell r="BI55">
            <v>0</v>
          </cell>
          <cell r="BJ55">
            <v>0</v>
          </cell>
          <cell r="BK55">
            <v>0</v>
          </cell>
          <cell r="BL55">
            <v>139.5</v>
          </cell>
          <cell r="BM55">
            <v>0</v>
          </cell>
          <cell r="BN55">
            <v>139.5</v>
          </cell>
          <cell r="BO55">
            <v>1.414188415515928E-2</v>
          </cell>
        </row>
        <row r="56">
          <cell r="C56">
            <v>2986.565989658211</v>
          </cell>
          <cell r="D56">
            <v>1750</v>
          </cell>
          <cell r="E56">
            <v>510.70278423155406</v>
          </cell>
          <cell r="F56">
            <v>327.25</v>
          </cell>
          <cell r="G56">
            <v>2.1149927606819219</v>
          </cell>
          <cell r="H56">
            <v>3141.2761384220798</v>
          </cell>
          <cell r="I56">
            <v>2100</v>
          </cell>
          <cell r="J56">
            <v>537.15821967017564</v>
          </cell>
          <cell r="K56">
            <v>392.7</v>
          </cell>
          <cell r="L56">
            <v>3.1587687420278692</v>
          </cell>
          <cell r="M56">
            <v>3615.5618926479051</v>
          </cell>
          <cell r="N56">
            <v>2450</v>
          </cell>
          <cell r="O56">
            <v>618.26108364279173</v>
          </cell>
          <cell r="P56">
            <v>463.3</v>
          </cell>
          <cell r="Q56">
            <v>3.4652240019801281</v>
          </cell>
          <cell r="R56">
            <v>1711.2559154698386</v>
          </cell>
          <cell r="S56">
            <v>1650</v>
          </cell>
          <cell r="T56">
            <v>292.62476154534238</v>
          </cell>
          <cell r="U56">
            <v>312.02</v>
          </cell>
          <cell r="V56">
            <v>2.018173345189592</v>
          </cell>
          <cell r="W56">
            <v>2246.8009217956201</v>
          </cell>
          <cell r="X56">
            <v>900</v>
          </cell>
          <cell r="Y56">
            <v>384.20295762705098</v>
          </cell>
          <cell r="Z56">
            <v>171</v>
          </cell>
          <cell r="AA56">
            <v>1.0199028372563708</v>
          </cell>
          <cell r="AB56">
            <v>4242.0557261595904</v>
          </cell>
          <cell r="AC56">
            <v>2258</v>
          </cell>
          <cell r="AD56">
            <v>725.39152917328988</v>
          </cell>
          <cell r="AE56">
            <v>429.02</v>
          </cell>
          <cell r="AF56">
            <v>2.4509670899596099</v>
          </cell>
          <cell r="AG56">
            <v>2267.3236434635382</v>
          </cell>
          <cell r="AH56">
            <v>2292</v>
          </cell>
          <cell r="AI56">
            <v>387.71234303226498</v>
          </cell>
          <cell r="AJ56">
            <v>435.48</v>
          </cell>
          <cell r="AK56">
            <v>2.3054453573239129</v>
          </cell>
          <cell r="AL56">
            <v>3143.0613846948581</v>
          </cell>
          <cell r="AM56">
            <v>2450</v>
          </cell>
          <cell r="AN56">
            <v>537.4634967828207</v>
          </cell>
          <cell r="AO56">
            <v>465.5</v>
          </cell>
          <cell r="AP56">
            <v>2.326822661923114</v>
          </cell>
          <cell r="AQ56">
            <v>3782.790130610987</v>
          </cell>
          <cell r="AR56">
            <v>2700</v>
          </cell>
          <cell r="AS56">
            <v>646.85711233447876</v>
          </cell>
          <cell r="AT56">
            <v>514.62</v>
          </cell>
          <cell r="AU56">
            <v>2.8136606350119422</v>
          </cell>
          <cell r="AV56">
            <v>3095.1410358229255</v>
          </cell>
          <cell r="AW56">
            <v>1500</v>
          </cell>
          <cell r="AX56">
            <v>529.26911712572019</v>
          </cell>
          <cell r="AY56">
            <v>285.89999999999998</v>
          </cell>
          <cell r="AZ56">
            <v>2.0463540110584972</v>
          </cell>
          <cell r="BA56">
            <v>2634.4602432306228</v>
          </cell>
          <cell r="BB56">
            <v>850</v>
          </cell>
          <cell r="BC56">
            <v>450.49270159243645</v>
          </cell>
          <cell r="BD56">
            <v>162.01</v>
          </cell>
          <cell r="BE56">
            <v>1.2721560950495168</v>
          </cell>
          <cell r="BF56">
            <v>2447.8247104757584</v>
          </cell>
          <cell r="BG56">
            <v>2550</v>
          </cell>
          <cell r="BH56">
            <v>418.57802549135465</v>
          </cell>
          <cell r="BI56">
            <v>465.63</v>
          </cell>
          <cell r="BJ56">
            <v>4.0101086189028656</v>
          </cell>
          <cell r="BK56">
            <v>35314.117732451938</v>
          </cell>
          <cell r="BL56">
            <v>23450</v>
          </cell>
          <cell r="BM56">
            <v>6038.7141322492798</v>
          </cell>
          <cell r="BN56">
            <v>4424.43</v>
          </cell>
          <cell r="BO56">
            <v>2.377255795257958</v>
          </cell>
        </row>
        <row r="57">
          <cell r="C57">
            <v>6925.3837640574202</v>
          </cell>
          <cell r="D57">
            <v>7836</v>
          </cell>
          <cell r="E57">
            <v>6184.3677013032757</v>
          </cell>
          <cell r="F57">
            <v>3158.69</v>
          </cell>
          <cell r="G57">
            <v>9.4703332986877378</v>
          </cell>
          <cell r="H57">
            <v>6654.2970892002322</v>
          </cell>
          <cell r="I57">
            <v>5910</v>
          </cell>
          <cell r="J57">
            <v>5942.2873006558066</v>
          </cell>
          <cell r="K57">
            <v>2382.3200000000002</v>
          </cell>
          <cell r="L57">
            <v>8.8896777454212899</v>
          </cell>
          <cell r="M57">
            <v>7587.4884297741928</v>
          </cell>
          <cell r="N57">
            <v>6110</v>
          </cell>
          <cell r="O57">
            <v>6775.6271677883533</v>
          </cell>
          <cell r="P57">
            <v>2462.94</v>
          </cell>
          <cell r="Q57">
            <v>8.6418443477953399</v>
          </cell>
          <cell r="R57">
            <v>4964.0815171435643</v>
          </cell>
          <cell r="S57">
            <v>4922</v>
          </cell>
          <cell r="T57">
            <v>4432.9247948092025</v>
          </cell>
          <cell r="U57">
            <v>1984.06</v>
          </cell>
          <cell r="V57">
            <v>6.0202722454685889</v>
          </cell>
          <cell r="W57">
            <v>7161.226544713898</v>
          </cell>
          <cell r="X57">
            <v>3603</v>
          </cell>
          <cell r="Y57">
            <v>6394.9753044295103</v>
          </cell>
          <cell r="Z57">
            <v>1451.65</v>
          </cell>
          <cell r="AA57">
            <v>4.0830110251496707</v>
          </cell>
          <cell r="AB57">
            <v>7490.042586573376</v>
          </cell>
          <cell r="AC57">
            <v>7947</v>
          </cell>
          <cell r="AD57">
            <v>6688.6080298100242</v>
          </cell>
          <cell r="AE57">
            <v>3201.85</v>
          </cell>
          <cell r="AF57">
            <v>8.6261450238746775</v>
          </cell>
          <cell r="AG57">
            <v>8822.9985548662426</v>
          </cell>
          <cell r="AH57">
            <v>8367</v>
          </cell>
          <cell r="AI57">
            <v>7878.9377094955535</v>
          </cell>
          <cell r="AJ57">
            <v>3371.06</v>
          </cell>
          <cell r="AK57">
            <v>8.4160825936863795</v>
          </cell>
          <cell r="AL57">
            <v>9543.5408534957551</v>
          </cell>
          <cell r="AM57">
            <v>9795</v>
          </cell>
          <cell r="AN57">
            <v>8522.3819821717079</v>
          </cell>
          <cell r="AO57">
            <v>3946.41</v>
          </cell>
          <cell r="AP57">
            <v>9.3025420300150614</v>
          </cell>
          <cell r="AQ57">
            <v>9184.7546764829021</v>
          </cell>
          <cell r="AR57">
            <v>8696</v>
          </cell>
          <cell r="AS57">
            <v>8201.9859260992307</v>
          </cell>
          <cell r="AT57">
            <v>3502.75</v>
          </cell>
          <cell r="AU57">
            <v>9.0620714378014267</v>
          </cell>
          <cell r="AV57">
            <v>7289.3727885999533</v>
          </cell>
          <cell r="AW57">
            <v>6459</v>
          </cell>
          <cell r="AX57">
            <v>6509.4099002197572</v>
          </cell>
          <cell r="AY57">
            <v>2601.69</v>
          </cell>
          <cell r="AZ57">
            <v>8.8116003716178888</v>
          </cell>
          <cell r="BA57">
            <v>8246.9625218012898</v>
          </cell>
          <cell r="BB57">
            <v>5959</v>
          </cell>
          <cell r="BC57">
            <v>7364.5375319685509</v>
          </cell>
          <cell r="BD57">
            <v>2400.29</v>
          </cell>
          <cell r="BE57">
            <v>8.9185625534118476</v>
          </cell>
          <cell r="BF57">
            <v>5517.8286295216358</v>
          </cell>
          <cell r="BG57">
            <v>5748</v>
          </cell>
          <cell r="BH57">
            <v>4927.4209661628202</v>
          </cell>
          <cell r="BI57">
            <v>2225.0500000000002</v>
          </cell>
          <cell r="BJ57">
            <v>9.0392566044916354</v>
          </cell>
          <cell r="BK57">
            <v>89387.977956230476</v>
          </cell>
          <cell r="BL57">
            <v>81352</v>
          </cell>
          <cell r="BM57">
            <v>79823.464314913799</v>
          </cell>
          <cell r="BN57">
            <v>32688.76</v>
          </cell>
          <cell r="BO57">
            <v>8.2471007870288009</v>
          </cell>
        </row>
        <row r="58">
          <cell r="C58">
            <v>10344.410707806517</v>
          </cell>
          <cell r="D58">
            <v>6138</v>
          </cell>
          <cell r="E58">
            <v>2082.3298754814518</v>
          </cell>
          <cell r="F58">
            <v>935.43</v>
          </cell>
          <cell r="G58">
            <v>7.4181860371803641</v>
          </cell>
          <cell r="H58">
            <v>8562.3105025970581</v>
          </cell>
          <cell r="I58">
            <v>16711</v>
          </cell>
          <cell r="J58">
            <v>1723.5931041727879</v>
          </cell>
          <cell r="K58">
            <v>2546.7600000000002</v>
          </cell>
          <cell r="L58">
            <v>25.136278308584629</v>
          </cell>
          <cell r="M58">
            <v>8346.6027262838215</v>
          </cell>
          <cell r="N58">
            <v>0</v>
          </cell>
          <cell r="O58">
            <v>1680.1711288009333</v>
          </cell>
          <cell r="P58">
            <v>0</v>
          </cell>
          <cell r="Q58">
            <v>0</v>
          </cell>
          <cell r="R58">
            <v>27192.619084267153</v>
          </cell>
          <cell r="S58">
            <v>0</v>
          </cell>
          <cell r="T58">
            <v>5473.874221662978</v>
          </cell>
          <cell r="U58">
            <v>0</v>
          </cell>
          <cell r="V58">
            <v>0</v>
          </cell>
          <cell r="W58">
            <v>17561.736036450009</v>
          </cell>
          <cell r="X58">
            <v>38793</v>
          </cell>
          <cell r="Y58">
            <v>3535.1774641373868</v>
          </cell>
          <cell r="Z58">
            <v>4763.78</v>
          </cell>
          <cell r="AA58">
            <v>43.961211961873765</v>
          </cell>
          <cell r="AB58">
            <v>20650.959167127123</v>
          </cell>
          <cell r="AC58">
            <v>15215</v>
          </cell>
          <cell r="AD58">
            <v>4157.0380803426897</v>
          </cell>
          <cell r="AE58">
            <v>1868.4</v>
          </cell>
          <cell r="AF58">
            <v>16.515263185888159</v>
          </cell>
          <cell r="AG58">
            <v>38058.244272854718</v>
          </cell>
          <cell r="AH58">
            <v>6904</v>
          </cell>
          <cell r="AI58">
            <v>7661.1245721256546</v>
          </cell>
          <cell r="AJ58">
            <v>715.94</v>
          </cell>
          <cell r="AK58">
            <v>6.9445003259006528</v>
          </cell>
          <cell r="AL58">
            <v>101286.7011442541</v>
          </cell>
          <cell r="AM58">
            <v>109335</v>
          </cell>
          <cell r="AN58">
            <v>20389.012940338351</v>
          </cell>
          <cell r="AO58">
            <v>10496.16</v>
          </cell>
          <cell r="AP58">
            <v>103.838022751577</v>
          </cell>
          <cell r="AQ58">
            <v>109439.92817680104</v>
          </cell>
          <cell r="AR58">
            <v>39004</v>
          </cell>
          <cell r="AS58">
            <v>22030.25754199005</v>
          </cell>
          <cell r="AT58">
            <v>3272.44</v>
          </cell>
          <cell r="AU58">
            <v>40.645933114076222</v>
          </cell>
          <cell r="AV58">
            <v>95267.518930994527</v>
          </cell>
          <cell r="AW58">
            <v>113616</v>
          </cell>
          <cell r="AX58">
            <v>19177.351560809198</v>
          </cell>
          <cell r="AY58">
            <v>9248.34</v>
          </cell>
          <cell r="AZ58">
            <v>154.9990382136148</v>
          </cell>
          <cell r="BA58">
            <v>20860.253431161345</v>
          </cell>
          <cell r="BB58">
            <v>43674</v>
          </cell>
          <cell r="BC58">
            <v>4199.1690156927789</v>
          </cell>
          <cell r="BD58">
            <v>3537.59</v>
          </cell>
          <cell r="BE58">
            <v>65.364876817873636</v>
          </cell>
          <cell r="BF58">
            <v>6055.3387309248155</v>
          </cell>
          <cell r="BG58">
            <v>6139</v>
          </cell>
          <cell r="BH58">
            <v>1218.9396865351655</v>
          </cell>
          <cell r="BI58">
            <v>497.26</v>
          </cell>
          <cell r="BJ58">
            <v>9.6541399260567413</v>
          </cell>
          <cell r="BK58">
            <v>463626.62291152228</v>
          </cell>
          <cell r="BL58">
            <v>395529</v>
          </cell>
          <cell r="BM58">
            <v>93328.039192089418</v>
          </cell>
          <cell r="BN58">
            <v>37882.1</v>
          </cell>
          <cell r="BO58">
            <v>40.096955541261615</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666.63721066572953</v>
          </cell>
          <cell r="AC59">
            <v>0</v>
          </cell>
          <cell r="AD59">
            <v>2191.2365114582531</v>
          </cell>
          <cell r="AE59">
            <v>0</v>
          </cell>
          <cell r="AF59">
            <v>0</v>
          </cell>
          <cell r="AG59">
            <v>1173.4181370973563</v>
          </cell>
          <cell r="AH59">
            <v>0</v>
          </cell>
          <cell r="AI59">
            <v>3857.02541663901</v>
          </cell>
          <cell r="AJ59">
            <v>0</v>
          </cell>
          <cell r="AK59">
            <v>0</v>
          </cell>
          <cell r="AL59">
            <v>559.04399140495946</v>
          </cell>
          <cell r="AM59">
            <v>0</v>
          </cell>
          <cell r="AN59">
            <v>1837.5775997481016</v>
          </cell>
          <cell r="AO59">
            <v>0</v>
          </cell>
          <cell r="AP59">
            <v>0</v>
          </cell>
          <cell r="AQ59">
            <v>75.365166328165131</v>
          </cell>
          <cell r="AR59">
            <v>0</v>
          </cell>
          <cell r="AS59">
            <v>247.72530172067877</v>
          </cell>
          <cell r="AT59">
            <v>0</v>
          </cell>
          <cell r="AU59">
            <v>0</v>
          </cell>
          <cell r="AV59">
            <v>2377.6738353295509</v>
          </cell>
          <cell r="AW59">
            <v>0</v>
          </cell>
          <cell r="AX59">
            <v>7815.4138967282333</v>
          </cell>
          <cell r="AY59">
            <v>0</v>
          </cell>
          <cell r="AZ59">
            <v>0</v>
          </cell>
          <cell r="BA59">
            <v>229.47278514845635</v>
          </cell>
          <cell r="BB59">
            <v>0</v>
          </cell>
          <cell r="BC59">
            <v>754.27704478297596</v>
          </cell>
          <cell r="BD59">
            <v>0</v>
          </cell>
          <cell r="BE59">
            <v>0</v>
          </cell>
          <cell r="BF59">
            <v>0</v>
          </cell>
          <cell r="BG59">
            <v>0</v>
          </cell>
          <cell r="BH59">
            <v>0</v>
          </cell>
          <cell r="BI59">
            <v>0</v>
          </cell>
          <cell r="BJ59">
            <v>0</v>
          </cell>
          <cell r="BK59">
            <v>5081.6111259742183</v>
          </cell>
          <cell r="BL59">
            <v>0</v>
          </cell>
          <cell r="BM59">
            <v>16703.255771077253</v>
          </cell>
          <cell r="BN59">
            <v>0</v>
          </cell>
          <cell r="BO59">
            <v>0</v>
          </cell>
        </row>
        <row r="60">
          <cell r="C60">
            <v>1586.4693100149505</v>
          </cell>
          <cell r="D60">
            <v>187</v>
          </cell>
          <cell r="E60">
            <v>2148.8726804152507</v>
          </cell>
          <cell r="F60">
            <v>157.69999999999999</v>
          </cell>
          <cell r="G60">
            <v>0.22600208357001109</v>
          </cell>
          <cell r="H60">
            <v>1204.4076731814346</v>
          </cell>
          <cell r="I60">
            <v>938</v>
          </cell>
          <cell r="J60">
            <v>1631.3701933242533</v>
          </cell>
          <cell r="K60">
            <v>791.02</v>
          </cell>
          <cell r="L60">
            <v>1.4109167047724482</v>
          </cell>
          <cell r="M60">
            <v>1529.480845425195</v>
          </cell>
          <cell r="N60">
            <v>788</v>
          </cell>
          <cell r="O60">
            <v>2071.6818051284267</v>
          </cell>
          <cell r="P60">
            <v>664.21</v>
          </cell>
          <cell r="Q60">
            <v>1.1145291892083025</v>
          </cell>
          <cell r="R60">
            <v>1147.4468895754403</v>
          </cell>
          <cell r="S60">
            <v>337</v>
          </cell>
          <cell r="T60">
            <v>1554.216811929934</v>
          </cell>
          <cell r="U60">
            <v>284.06</v>
          </cell>
          <cell r="V60">
            <v>0.41219661656296513</v>
          </cell>
          <cell r="W60">
            <v>1668.2303555453339</v>
          </cell>
          <cell r="X60">
            <v>338</v>
          </cell>
          <cell r="Y60">
            <v>2259.6180165861547</v>
          </cell>
          <cell r="Z60">
            <v>284.87</v>
          </cell>
          <cell r="AA60">
            <v>0.38303017665850364</v>
          </cell>
          <cell r="AB60">
            <v>1130.8039670804865</v>
          </cell>
          <cell r="AC60">
            <v>112</v>
          </cell>
          <cell r="AD60">
            <v>1531.673973410519</v>
          </cell>
          <cell r="AE60">
            <v>94.39</v>
          </cell>
          <cell r="AF60">
            <v>0.12157144113174329</v>
          </cell>
          <cell r="AG60">
            <v>1031.826844376606</v>
          </cell>
          <cell r="AH60">
            <v>0</v>
          </cell>
          <cell r="AI60">
            <v>1397.6094607081129</v>
          </cell>
          <cell r="AJ60">
            <v>0</v>
          </cell>
          <cell r="AK60">
            <v>0</v>
          </cell>
          <cell r="AL60">
            <v>1031.9021900075004</v>
          </cell>
          <cell r="AM60">
            <v>3150</v>
          </cell>
          <cell r="AN60">
            <v>1397.7115163651592</v>
          </cell>
          <cell r="AO60">
            <v>2654.82</v>
          </cell>
          <cell r="AP60">
            <v>2.9916291367582892</v>
          </cell>
          <cell r="AQ60">
            <v>1260.037332552927</v>
          </cell>
          <cell r="AR60">
            <v>0</v>
          </cell>
          <cell r="AS60">
            <v>1706.7205669429395</v>
          </cell>
          <cell r="AT60">
            <v>0</v>
          </cell>
          <cell r="AU60">
            <v>0</v>
          </cell>
          <cell r="AV60">
            <v>1076.7837365031664</v>
          </cell>
          <cell r="AW60">
            <v>0</v>
          </cell>
          <cell r="AX60">
            <v>1458.503571093539</v>
          </cell>
          <cell r="AY60">
            <v>0</v>
          </cell>
          <cell r="AZ60">
            <v>0</v>
          </cell>
          <cell r="BA60">
            <v>1112.2394186094666</v>
          </cell>
          <cell r="BB60">
            <v>697</v>
          </cell>
          <cell r="BC60">
            <v>1506.5282925065226</v>
          </cell>
          <cell r="BD60">
            <v>842.25</v>
          </cell>
          <cell r="BE60">
            <v>1.0431679979406037</v>
          </cell>
          <cell r="BF60">
            <v>740.46106307337573</v>
          </cell>
          <cell r="BG60">
            <v>1047</v>
          </cell>
          <cell r="BH60">
            <v>1002.9545099328875</v>
          </cell>
          <cell r="BI60">
            <v>1265.19</v>
          </cell>
          <cell r="BJ60">
            <v>1.6465034211730589</v>
          </cell>
          <cell r="BK60">
            <v>14520.089625945882</v>
          </cell>
          <cell r="BL60">
            <v>7594</v>
          </cell>
          <cell r="BM60">
            <v>19667.461398343694</v>
          </cell>
          <cell r="BN60">
            <v>7038.51</v>
          </cell>
          <cell r="BO60">
            <v>0.76984565071168154</v>
          </cell>
        </row>
        <row r="61">
          <cell r="C61">
            <v>37570.963016235131</v>
          </cell>
          <cell r="D61">
            <v>0</v>
          </cell>
          <cell r="E61">
            <v>6336.8689061702817</v>
          </cell>
          <cell r="F61">
            <v>0</v>
          </cell>
          <cell r="G61">
            <v>0</v>
          </cell>
          <cell r="H61">
            <v>24825.658011089756</v>
          </cell>
          <cell r="I61">
            <v>0</v>
          </cell>
          <cell r="J61">
            <v>4187.1947827824424</v>
          </cell>
          <cell r="K61">
            <v>0</v>
          </cell>
          <cell r="L61">
            <v>0</v>
          </cell>
          <cell r="M61">
            <v>5810.6648889058115</v>
          </cell>
          <cell r="N61">
            <v>0</v>
          </cell>
          <cell r="O61">
            <v>980.04998282240967</v>
          </cell>
          <cell r="P61">
            <v>0</v>
          </cell>
          <cell r="Q61">
            <v>0</v>
          </cell>
          <cell r="R61">
            <v>18765.902297204288</v>
          </cell>
          <cell r="S61">
            <v>0</v>
          </cell>
          <cell r="T61">
            <v>3165.1321450556634</v>
          </cell>
          <cell r="U61">
            <v>0</v>
          </cell>
          <cell r="V61">
            <v>0</v>
          </cell>
          <cell r="W61">
            <v>12927.217411719357</v>
          </cell>
          <cell r="X61">
            <v>0</v>
          </cell>
          <cell r="Y61">
            <v>2180.3561975302332</v>
          </cell>
          <cell r="Z61">
            <v>0</v>
          </cell>
          <cell r="AA61">
            <v>0</v>
          </cell>
          <cell r="AB61">
            <v>32772.10529655133</v>
          </cell>
          <cell r="AC61">
            <v>38183</v>
          </cell>
          <cell r="AD61">
            <v>5527.4743677375327</v>
          </cell>
          <cell r="AE61">
            <v>4448.32</v>
          </cell>
          <cell r="AF61">
            <v>41.446092292262087</v>
          </cell>
          <cell r="AG61">
            <v>32587.108560343968</v>
          </cell>
          <cell r="AH61">
            <v>20971</v>
          </cell>
          <cell r="AI61">
            <v>5496.2720782218539</v>
          </cell>
          <cell r="AJ61">
            <v>2388.6</v>
          </cell>
          <cell r="AK61">
            <v>21.094020326544406</v>
          </cell>
          <cell r="AL61">
            <v>275328.3291250139</v>
          </cell>
          <cell r="AM61">
            <v>370023</v>
          </cell>
          <cell r="AN61">
            <v>46437.977303541338</v>
          </cell>
          <cell r="AO61">
            <v>40591.519999999997</v>
          </cell>
          <cell r="AP61">
            <v>351.41955176848018</v>
          </cell>
          <cell r="AQ61">
            <v>357112.92837799637</v>
          </cell>
          <cell r="AR61">
            <v>88275</v>
          </cell>
          <cell r="AS61">
            <v>60232.094951946376</v>
          </cell>
          <cell r="AT61">
            <v>9577.84</v>
          </cell>
          <cell r="AU61">
            <v>91.991071316918223</v>
          </cell>
          <cell r="AV61">
            <v>331088.24327032903</v>
          </cell>
          <cell r="AW61">
            <v>450272</v>
          </cell>
          <cell r="AX61">
            <v>55842.667462946767</v>
          </cell>
          <cell r="AY61">
            <v>48764.46</v>
          </cell>
          <cell r="AZ61">
            <v>614.27727551155442</v>
          </cell>
          <cell r="BA61">
            <v>75593.119698377865</v>
          </cell>
          <cell r="BB61">
            <v>217082</v>
          </cell>
          <cell r="BC61">
            <v>12749.837940807203</v>
          </cell>
          <cell r="BD61">
            <v>23488.27</v>
          </cell>
          <cell r="BE61">
            <v>324.89669344181084</v>
          </cell>
          <cell r="BF61">
            <v>42388.717121709138</v>
          </cell>
          <cell r="BG61">
            <v>0</v>
          </cell>
          <cell r="BH61">
            <v>7149.4505846159491</v>
          </cell>
          <cell r="BI61">
            <v>0</v>
          </cell>
          <cell r="BJ61">
            <v>0</v>
          </cell>
          <cell r="BK61">
            <v>1246770.9570754759</v>
          </cell>
          <cell r="BL61">
            <v>1184806</v>
          </cell>
          <cell r="BM61">
            <v>210285.37670417802</v>
          </cell>
          <cell r="BN61">
            <v>129259.01</v>
          </cell>
          <cell r="BO61">
            <v>120.11031683396162</v>
          </cell>
        </row>
        <row r="62">
          <cell r="C62">
            <v>217749.35128848691</v>
          </cell>
          <cell r="D62">
            <v>278513</v>
          </cell>
          <cell r="E62">
            <v>32063.591977229695</v>
          </cell>
          <cell r="F62">
            <v>40467.94</v>
          </cell>
          <cell r="G62">
            <v>336.60170214617381</v>
          </cell>
          <cell r="H62">
            <v>157422.47219710943</v>
          </cell>
          <cell r="I62">
            <v>186637</v>
          </cell>
          <cell r="J62">
            <v>23180.459031024362</v>
          </cell>
          <cell r="K62">
            <v>26931.72</v>
          </cell>
          <cell r="L62">
            <v>280.73481985993118</v>
          </cell>
          <cell r="M62">
            <v>188925.48092424116</v>
          </cell>
          <cell r="N62">
            <v>118454</v>
          </cell>
          <cell r="O62">
            <v>27819.27706609451</v>
          </cell>
          <cell r="P62">
            <v>17081.07</v>
          </cell>
          <cell r="Q62">
            <v>167.53863017573636</v>
          </cell>
          <cell r="R62">
            <v>187998.55583156054</v>
          </cell>
          <cell r="S62">
            <v>127407</v>
          </cell>
          <cell r="T62">
            <v>27682.787346197289</v>
          </cell>
          <cell r="U62">
            <v>18359.349999999999</v>
          </cell>
          <cell r="V62">
            <v>155.83600690337596</v>
          </cell>
          <cell r="W62">
            <v>163627.08090520467</v>
          </cell>
          <cell r="X62">
            <v>343095</v>
          </cell>
          <cell r="Y62">
            <v>24094.087663291386</v>
          </cell>
          <cell r="Z62">
            <v>49439.99</v>
          </cell>
          <cell r="AA62">
            <v>388.80395994274943</v>
          </cell>
          <cell r="AB62">
            <v>168205.87562332017</v>
          </cell>
          <cell r="AC62">
            <v>204792</v>
          </cell>
          <cell r="AD62">
            <v>24768.315185533895</v>
          </cell>
          <cell r="AE62">
            <v>29510.53</v>
          </cell>
          <cell r="AF62">
            <v>222.29338010939259</v>
          </cell>
          <cell r="AG62">
            <v>189284.84501244043</v>
          </cell>
          <cell r="AH62">
            <v>275081</v>
          </cell>
          <cell r="AI62">
            <v>27872.193428081853</v>
          </cell>
          <cell r="AJ62">
            <v>39639.17</v>
          </cell>
          <cell r="AK62">
            <v>276.6946833935512</v>
          </cell>
          <cell r="AL62">
            <v>218283.53702493088</v>
          </cell>
          <cell r="AM62">
            <v>153887</v>
          </cell>
          <cell r="AN62">
            <v>32142.25082692107</v>
          </cell>
          <cell r="AO62">
            <v>22175.119999999999</v>
          </cell>
          <cell r="AP62">
            <v>146.15010570422947</v>
          </cell>
          <cell r="AQ62">
            <v>178541.6568931645</v>
          </cell>
          <cell r="AR62">
            <v>197727</v>
          </cell>
          <cell r="AS62">
            <v>26290.258977518472</v>
          </cell>
          <cell r="AT62">
            <v>28492.46</v>
          </cell>
          <cell r="AU62">
            <v>206.05062088111345</v>
          </cell>
          <cell r="AV62">
            <v>133431.39482928714</v>
          </cell>
          <cell r="AW62">
            <v>64672</v>
          </cell>
          <cell r="AX62">
            <v>19647.77288861253</v>
          </cell>
          <cell r="AY62">
            <v>9319.24</v>
          </cell>
          <cell r="AZ62">
            <v>88.227871068783415</v>
          </cell>
          <cell r="BA62">
            <v>87255.795936772716</v>
          </cell>
          <cell r="BB62">
            <v>95749</v>
          </cell>
          <cell r="BC62">
            <v>12848.415951689782</v>
          </cell>
          <cell r="BD62">
            <v>13797.43</v>
          </cell>
          <cell r="BE62">
            <v>143.30314581752492</v>
          </cell>
          <cell r="BF62">
            <v>181711.30740063498</v>
          </cell>
          <cell r="BG62">
            <v>286097</v>
          </cell>
          <cell r="BH62">
            <v>26756.9900147435</v>
          </cell>
          <cell r="BI62">
            <v>41226.58</v>
          </cell>
          <cell r="BJ62">
            <v>449.9137433499032</v>
          </cell>
          <cell r="BK62">
            <v>2072437.3538671532</v>
          </cell>
          <cell r="BL62">
            <v>2332111</v>
          </cell>
          <cell r="BM62">
            <v>305166.40035693836</v>
          </cell>
          <cell r="BN62">
            <v>336440.60000000003</v>
          </cell>
          <cell r="BO62">
            <v>236.41895053027</v>
          </cell>
        </row>
        <row r="66">
          <cell r="D66">
            <v>51.4</v>
          </cell>
          <cell r="E66">
            <v>72.709999999999994</v>
          </cell>
          <cell r="F66">
            <v>106.71</v>
          </cell>
          <cell r="I66">
            <v>39.56666666666667</v>
          </cell>
          <cell r="J66">
            <v>45.07</v>
          </cell>
          <cell r="K66">
            <v>33.1</v>
          </cell>
          <cell r="N66">
            <v>41.5</v>
          </cell>
          <cell r="O66">
            <v>20.7</v>
          </cell>
          <cell r="P66">
            <v>84</v>
          </cell>
          <cell r="S66">
            <v>68.766666666666666</v>
          </cell>
          <cell r="T66">
            <v>19.899999999999999</v>
          </cell>
          <cell r="U66">
            <v>63.8</v>
          </cell>
          <cell r="X66">
            <v>16.583333333333332</v>
          </cell>
          <cell r="Y66">
            <v>85.2</v>
          </cell>
          <cell r="Z66">
            <v>170</v>
          </cell>
          <cell r="AC66">
            <v>10.066666666666666</v>
          </cell>
          <cell r="AD66">
            <v>13.65</v>
          </cell>
          <cell r="AE66">
            <v>62.9</v>
          </cell>
          <cell r="AH66">
            <v>8.7999999999999989</v>
          </cell>
          <cell r="AI66">
            <v>12.74</v>
          </cell>
          <cell r="AJ66">
            <v>20.6</v>
          </cell>
          <cell r="AM66">
            <v>7.0333333333333341</v>
          </cell>
          <cell r="AN66">
            <v>12.01</v>
          </cell>
          <cell r="AO66">
            <v>54.6</v>
          </cell>
          <cell r="AR66">
            <v>15.233333333333334</v>
          </cell>
          <cell r="AS66">
            <v>7.56</v>
          </cell>
          <cell r="AT66">
            <v>27.9</v>
          </cell>
          <cell r="AW66">
            <v>17.766666666666666</v>
          </cell>
          <cell r="AX66">
            <v>6.58</v>
          </cell>
          <cell r="AY66">
            <v>32.799999999999997</v>
          </cell>
          <cell r="BB66">
            <v>13.566666666666665</v>
          </cell>
          <cell r="BC66">
            <v>6.57</v>
          </cell>
          <cell r="BD66">
            <v>14.6</v>
          </cell>
          <cell r="BG66">
            <v>20.133333333333333</v>
          </cell>
          <cell r="BH66">
            <v>67.97</v>
          </cell>
          <cell r="BI66">
            <v>44.4</v>
          </cell>
          <cell r="BL66">
            <v>25.868055555555557</v>
          </cell>
          <cell r="BM66">
            <v>33.721666666666664</v>
          </cell>
          <cell r="BN66">
            <v>50.724999999999994</v>
          </cell>
        </row>
        <row r="67">
          <cell r="D67">
            <v>10041</v>
          </cell>
          <cell r="E67">
            <v>6521.84</v>
          </cell>
          <cell r="F67">
            <v>6521.84</v>
          </cell>
          <cell r="I67">
            <v>16480</v>
          </cell>
          <cell r="J67">
            <v>14553</v>
          </cell>
          <cell r="K67">
            <v>14553</v>
          </cell>
          <cell r="N67">
            <v>13041</v>
          </cell>
          <cell r="O67">
            <v>12996.46</v>
          </cell>
          <cell r="P67">
            <v>12996.46</v>
          </cell>
          <cell r="S67">
            <v>10041</v>
          </cell>
          <cell r="T67">
            <v>12976</v>
          </cell>
          <cell r="U67">
            <v>12976</v>
          </cell>
          <cell r="X67">
            <v>16480</v>
          </cell>
          <cell r="Y67">
            <v>12871</v>
          </cell>
          <cell r="Z67">
            <v>12871</v>
          </cell>
          <cell r="AC67">
            <v>10041</v>
          </cell>
          <cell r="AD67">
            <v>10041</v>
          </cell>
          <cell r="AE67">
            <v>10041</v>
          </cell>
          <cell r="AH67">
            <v>19480</v>
          </cell>
          <cell r="AI67">
            <v>19480</v>
          </cell>
          <cell r="AJ67">
            <v>19480</v>
          </cell>
          <cell r="AM67">
            <v>11041</v>
          </cell>
          <cell r="AN67">
            <v>14366</v>
          </cell>
          <cell r="AO67">
            <v>14366</v>
          </cell>
          <cell r="AR67">
            <v>17480</v>
          </cell>
          <cell r="AS67">
            <v>4205.41</v>
          </cell>
          <cell r="AT67">
            <v>4205.41</v>
          </cell>
          <cell r="AW67">
            <v>11041</v>
          </cell>
          <cell r="AX67">
            <v>5329.15</v>
          </cell>
          <cell r="AY67">
            <v>5329.15</v>
          </cell>
          <cell r="BB67">
            <v>11041</v>
          </cell>
          <cell r="BC67">
            <v>5883.37</v>
          </cell>
          <cell r="BD67">
            <v>5883.37</v>
          </cell>
          <cell r="BG67">
            <v>17480</v>
          </cell>
          <cell r="BH67">
            <v>13760.36</v>
          </cell>
          <cell r="BI67">
            <v>13760.36</v>
          </cell>
          <cell r="BL67">
            <v>163687</v>
          </cell>
          <cell r="BM67">
            <v>132983.59</v>
          </cell>
          <cell r="BN67">
            <v>132983.59</v>
          </cell>
        </row>
        <row r="68">
          <cell r="D68">
            <v>790.65199639716946</v>
          </cell>
          <cell r="E68">
            <v>827.42600000000004</v>
          </cell>
          <cell r="F68">
            <v>763.2</v>
          </cell>
          <cell r="I68">
            <v>745.47156502994585</v>
          </cell>
          <cell r="J68">
            <v>664.81600000000003</v>
          </cell>
          <cell r="K68">
            <v>688.30700000000002</v>
          </cell>
          <cell r="N68">
            <v>843.14642571863976</v>
          </cell>
          <cell r="O68">
            <v>707.02499999999998</v>
          </cell>
          <cell r="P68">
            <v>711.77800000000002</v>
          </cell>
          <cell r="S68">
            <v>766.48549138094756</v>
          </cell>
          <cell r="T68">
            <v>817.57100000000003</v>
          </cell>
          <cell r="U68">
            <v>745.1</v>
          </cell>
          <cell r="X68">
            <v>963.50778741167187</v>
          </cell>
          <cell r="Y68">
            <v>882.43700000000001</v>
          </cell>
          <cell r="Z68">
            <v>852.23299999999995</v>
          </cell>
          <cell r="AC68">
            <v>911.76335768271929</v>
          </cell>
          <cell r="AD68">
            <v>921.26900000000001</v>
          </cell>
          <cell r="AE68">
            <v>889.69600000000003</v>
          </cell>
          <cell r="AH68">
            <v>990.4753550788073</v>
          </cell>
          <cell r="AI68">
            <v>994.16800000000001</v>
          </cell>
          <cell r="AJ68">
            <v>994.84299999999996</v>
          </cell>
          <cell r="AM68">
            <v>1128.9120086035334</v>
          </cell>
          <cell r="AN68">
            <v>1052.9380000000001</v>
          </cell>
          <cell r="AO68">
            <v>973.21299999999997</v>
          </cell>
          <cell r="AR68">
            <v>1023.5950466939664</v>
          </cell>
          <cell r="AS68">
            <v>959.60400000000004</v>
          </cell>
          <cell r="AT68">
            <v>924.73900000000003</v>
          </cell>
          <cell r="AW68">
            <v>896.88371770871356</v>
          </cell>
          <cell r="AX68">
            <v>733.01099999999997</v>
          </cell>
          <cell r="AY68">
            <v>795.44899999999996</v>
          </cell>
          <cell r="BB68">
            <v>675.32725906806388</v>
          </cell>
          <cell r="BC68">
            <v>668.15700000000004</v>
          </cell>
          <cell r="BD68">
            <v>684.00199999999995</v>
          </cell>
          <cell r="BG68">
            <v>599.94221706047767</v>
          </cell>
          <cell r="BH68">
            <v>635.89300000000003</v>
          </cell>
          <cell r="BI68">
            <v>898.678</v>
          </cell>
          <cell r="BL68">
            <v>10336.162227834657</v>
          </cell>
          <cell r="BM68">
            <v>9864.3149999999987</v>
          </cell>
          <cell r="BN68">
            <v>9921.2379999999994</v>
          </cell>
        </row>
        <row r="69">
          <cell r="D69">
            <v>113.97787890948673</v>
          </cell>
          <cell r="E69">
            <v>97.266716298496789</v>
          </cell>
          <cell r="F69">
            <v>110</v>
          </cell>
          <cell r="I69">
            <v>102.11535983445066</v>
          </cell>
          <cell r="J69">
            <v>92.262265047772615</v>
          </cell>
          <cell r="K69">
            <v>129.07657484233053</v>
          </cell>
          <cell r="N69">
            <v>98.287734107821635</v>
          </cell>
          <cell r="O69">
            <v>70.440493617623147</v>
          </cell>
          <cell r="P69">
            <v>109.96408992691542</v>
          </cell>
          <cell r="S69">
            <v>108.13860376784038</v>
          </cell>
          <cell r="T69">
            <v>66.513501579679314</v>
          </cell>
          <cell r="U69">
            <v>103.87597637900951</v>
          </cell>
          <cell r="X69">
            <v>92.888642394633649</v>
          </cell>
          <cell r="Y69">
            <v>108.57010755442032</v>
          </cell>
          <cell r="Z69">
            <v>159.84941911425634</v>
          </cell>
          <cell r="AC69">
            <v>106.92163064860962</v>
          </cell>
          <cell r="AD69">
            <v>88.035666021542028</v>
          </cell>
          <cell r="AE69">
            <v>168.13781336546413</v>
          </cell>
          <cell r="AH69">
            <v>114.1511939067924</v>
          </cell>
          <cell r="AI69">
            <v>95.235573866791128</v>
          </cell>
          <cell r="AJ69">
            <v>121.8380287140785</v>
          </cell>
          <cell r="AM69">
            <v>153.87949233544748</v>
          </cell>
          <cell r="AN69">
            <v>123.63133441855075</v>
          </cell>
          <cell r="AO69">
            <v>157.00692448621217</v>
          </cell>
          <cell r="AR69">
            <v>173.68291572030853</v>
          </cell>
          <cell r="AS69">
            <v>97.209463487021722</v>
          </cell>
          <cell r="AT69">
            <v>129.06233001960553</v>
          </cell>
          <cell r="AW69">
            <v>188.00860140089193</v>
          </cell>
          <cell r="AX69">
            <v>139.71473825085849</v>
          </cell>
          <cell r="AY69">
            <v>97.696860515256162</v>
          </cell>
          <cell r="BB69">
            <v>119.31870790053567</v>
          </cell>
          <cell r="BC69">
            <v>110.87817683568382</v>
          </cell>
          <cell r="BD69">
            <v>103.78063222037363</v>
          </cell>
          <cell r="BG69">
            <v>127.67586747903738</v>
          </cell>
          <cell r="BH69">
            <v>113.73105223677568</v>
          </cell>
          <cell r="BI69">
            <v>101</v>
          </cell>
          <cell r="BL69">
            <v>126.67614722469986</v>
          </cell>
          <cell r="BM69">
            <v>100.34838506272358</v>
          </cell>
          <cell r="BN69">
            <v>0</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A"/>
    </sheetNames>
    <sheetDataSet>
      <sheetData sheetId="0">
        <row r="14">
          <cell r="BO14">
            <v>0</v>
          </cell>
        </row>
        <row r="15">
          <cell r="BO15">
            <v>395.52817485613485</v>
          </cell>
        </row>
        <row r="16">
          <cell r="BO16">
            <v>0</v>
          </cell>
        </row>
        <row r="17">
          <cell r="BO17">
            <v>62.119379655422335</v>
          </cell>
        </row>
        <row r="18">
          <cell r="BO18">
            <v>39.574473658932732</v>
          </cell>
        </row>
        <row r="19">
          <cell r="BO19">
            <v>5.7415056279853642</v>
          </cell>
        </row>
        <row r="20">
          <cell r="BO20">
            <v>3.6020852799147725</v>
          </cell>
        </row>
        <row r="21">
          <cell r="BO21">
            <v>20.985530532584679</v>
          </cell>
        </row>
        <row r="22">
          <cell r="BO22">
            <v>28.603395129107469</v>
          </cell>
        </row>
        <row r="23">
          <cell r="BO23">
            <v>6.1890374354899267</v>
          </cell>
        </row>
        <row r="24">
          <cell r="BO24">
            <v>9.5708497428329409</v>
          </cell>
        </row>
        <row r="25">
          <cell r="BO25">
            <v>19.806011334561681</v>
          </cell>
        </row>
        <row r="26">
          <cell r="BO26">
            <v>3.610817607866081</v>
          </cell>
        </row>
        <row r="27">
          <cell r="BO27">
            <v>1.6154806709920796E-2</v>
          </cell>
        </row>
        <row r="28">
          <cell r="C28">
            <v>285</v>
          </cell>
          <cell r="D28">
            <v>285</v>
          </cell>
          <cell r="E28">
            <v>552.9</v>
          </cell>
          <cell r="F28">
            <v>552.9</v>
          </cell>
          <cell r="G28">
            <v>0.75160209921147714</v>
          </cell>
          <cell r="H28">
            <v>210</v>
          </cell>
          <cell r="I28">
            <v>210</v>
          </cell>
          <cell r="J28">
            <v>407.4</v>
          </cell>
          <cell r="K28">
            <v>407.4</v>
          </cell>
          <cell r="L28">
            <v>0.62765257935321894</v>
          </cell>
          <cell r="M28">
            <v>440</v>
          </cell>
          <cell r="N28">
            <v>440</v>
          </cell>
          <cell r="O28">
            <v>990.13</v>
          </cell>
          <cell r="P28">
            <v>990.13</v>
          </cell>
          <cell r="Q28">
            <v>1.1907017021622062</v>
          </cell>
          <cell r="R28">
            <v>330</v>
          </cell>
          <cell r="S28">
            <v>330</v>
          </cell>
          <cell r="T28">
            <v>755.96</v>
          </cell>
          <cell r="U28">
            <v>755.96</v>
          </cell>
          <cell r="V28">
            <v>1.026789881452441</v>
          </cell>
          <cell r="W28">
            <v>385</v>
          </cell>
          <cell r="X28">
            <v>385</v>
          </cell>
          <cell r="Y28">
            <v>881.96</v>
          </cell>
          <cell r="Z28">
            <v>881.96</v>
          </cell>
          <cell r="AA28">
            <v>0.99658314350797272</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342</v>
          </cell>
          <cell r="AW28">
            <v>342</v>
          </cell>
          <cell r="AX28">
            <v>799.82999999999993</v>
          </cell>
          <cell r="AY28">
            <v>799.82999999999993</v>
          </cell>
          <cell r="AZ28">
            <v>0.68510987800236378</v>
          </cell>
          <cell r="BA28">
            <v>300</v>
          </cell>
          <cell r="BB28">
            <v>300</v>
          </cell>
          <cell r="BC28">
            <v>720</v>
          </cell>
          <cell r="BD28">
            <v>720</v>
          </cell>
          <cell r="BE28">
            <v>0.98667982239763197</v>
          </cell>
          <cell r="BF28">
            <v>375</v>
          </cell>
          <cell r="BG28">
            <v>375</v>
          </cell>
          <cell r="BH28">
            <v>932.74</v>
          </cell>
          <cell r="BI28">
            <v>932.74</v>
          </cell>
          <cell r="BJ28">
            <v>1.0077394388906804</v>
          </cell>
          <cell r="BK28">
            <v>2667</v>
          </cell>
          <cell r="BL28">
            <v>2667</v>
          </cell>
          <cell r="BM28">
            <v>6040.92</v>
          </cell>
          <cell r="BN28">
            <v>6040.92</v>
          </cell>
          <cell r="BO28">
            <v>0.58222796615349681</v>
          </cell>
        </row>
        <row r="29">
          <cell r="C29">
            <v>1769</v>
          </cell>
          <cell r="D29">
            <v>1769</v>
          </cell>
          <cell r="E29">
            <v>640.02</v>
          </cell>
          <cell r="F29">
            <v>640.02</v>
          </cell>
          <cell r="G29">
            <v>4.6652074158073793</v>
          </cell>
          <cell r="H29">
            <v>1375</v>
          </cell>
          <cell r="I29">
            <v>1375</v>
          </cell>
          <cell r="J29">
            <v>497.48</v>
          </cell>
          <cell r="K29">
            <v>497.48</v>
          </cell>
          <cell r="L29">
            <v>4.109629983860362</v>
          </cell>
          <cell r="M29">
            <v>1705</v>
          </cell>
          <cell r="N29">
            <v>1705</v>
          </cell>
          <cell r="O29">
            <v>615.51</v>
          </cell>
          <cell r="P29">
            <v>615.51</v>
          </cell>
          <cell r="Q29">
            <v>4.6139690958785486</v>
          </cell>
          <cell r="R29">
            <v>1650</v>
          </cell>
          <cell r="S29">
            <v>1650</v>
          </cell>
          <cell r="T29">
            <v>596.97</v>
          </cell>
          <cell r="U29">
            <v>596.97</v>
          </cell>
          <cell r="V29">
            <v>5.1339494072622047</v>
          </cell>
          <cell r="W29">
            <v>1430</v>
          </cell>
          <cell r="X29">
            <v>1430</v>
          </cell>
          <cell r="Y29">
            <v>516.52</v>
          </cell>
          <cell r="Z29">
            <v>516.52</v>
          </cell>
          <cell r="AA29">
            <v>3.7015945330296129</v>
          </cell>
          <cell r="AB29">
            <v>1375</v>
          </cell>
          <cell r="AC29">
            <v>1375</v>
          </cell>
          <cell r="AD29">
            <v>496.65</v>
          </cell>
          <cell r="AE29">
            <v>496.65</v>
          </cell>
          <cell r="AF29">
            <v>3.3174898062585951</v>
          </cell>
          <cell r="AG29">
            <v>1320</v>
          </cell>
          <cell r="AH29">
            <v>1320</v>
          </cell>
          <cell r="AI29">
            <v>462.92</v>
          </cell>
          <cell r="AJ29">
            <v>462.92</v>
          </cell>
          <cell r="AK29">
            <v>3.6092199163317198</v>
          </cell>
          <cell r="AL29">
            <v>1375</v>
          </cell>
          <cell r="AM29">
            <v>1375</v>
          </cell>
          <cell r="AN29">
            <v>482.21</v>
          </cell>
          <cell r="AO29">
            <v>482.21</v>
          </cell>
          <cell r="AP29">
            <v>3.1882579358638443</v>
          </cell>
          <cell r="AQ29">
            <v>1320</v>
          </cell>
          <cell r="AR29">
            <v>1320</v>
          </cell>
          <cell r="AS29">
            <v>456.32</v>
          </cell>
          <cell r="AT29">
            <v>456.32</v>
          </cell>
          <cell r="AU29">
            <v>3.276735180220435</v>
          </cell>
          <cell r="AV29">
            <v>1485</v>
          </cell>
          <cell r="AW29">
            <v>1485</v>
          </cell>
          <cell r="AX29">
            <v>509.65</v>
          </cell>
          <cell r="AY29">
            <v>509.65</v>
          </cell>
          <cell r="AZ29">
            <v>2.9748192071155271</v>
          </cell>
          <cell r="BA29">
            <v>1155</v>
          </cell>
          <cell r="BB29">
            <v>1155</v>
          </cell>
          <cell r="BC29">
            <v>396.86</v>
          </cell>
          <cell r="BD29">
            <v>396.86</v>
          </cell>
          <cell r="BE29">
            <v>3.7987173162308832</v>
          </cell>
          <cell r="BF29">
            <v>1800</v>
          </cell>
          <cell r="BG29">
            <v>1800</v>
          </cell>
          <cell r="BH29">
            <v>615.96</v>
          </cell>
          <cell r="BI29">
            <v>615.96</v>
          </cell>
          <cell r="BJ29">
            <v>4.8371493066752658</v>
          </cell>
          <cell r="BK29">
            <v>17759</v>
          </cell>
          <cell r="BL29">
            <v>17759</v>
          </cell>
          <cell r="BM29">
            <v>6287.0699999999988</v>
          </cell>
          <cell r="BN29">
            <v>6287.0699999999988</v>
          </cell>
          <cell r="BO29">
            <v>3.8769353021822086</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row>
        <row r="49">
          <cell r="BO49">
            <v>31.051663179981489</v>
          </cell>
        </row>
        <row r="50">
          <cell r="BO50">
            <v>55.508531313866143</v>
          </cell>
        </row>
        <row r="51">
          <cell r="BO51">
            <v>36.969283044412563</v>
          </cell>
        </row>
        <row r="52">
          <cell r="BO52">
            <v>3.4627203089362637</v>
          </cell>
        </row>
        <row r="53">
          <cell r="BO53">
            <v>0</v>
          </cell>
        </row>
        <row r="54">
          <cell r="BO54">
            <v>19.796233772127191</v>
          </cell>
        </row>
        <row r="55">
          <cell r="BO55">
            <v>0</v>
          </cell>
        </row>
        <row r="56">
          <cell r="BO56">
            <v>3.1768076228773063</v>
          </cell>
        </row>
        <row r="57">
          <cell r="BO57">
            <v>8.609577956324916</v>
          </cell>
        </row>
        <row r="58">
          <cell r="BO58">
            <v>24.55947043413704</v>
          </cell>
        </row>
        <row r="59">
          <cell r="BO59">
            <v>1.2512329050862427</v>
          </cell>
        </row>
        <row r="60">
          <cell r="BO60">
            <v>1.3101326356076977</v>
          </cell>
        </row>
        <row r="61">
          <cell r="BO61">
            <v>117.82702199552995</v>
          </cell>
        </row>
        <row r="62">
          <cell r="BO62">
            <v>230.39325056757508</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January 2011 KRS"/>
      <sheetName val="January 2011 RRS"/>
      <sheetName val="January 2011 Rockwell"/>
      <sheetName val="February 2011 KRS"/>
      <sheetName val="February 2011 RRS"/>
      <sheetName val="February 2011 Rockwell "/>
      <sheetName val="March 2011 KRS "/>
      <sheetName val="March 2011 RRS "/>
      <sheetName val="March 2011 Rockwell "/>
      <sheetName val="April 2011 KRS "/>
      <sheetName val="April 2011 RRS"/>
      <sheetName val="April 2011 Rockwell "/>
      <sheetName val="May 2011 KRS  "/>
      <sheetName val="May 2011 RRS "/>
      <sheetName val="May 2011 Rockwell "/>
      <sheetName val="June 2011 KRS "/>
      <sheetName val="June 2011 RRS"/>
      <sheetName val="June 2011 Rockwell"/>
      <sheetName val="July 2011 KRS "/>
      <sheetName val="July 2011 RRS"/>
      <sheetName val="July 2011 Rockwell"/>
      <sheetName val="August 2011 KRS "/>
      <sheetName val="August 2011 RRS"/>
      <sheetName val="August 2011 Rockwell"/>
      <sheetName val="September 2011 KRS "/>
      <sheetName val="September 2011 RRS"/>
      <sheetName val="September 2011 Rockwell"/>
      <sheetName val="October 2011 KRS"/>
      <sheetName val="October 2011 RRS"/>
      <sheetName val="October 2011 Rockwell"/>
      <sheetName val="November 2011 KRS"/>
      <sheetName val="November 2011 RRS"/>
      <sheetName val="November 2011 Rockwell"/>
      <sheetName val="December 2011 KRS "/>
      <sheetName val="December 2011 RRS"/>
      <sheetName val="December 2011 Rockwell"/>
      <sheetName val="KAW Instructions"/>
      <sheetName val="JDE Screenshots"/>
      <sheetName val="Example"/>
      <sheetName val="Example 2"/>
      <sheetName val="Instructions"/>
      <sheetName val="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-19973</v>
          </cell>
          <cell r="L6">
            <v>8304.77</v>
          </cell>
        </row>
        <row r="7">
          <cell r="J7">
            <v>-7125</v>
          </cell>
          <cell r="L7">
            <v>3620.93</v>
          </cell>
        </row>
        <row r="8">
          <cell r="J8">
            <v>-45471</v>
          </cell>
          <cell r="L8">
            <v>9107.84</v>
          </cell>
        </row>
        <row r="10">
          <cell r="J10">
            <v>-27813</v>
          </cell>
          <cell r="L10">
            <v>8082.46</v>
          </cell>
        </row>
        <row r="11">
          <cell r="J11">
            <v>-279835</v>
          </cell>
          <cell r="L11">
            <v>41191.71</v>
          </cell>
        </row>
        <row r="12">
          <cell r="J12">
            <v>-15119</v>
          </cell>
          <cell r="L12">
            <v>4630.95</v>
          </cell>
        </row>
        <row r="13">
          <cell r="J13">
            <v>-1240</v>
          </cell>
          <cell r="L13">
            <v>1357.06</v>
          </cell>
        </row>
        <row r="14">
          <cell r="J14">
            <v>0</v>
          </cell>
        </row>
        <row r="15">
          <cell r="J15">
            <v>-2800</v>
          </cell>
          <cell r="L15">
            <v>392.84</v>
          </cell>
        </row>
        <row r="16">
          <cell r="J16">
            <v>-34240</v>
          </cell>
          <cell r="L16">
            <v>4050.59</v>
          </cell>
        </row>
      </sheetData>
      <sheetData sheetId="19">
        <row r="6">
          <cell r="J6">
            <v>-8105</v>
          </cell>
          <cell r="L6">
            <v>3441.38</v>
          </cell>
        </row>
        <row r="7">
          <cell r="J7">
            <v>-2940</v>
          </cell>
          <cell r="L7">
            <v>1450.89</v>
          </cell>
        </row>
        <row r="9">
          <cell r="J9">
            <v>-345</v>
          </cell>
          <cell r="L9">
            <v>312.36</v>
          </cell>
        </row>
        <row r="10">
          <cell r="J10">
            <v>-33225</v>
          </cell>
          <cell r="L10">
            <v>6654.97</v>
          </cell>
        </row>
        <row r="12">
          <cell r="J12">
            <v>-12543</v>
          </cell>
          <cell r="L12">
            <v>3670.08</v>
          </cell>
        </row>
        <row r="13">
          <cell r="J13">
            <v>-177370</v>
          </cell>
          <cell r="L13">
            <v>26091.13</v>
          </cell>
        </row>
        <row r="15">
          <cell r="J15">
            <v>-10081</v>
          </cell>
          <cell r="L15">
            <v>3087.81</v>
          </cell>
        </row>
        <row r="17">
          <cell r="J17">
            <v>-3740</v>
          </cell>
          <cell r="L17">
            <v>9272.58</v>
          </cell>
        </row>
        <row r="18">
          <cell r="J18">
            <v>-950</v>
          </cell>
          <cell r="L18">
            <v>138.51</v>
          </cell>
        </row>
        <row r="19">
          <cell r="J19">
            <v>-12967</v>
          </cell>
          <cell r="L19">
            <v>1037.3599999999999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F14"/>
  <sheetViews>
    <sheetView zoomScale="126" workbookViewId="0">
      <selection activeCell="C24" sqref="C24:C25"/>
    </sheetView>
  </sheetViews>
  <sheetFormatPr defaultRowHeight="15"/>
  <cols>
    <col min="1" max="1" width="50.28515625" style="377" customWidth="1"/>
    <col min="2" max="2" width="17.42578125" style="377" hidden="1" customWidth="1"/>
    <col min="3" max="4" width="16.5703125" style="377" bestFit="1" customWidth="1"/>
    <col min="5" max="5" width="18.5703125" style="367" customWidth="1"/>
    <col min="6" max="6" width="12.85546875" style="368" bestFit="1" customWidth="1"/>
    <col min="7" max="16384" width="9.140625" style="369"/>
  </cols>
  <sheetData>
    <row r="1" spans="1:5" ht="16.5" thickBot="1">
      <c r="A1" s="574" t="s">
        <v>462</v>
      </c>
      <c r="B1" s="575"/>
      <c r="C1" s="575"/>
      <c r="D1" s="576"/>
    </row>
    <row r="2" spans="1:5">
      <c r="A2" s="549"/>
      <c r="B2" s="550">
        <v>2012</v>
      </c>
      <c r="C2" s="551">
        <v>2013</v>
      </c>
      <c r="D2" s="552">
        <v>2014</v>
      </c>
    </row>
    <row r="3" spans="1:5" hidden="1">
      <c r="A3" s="370" t="s">
        <v>525</v>
      </c>
      <c r="B3" s="547">
        <f>'[3]Pumpage 2012'!$F$16</f>
        <v>13692.683999337938</v>
      </c>
      <c r="C3" s="547">
        <f>'[3]Pumpage 2013'!$F$16</f>
        <v>13457.494191019528</v>
      </c>
      <c r="D3" s="548">
        <f>'[3]Pumpage 2014'!$F$16</f>
        <v>13259.227258929859</v>
      </c>
    </row>
    <row r="4" spans="1:5">
      <c r="A4" s="373" t="s">
        <v>541</v>
      </c>
      <c r="B4" s="553"/>
      <c r="C4" s="558">
        <f>[4]Summary!$C$5</f>
        <v>13962.867971095258</v>
      </c>
      <c r="D4" s="559">
        <f>[4]Summary!$D$5</f>
        <v>13846.156374703696</v>
      </c>
    </row>
    <row r="5" spans="1:5" ht="15.75" customHeight="1" thickBot="1">
      <c r="A5" s="554" t="s">
        <v>545</v>
      </c>
      <c r="B5" s="555"/>
      <c r="C5" s="556">
        <f>'Pumpage 2013'!F16</f>
        <v>13920.706969744855</v>
      </c>
      <c r="D5" s="557">
        <f>'Pumpage 2014'!F16</f>
        <v>13789.995373353297</v>
      </c>
      <c r="E5" s="371"/>
    </row>
    <row r="6" spans="1:5" ht="15.75" customHeight="1" thickBot="1">
      <c r="A6" s="445" t="s">
        <v>523</v>
      </c>
      <c r="B6" s="446"/>
      <c r="C6" s="572">
        <f>C5-C4</f>
        <v>-42.161001350403239</v>
      </c>
      <c r="D6" s="573">
        <f>D5-D4</f>
        <v>-56.161001350399602</v>
      </c>
      <c r="E6" s="371"/>
    </row>
    <row r="7" spans="1:5" ht="16.5" thickBot="1">
      <c r="A7" s="577" t="s">
        <v>156</v>
      </c>
      <c r="B7" s="578"/>
      <c r="C7" s="578"/>
      <c r="D7" s="579"/>
    </row>
    <row r="8" spans="1:5" ht="15.75" thickBot="1">
      <c r="A8" s="441"/>
      <c r="B8" s="451">
        <v>2012</v>
      </c>
      <c r="C8" s="442">
        <f>C2</f>
        <v>2013</v>
      </c>
      <c r="D8" s="443">
        <f>D2</f>
        <v>2014</v>
      </c>
    </row>
    <row r="9" spans="1:5" ht="15.75" customHeight="1">
      <c r="A9" s="370" t="s">
        <v>546</v>
      </c>
      <c r="B9" s="452"/>
      <c r="C9" s="375">
        <f>[4]Summary!$C$10</f>
        <v>1847838.7965347837</v>
      </c>
      <c r="D9" s="401">
        <f>[4]Summary!$D$10</f>
        <v>1763015.1704584709</v>
      </c>
      <c r="E9" s="371"/>
    </row>
    <row r="10" spans="1:5" ht="15.75" thickBot="1">
      <c r="A10" s="372" t="s">
        <v>547</v>
      </c>
      <c r="B10" s="450"/>
      <c r="C10" s="376">
        <f>'Chem F13'!O489</f>
        <v>1843341.6998809201</v>
      </c>
      <c r="D10" s="402">
        <f>'Chem F14'!O489</f>
        <v>1756852.338275874</v>
      </c>
      <c r="E10" s="371"/>
    </row>
    <row r="11" spans="1:5" ht="15.75" hidden="1" thickBot="1">
      <c r="A11" s="441" t="s">
        <v>526</v>
      </c>
      <c r="B11" s="453">
        <f>'[3]Chem F12'!$O$499</f>
        <v>1912349.269215818</v>
      </c>
      <c r="C11" s="447">
        <f>'[3]Chem F13'!$O$499</f>
        <v>1898510.0297240396</v>
      </c>
      <c r="D11" s="448">
        <f>'[3]Chem F14'!$O$499</f>
        <v>1911894.963760705</v>
      </c>
      <c r="E11" s="371"/>
    </row>
    <row r="12" spans="1:5" ht="15.75" thickBot="1">
      <c r="A12" s="445" t="s">
        <v>523</v>
      </c>
      <c r="B12" s="449"/>
      <c r="C12" s="545">
        <f>C10-C9</f>
        <v>-4497.0966538635548</v>
      </c>
      <c r="D12" s="546">
        <f>D10-D9</f>
        <v>-6162.8321825969033</v>
      </c>
      <c r="E12" s="374"/>
    </row>
    <row r="14" spans="1:5">
      <c r="C14" s="378"/>
      <c r="D14" s="378"/>
    </row>
  </sheetData>
  <mergeCells count="2">
    <mergeCell ref="A1:D1"/>
    <mergeCell ref="A7:D7"/>
  </mergeCells>
  <phoneticPr fontId="6"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dimension ref="A1:L32"/>
  <sheetViews>
    <sheetView view="pageBreakPreview" zoomScale="60" zoomScaleNormal="100" workbookViewId="0">
      <selection activeCell="E41" sqref="E41"/>
    </sheetView>
  </sheetViews>
  <sheetFormatPr defaultRowHeight="12.75"/>
  <cols>
    <col min="1" max="1" width="10.42578125" bestFit="1" customWidth="1"/>
    <col min="2" max="2" width="12.5703125" bestFit="1" customWidth="1"/>
    <col min="3" max="3" width="12.28515625" bestFit="1" customWidth="1"/>
    <col min="5" max="6" width="12.28515625" bestFit="1" customWidth="1"/>
    <col min="8" max="8" width="11.28515625" bestFit="1" customWidth="1"/>
    <col min="9" max="9" width="11.5703125" bestFit="1" customWidth="1"/>
    <col min="11" max="12" width="6.85546875" bestFit="1" customWidth="1"/>
  </cols>
  <sheetData>
    <row r="1" spans="1:12">
      <c r="A1" s="560"/>
      <c r="B1" s="642" t="s">
        <v>121</v>
      </c>
      <c r="C1" s="642"/>
      <c r="D1" s="561"/>
      <c r="E1" s="644" t="s">
        <v>542</v>
      </c>
      <c r="F1" s="644"/>
      <c r="G1" s="563"/>
      <c r="H1" s="642" t="s">
        <v>120</v>
      </c>
      <c r="I1" s="642"/>
      <c r="J1" s="564"/>
      <c r="K1" s="642" t="s">
        <v>543</v>
      </c>
      <c r="L1" s="642"/>
    </row>
    <row r="2" spans="1:12">
      <c r="A2" s="560"/>
      <c r="B2" s="562" t="s">
        <v>502</v>
      </c>
      <c r="C2" s="562" t="s">
        <v>503</v>
      </c>
      <c r="D2" s="562"/>
      <c r="E2" s="562" t="s">
        <v>502</v>
      </c>
      <c r="F2" s="562" t="s">
        <v>503</v>
      </c>
      <c r="G2" s="562"/>
      <c r="H2" s="562" t="s">
        <v>502</v>
      </c>
      <c r="I2" s="562" t="s">
        <v>503</v>
      </c>
      <c r="J2" s="564"/>
      <c r="K2" s="562" t="s">
        <v>502</v>
      </c>
      <c r="L2" s="562" t="s">
        <v>503</v>
      </c>
    </row>
    <row r="3" spans="1:12">
      <c r="A3" s="560" t="s">
        <v>34</v>
      </c>
      <c r="B3" s="565">
        <v>964553.64626822004</v>
      </c>
      <c r="C3" s="565">
        <v>954142.95598994673</v>
      </c>
      <c r="D3" s="565"/>
      <c r="E3" s="566">
        <v>900746.71436142735</v>
      </c>
      <c r="F3" s="566">
        <v>890336.02408315404</v>
      </c>
      <c r="G3" s="566"/>
      <c r="H3" s="565">
        <v>63806.931906792663</v>
      </c>
      <c r="I3" s="565">
        <v>63806.931906792663</v>
      </c>
      <c r="J3" s="564"/>
      <c r="K3" s="567">
        <f>H3/B3</f>
        <v>6.6151770980967736E-2</v>
      </c>
      <c r="L3" s="567">
        <f>I3/C3</f>
        <v>6.6873555483718275E-2</v>
      </c>
    </row>
    <row r="4" spans="1:12">
      <c r="A4" s="560" t="s">
        <v>35</v>
      </c>
      <c r="B4" s="565">
        <v>939268.72936779808</v>
      </c>
      <c r="C4" s="565">
        <v>927729.69513066218</v>
      </c>
      <c r="D4" s="565"/>
      <c r="E4" s="566">
        <v>813375.33993023227</v>
      </c>
      <c r="F4" s="566">
        <v>803836.30569309636</v>
      </c>
      <c r="G4" s="566"/>
      <c r="H4" s="565">
        <v>125893.38943756584</v>
      </c>
      <c r="I4" s="565">
        <v>123893.38943756584</v>
      </c>
      <c r="J4" s="564"/>
      <c r="K4" s="567">
        <f t="shared" ref="K4:L15" si="0">H4/B4</f>
        <v>0.13403340865217778</v>
      </c>
      <c r="L4" s="567">
        <f t="shared" si="0"/>
        <v>0.13354470605806856</v>
      </c>
    </row>
    <row r="5" spans="1:12">
      <c r="A5" s="560" t="s">
        <v>36</v>
      </c>
      <c r="B5" s="565">
        <v>1008809.178305415</v>
      </c>
      <c r="C5" s="565">
        <v>995789.387011379</v>
      </c>
      <c r="D5" s="565"/>
      <c r="E5" s="566">
        <v>819949.98025992</v>
      </c>
      <c r="F5" s="566">
        <v>808930.18896588404</v>
      </c>
      <c r="G5" s="566"/>
      <c r="H5" s="565">
        <v>188859.19804549491</v>
      </c>
      <c r="I5" s="565">
        <v>186859.19804549491</v>
      </c>
      <c r="J5" s="564"/>
      <c r="K5" s="567">
        <f t="shared" si="0"/>
        <v>0.18721003149747134</v>
      </c>
      <c r="L5" s="567">
        <f t="shared" si="0"/>
        <v>0.18764931669567958</v>
      </c>
    </row>
    <row r="6" spans="1:12">
      <c r="A6" s="560" t="s">
        <v>37</v>
      </c>
      <c r="B6" s="565">
        <v>986900.64675765974</v>
      </c>
      <c r="C6" s="565">
        <v>976617.56484327535</v>
      </c>
      <c r="D6" s="565"/>
      <c r="E6" s="566">
        <v>877097.47454492026</v>
      </c>
      <c r="F6" s="566">
        <v>866814.39263053588</v>
      </c>
      <c r="G6" s="566"/>
      <c r="H6" s="565">
        <v>109803.1722127395</v>
      </c>
      <c r="I6" s="565">
        <v>109803.1722127395</v>
      </c>
      <c r="J6" s="564"/>
      <c r="K6" s="567">
        <f t="shared" si="0"/>
        <v>0.11126061430143376</v>
      </c>
      <c r="L6" s="567">
        <f t="shared" si="0"/>
        <v>0.11243210870404567</v>
      </c>
    </row>
    <row r="7" spans="1:12">
      <c r="A7" s="560" t="s">
        <v>33</v>
      </c>
      <c r="B7" s="565">
        <v>1140434.4088428121</v>
      </c>
      <c r="C7" s="565">
        <v>1127747.9983394551</v>
      </c>
      <c r="D7" s="565"/>
      <c r="E7" s="566">
        <v>916568.28621365852</v>
      </c>
      <c r="F7" s="566">
        <v>905881.87571030145</v>
      </c>
      <c r="G7" s="566"/>
      <c r="H7" s="565">
        <v>223866.12262915357</v>
      </c>
      <c r="I7" s="565">
        <v>221866.12262915357</v>
      </c>
      <c r="J7" s="564"/>
      <c r="K7" s="567">
        <f t="shared" si="0"/>
        <v>0.1962989900105771</v>
      </c>
      <c r="L7" s="567">
        <f t="shared" si="0"/>
        <v>0.19673377647829021</v>
      </c>
    </row>
    <row r="8" spans="1:12">
      <c r="A8" s="560" t="s">
        <v>38</v>
      </c>
      <c r="B8" s="565">
        <v>1405496.0921573909</v>
      </c>
      <c r="C8" s="565">
        <v>1394692.6538253094</v>
      </c>
      <c r="D8" s="565"/>
      <c r="E8" s="566">
        <v>1121727.7530208742</v>
      </c>
      <c r="F8" s="566">
        <v>1112924.3146887927</v>
      </c>
      <c r="G8" s="566"/>
      <c r="H8" s="565">
        <v>283768.33913651662</v>
      </c>
      <c r="I8" s="565">
        <v>281768.33913651662</v>
      </c>
      <c r="J8" s="564"/>
      <c r="K8" s="567">
        <f t="shared" si="0"/>
        <v>0.20189905949929851</v>
      </c>
      <c r="L8" s="567">
        <f t="shared" si="0"/>
        <v>0.20202898349230797</v>
      </c>
    </row>
    <row r="9" spans="1:12">
      <c r="A9" s="560" t="s">
        <v>39</v>
      </c>
      <c r="B9" s="565">
        <v>1400761.1300923384</v>
      </c>
      <c r="C9" s="565">
        <v>1389943.7240871605</v>
      </c>
      <c r="D9" s="565"/>
      <c r="E9" s="566">
        <v>1226460.4093096047</v>
      </c>
      <c r="F9" s="566">
        <v>1217643.0033044268</v>
      </c>
      <c r="G9" s="566"/>
      <c r="H9" s="565">
        <v>174300.72078273381</v>
      </c>
      <c r="I9" s="565">
        <v>172300.72078273381</v>
      </c>
      <c r="J9" s="564"/>
      <c r="K9" s="567">
        <f t="shared" si="0"/>
        <v>0.12443286513186147</v>
      </c>
      <c r="L9" s="567">
        <f t="shared" si="0"/>
        <v>0.12396237185494079</v>
      </c>
    </row>
    <row r="10" spans="1:12">
      <c r="A10" s="560" t="s">
        <v>40</v>
      </c>
      <c r="B10" s="565">
        <v>1456018.4852744304</v>
      </c>
      <c r="C10" s="565">
        <v>1444989.4178656749</v>
      </c>
      <c r="D10" s="565"/>
      <c r="E10" s="566">
        <v>1239436.0273686196</v>
      </c>
      <c r="F10" s="566">
        <v>1230406.9599598642</v>
      </c>
      <c r="G10" s="566"/>
      <c r="H10" s="565">
        <v>216582.45790581079</v>
      </c>
      <c r="I10" s="565">
        <v>214582.45790581079</v>
      </c>
      <c r="J10" s="564"/>
      <c r="K10" s="567">
        <f t="shared" si="0"/>
        <v>0.1487497996050437</v>
      </c>
      <c r="L10" s="567">
        <f t="shared" si="0"/>
        <v>0.14850105838336194</v>
      </c>
    </row>
    <row r="11" spans="1:12">
      <c r="A11" s="560" t="s">
        <v>41</v>
      </c>
      <c r="B11" s="565">
        <v>1225233.475707582</v>
      </c>
      <c r="C11" s="565">
        <v>1215187.6722590942</v>
      </c>
      <c r="D11" s="565"/>
      <c r="E11" s="566">
        <v>1334539.1698154728</v>
      </c>
      <c r="F11" s="566">
        <v>1326493.366366985</v>
      </c>
      <c r="G11" s="566"/>
      <c r="H11" s="565">
        <v>-109305.69410789087</v>
      </c>
      <c r="I11" s="565">
        <v>-111305.69410789087</v>
      </c>
      <c r="J11" s="564"/>
      <c r="K11" s="567">
        <f t="shared" si="0"/>
        <v>-8.9212134891079417E-2</v>
      </c>
      <c r="L11" s="567">
        <f t="shared" si="0"/>
        <v>-9.1595476689594835E-2</v>
      </c>
    </row>
    <row r="12" spans="1:12">
      <c r="A12" s="568" t="s">
        <v>42</v>
      </c>
      <c r="B12" s="565">
        <v>1261486.2875196782</v>
      </c>
      <c r="C12" s="565">
        <v>1249919.5050090705</v>
      </c>
      <c r="D12" s="565"/>
      <c r="E12" s="566">
        <v>1132241.475880001</v>
      </c>
      <c r="F12" s="566">
        <v>1122674.6933693932</v>
      </c>
      <c r="G12" s="566"/>
      <c r="H12" s="565">
        <v>129244.81163967734</v>
      </c>
      <c r="I12" s="565">
        <v>127244.81163967734</v>
      </c>
      <c r="J12" s="564"/>
      <c r="K12" s="567">
        <f t="shared" si="0"/>
        <v>0.10245439282086626</v>
      </c>
      <c r="L12" s="567">
        <f t="shared" si="0"/>
        <v>0.10180240497867415</v>
      </c>
    </row>
    <row r="13" spans="1:12">
      <c r="A13" s="560" t="s">
        <v>43</v>
      </c>
      <c r="B13" s="565">
        <v>1104694.2633822332</v>
      </c>
      <c r="C13" s="565">
        <v>1094845.9667575562</v>
      </c>
      <c r="D13" s="565"/>
      <c r="E13" s="566">
        <v>979812.62735625776</v>
      </c>
      <c r="F13" s="566">
        <v>969964.33073158073</v>
      </c>
      <c r="G13" s="566"/>
      <c r="H13" s="565">
        <v>124881.63602597543</v>
      </c>
      <c r="I13" s="565">
        <v>124881.63602597543</v>
      </c>
      <c r="J13" s="564"/>
      <c r="K13" s="567">
        <f t="shared" si="0"/>
        <v>0.11304633342045822</v>
      </c>
      <c r="L13" s="567">
        <f t="shared" si="0"/>
        <v>0.1140632014161946</v>
      </c>
    </row>
    <row r="14" spans="1:12">
      <c r="A14" s="560" t="s">
        <v>44</v>
      </c>
      <c r="B14" s="565">
        <v>1027050.6260692995</v>
      </c>
      <c r="C14" s="565">
        <v>1016388.8322347113</v>
      </c>
      <c r="D14" s="565"/>
      <c r="E14" s="566">
        <v>883751.65803426958</v>
      </c>
      <c r="F14" s="566">
        <v>873089.86419968132</v>
      </c>
      <c r="G14" s="566"/>
      <c r="H14" s="565">
        <v>143298.96803502992</v>
      </c>
      <c r="I14" s="565">
        <v>143298.96803502992</v>
      </c>
      <c r="J14" s="564"/>
      <c r="K14" s="567">
        <f t="shared" si="0"/>
        <v>0.13952473655895606</v>
      </c>
      <c r="L14" s="567">
        <f t="shared" si="0"/>
        <v>0.14098833388395432</v>
      </c>
    </row>
    <row r="15" spans="1:12">
      <c r="A15" s="569" t="s">
        <v>19</v>
      </c>
      <c r="B15" s="570">
        <v>13920706.969744859</v>
      </c>
      <c r="C15" s="570">
        <v>13787995.373353293</v>
      </c>
      <c r="D15" s="570"/>
      <c r="E15" s="571">
        <v>12245706.916095257</v>
      </c>
      <c r="F15" s="571">
        <v>12128995.319703694</v>
      </c>
      <c r="G15" s="571"/>
      <c r="H15" s="565">
        <v>1675000.0536495994</v>
      </c>
      <c r="I15" s="565">
        <v>1659000.0536495994</v>
      </c>
      <c r="J15" s="564"/>
      <c r="K15" s="567">
        <f t="shared" si="0"/>
        <v>0.12032435258424946</v>
      </c>
      <c r="L15" s="567">
        <f t="shared" si="0"/>
        <v>0.12032206341291543</v>
      </c>
    </row>
    <row r="18" spans="1:9">
      <c r="A18" s="464"/>
      <c r="B18" s="643" t="s">
        <v>121</v>
      </c>
      <c r="C18" s="643"/>
      <c r="D18" s="464"/>
      <c r="E18" s="643" t="s">
        <v>538</v>
      </c>
      <c r="F18" s="643"/>
      <c r="G18" s="464"/>
      <c r="H18" s="643" t="s">
        <v>120</v>
      </c>
      <c r="I18" s="643"/>
    </row>
    <row r="19" spans="1:9">
      <c r="A19" s="465"/>
      <c r="B19" s="466" t="s">
        <v>502</v>
      </c>
      <c r="C19" s="466" t="s">
        <v>503</v>
      </c>
      <c r="D19" s="467"/>
      <c r="E19" s="466" t="s">
        <v>502</v>
      </c>
      <c r="F19" s="466" t="s">
        <v>503</v>
      </c>
      <c r="G19" s="467"/>
      <c r="H19" s="466" t="s">
        <v>502</v>
      </c>
      <c r="I19" s="466" t="s">
        <v>503</v>
      </c>
    </row>
    <row r="20" spans="1:9">
      <c r="A20" s="465" t="s">
        <v>34</v>
      </c>
      <c r="B20" s="468">
        <f>B3/1000</f>
        <v>964.55364626822006</v>
      </c>
      <c r="C20" s="468">
        <f t="shared" ref="C20:C31" si="1">C3/1000</f>
        <v>954.1429559899467</v>
      </c>
      <c r="D20" s="467"/>
      <c r="E20" s="468">
        <f t="shared" ref="E20:F32" si="2">E3/1000</f>
        <v>900.74671436142739</v>
      </c>
      <c r="F20" s="468">
        <f t="shared" si="2"/>
        <v>890.33602408315403</v>
      </c>
      <c r="G20" s="467"/>
      <c r="H20" s="468">
        <f t="shared" ref="H20:I32" si="3">H3/1000</f>
        <v>63.806931906792663</v>
      </c>
      <c r="I20" s="468">
        <f t="shared" si="3"/>
        <v>63.806931906792663</v>
      </c>
    </row>
    <row r="21" spans="1:9">
      <c r="A21" s="465" t="s">
        <v>35</v>
      </c>
      <c r="B21" s="468">
        <f t="shared" ref="B21:B31" si="4">B4/1000</f>
        <v>939.26872936779807</v>
      </c>
      <c r="C21" s="468">
        <f t="shared" si="1"/>
        <v>927.72969513066221</v>
      </c>
      <c r="D21" s="467"/>
      <c r="E21" s="468">
        <f t="shared" si="2"/>
        <v>813.37533993023226</v>
      </c>
      <c r="F21" s="468">
        <f t="shared" si="2"/>
        <v>803.83630569309639</v>
      </c>
      <c r="G21" s="467"/>
      <c r="H21" s="468">
        <f t="shared" si="3"/>
        <v>125.89338943756584</v>
      </c>
      <c r="I21" s="468">
        <f t="shared" si="3"/>
        <v>123.89338943756584</v>
      </c>
    </row>
    <row r="22" spans="1:9">
      <c r="A22" s="465" t="s">
        <v>36</v>
      </c>
      <c r="B22" s="468">
        <f t="shared" si="4"/>
        <v>1008.809178305415</v>
      </c>
      <c r="C22" s="468">
        <f t="shared" si="1"/>
        <v>995.78938701137895</v>
      </c>
      <c r="D22" s="467"/>
      <c r="E22" s="468">
        <f t="shared" si="2"/>
        <v>819.94998025992004</v>
      </c>
      <c r="F22" s="468">
        <f t="shared" si="2"/>
        <v>808.93018896588399</v>
      </c>
      <c r="G22" s="467"/>
      <c r="H22" s="468">
        <f t="shared" si="3"/>
        <v>188.85919804549491</v>
      </c>
      <c r="I22" s="468">
        <f t="shared" si="3"/>
        <v>186.85919804549491</v>
      </c>
    </row>
    <row r="23" spans="1:9">
      <c r="A23" s="465" t="s">
        <v>37</v>
      </c>
      <c r="B23" s="468">
        <f t="shared" si="4"/>
        <v>986.90064675765973</v>
      </c>
      <c r="C23" s="468">
        <f t="shared" si="1"/>
        <v>976.61756484327532</v>
      </c>
      <c r="D23" s="467"/>
      <c r="E23" s="468">
        <f t="shared" si="2"/>
        <v>877.09747454492026</v>
      </c>
      <c r="F23" s="468">
        <f t="shared" si="2"/>
        <v>866.81439263053585</v>
      </c>
      <c r="G23" s="467"/>
      <c r="H23" s="468">
        <f t="shared" si="3"/>
        <v>109.8031722127395</v>
      </c>
      <c r="I23" s="468">
        <f t="shared" si="3"/>
        <v>109.8031722127395</v>
      </c>
    </row>
    <row r="24" spans="1:9">
      <c r="A24" s="465" t="s">
        <v>33</v>
      </c>
      <c r="B24" s="468">
        <f t="shared" si="4"/>
        <v>1140.434408842812</v>
      </c>
      <c r="C24" s="468">
        <f t="shared" si="1"/>
        <v>1127.7479983394551</v>
      </c>
      <c r="D24" s="467"/>
      <c r="E24" s="468">
        <f t="shared" si="2"/>
        <v>916.56828621365855</v>
      </c>
      <c r="F24" s="468">
        <f t="shared" si="2"/>
        <v>905.88187571030141</v>
      </c>
      <c r="G24" s="467"/>
      <c r="H24" s="468">
        <f t="shared" si="3"/>
        <v>223.86612262915358</v>
      </c>
      <c r="I24" s="468">
        <f t="shared" si="3"/>
        <v>221.86612262915358</v>
      </c>
    </row>
    <row r="25" spans="1:9">
      <c r="A25" s="465" t="s">
        <v>38</v>
      </c>
      <c r="B25" s="468">
        <f t="shared" si="4"/>
        <v>1405.4960921573909</v>
      </c>
      <c r="C25" s="468">
        <f t="shared" si="1"/>
        <v>1394.6926538253094</v>
      </c>
      <c r="D25" s="467"/>
      <c r="E25" s="468">
        <f t="shared" si="2"/>
        <v>1121.7277530208742</v>
      </c>
      <c r="F25" s="468">
        <f t="shared" si="2"/>
        <v>1112.9243146887927</v>
      </c>
      <c r="G25" s="467"/>
      <c r="H25" s="468">
        <f t="shared" si="3"/>
        <v>283.7683391365166</v>
      </c>
      <c r="I25" s="468">
        <f t="shared" si="3"/>
        <v>281.7683391365166</v>
      </c>
    </row>
    <row r="26" spans="1:9">
      <c r="A26" s="465" t="s">
        <v>39</v>
      </c>
      <c r="B26" s="468">
        <f t="shared" si="4"/>
        <v>1400.7611300923384</v>
      </c>
      <c r="C26" s="468">
        <f t="shared" si="1"/>
        <v>1389.9437240871605</v>
      </c>
      <c r="D26" s="467"/>
      <c r="E26" s="468">
        <f t="shared" si="2"/>
        <v>1226.4604093096048</v>
      </c>
      <c r="F26" s="468">
        <f t="shared" si="2"/>
        <v>1217.6430033044269</v>
      </c>
      <c r="G26" s="467"/>
      <c r="H26" s="468">
        <f t="shared" si="3"/>
        <v>174.3007207827338</v>
      </c>
      <c r="I26" s="468">
        <f t="shared" si="3"/>
        <v>172.3007207827338</v>
      </c>
    </row>
    <row r="27" spans="1:9">
      <c r="A27" s="465" t="s">
        <v>40</v>
      </c>
      <c r="B27" s="468">
        <f t="shared" si="4"/>
        <v>1456.0184852744303</v>
      </c>
      <c r="C27" s="468">
        <f t="shared" si="1"/>
        <v>1444.989417865675</v>
      </c>
      <c r="D27" s="467"/>
      <c r="E27" s="468">
        <f t="shared" si="2"/>
        <v>1239.4360273686195</v>
      </c>
      <c r="F27" s="468">
        <f t="shared" si="2"/>
        <v>1230.4069599598643</v>
      </c>
      <c r="G27" s="467"/>
      <c r="H27" s="468">
        <f t="shared" si="3"/>
        <v>216.5824579058108</v>
      </c>
      <c r="I27" s="468">
        <f t="shared" si="3"/>
        <v>214.5824579058108</v>
      </c>
    </row>
    <row r="28" spans="1:9">
      <c r="A28" s="465" t="s">
        <v>41</v>
      </c>
      <c r="B28" s="468">
        <f t="shared" si="4"/>
        <v>1225.2334757075819</v>
      </c>
      <c r="C28" s="468">
        <f t="shared" si="1"/>
        <v>1215.1876722590941</v>
      </c>
      <c r="D28" s="467"/>
      <c r="E28" s="468">
        <f t="shared" si="2"/>
        <v>1334.5391698154729</v>
      </c>
      <c r="F28" s="468">
        <f t="shared" si="2"/>
        <v>1326.4933663669851</v>
      </c>
      <c r="G28" s="467"/>
      <c r="H28" s="468">
        <f t="shared" si="3"/>
        <v>-109.30569410789087</v>
      </c>
      <c r="I28" s="468">
        <f t="shared" si="3"/>
        <v>-111.30569410789087</v>
      </c>
    </row>
    <row r="29" spans="1:9">
      <c r="A29" s="469" t="s">
        <v>42</v>
      </c>
      <c r="B29" s="468">
        <f t="shared" si="4"/>
        <v>1261.4862875196782</v>
      </c>
      <c r="C29" s="468">
        <f t="shared" si="1"/>
        <v>1249.9195050090705</v>
      </c>
      <c r="D29" s="467"/>
      <c r="E29" s="468">
        <f t="shared" si="2"/>
        <v>1132.241475880001</v>
      </c>
      <c r="F29" s="468">
        <f t="shared" si="2"/>
        <v>1122.6746933693933</v>
      </c>
      <c r="G29" s="467"/>
      <c r="H29" s="468">
        <f t="shared" si="3"/>
        <v>129.24481163967735</v>
      </c>
      <c r="I29" s="468">
        <f t="shared" si="3"/>
        <v>127.24481163967734</v>
      </c>
    </row>
    <row r="30" spans="1:9">
      <c r="A30" s="465" t="s">
        <v>43</v>
      </c>
      <c r="B30" s="468">
        <f t="shared" si="4"/>
        <v>1104.6942633822332</v>
      </c>
      <c r="C30" s="468">
        <f t="shared" si="1"/>
        <v>1094.8459667575562</v>
      </c>
      <c r="D30" s="467"/>
      <c r="E30" s="468">
        <f t="shared" si="2"/>
        <v>979.81262735625774</v>
      </c>
      <c r="F30" s="468">
        <f t="shared" si="2"/>
        <v>969.96433073158073</v>
      </c>
      <c r="G30" s="467"/>
      <c r="H30" s="468">
        <f t="shared" si="3"/>
        <v>124.88163602597542</v>
      </c>
      <c r="I30" s="468">
        <f t="shared" si="3"/>
        <v>124.88163602597542</v>
      </c>
    </row>
    <row r="31" spans="1:9">
      <c r="A31" s="465" t="s">
        <v>44</v>
      </c>
      <c r="B31" s="468">
        <f t="shared" si="4"/>
        <v>1027.0506260692996</v>
      </c>
      <c r="C31" s="468">
        <f t="shared" si="1"/>
        <v>1016.3888322347112</v>
      </c>
      <c r="D31" s="467"/>
      <c r="E31" s="468">
        <f t="shared" si="2"/>
        <v>883.75165803426955</v>
      </c>
      <c r="F31" s="468">
        <f t="shared" si="2"/>
        <v>873.0898641996813</v>
      </c>
      <c r="G31" s="467"/>
      <c r="H31" s="468">
        <f t="shared" si="3"/>
        <v>143.29896803502993</v>
      </c>
      <c r="I31" s="468">
        <f t="shared" si="3"/>
        <v>143.29896803502993</v>
      </c>
    </row>
    <row r="32" spans="1:9">
      <c r="A32" s="470" t="s">
        <v>19</v>
      </c>
      <c r="B32" s="468">
        <f>B15/1000</f>
        <v>13920.706969744859</v>
      </c>
      <c r="C32" s="468">
        <f>C15/1000</f>
        <v>13787.995373353293</v>
      </c>
      <c r="D32" s="467"/>
      <c r="E32" s="468">
        <f t="shared" si="2"/>
        <v>12245.706916095256</v>
      </c>
      <c r="F32" s="468">
        <f t="shared" si="2"/>
        <v>12128.995319703694</v>
      </c>
      <c r="G32" s="467"/>
      <c r="H32" s="468">
        <f t="shared" si="3"/>
        <v>1675.0000536495995</v>
      </c>
      <c r="I32" s="468">
        <f t="shared" si="3"/>
        <v>1659.0000536495995</v>
      </c>
    </row>
  </sheetData>
  <mergeCells count="7">
    <mergeCell ref="K1:L1"/>
    <mergeCell ref="B18:C18"/>
    <mergeCell ref="E18:F18"/>
    <mergeCell ref="H18:I18"/>
    <mergeCell ref="B1:C1"/>
    <mergeCell ref="E1:F1"/>
    <mergeCell ref="H1:I1"/>
  </mergeCells>
  <phoneticPr fontId="6" type="noConversion"/>
  <pageMargins left="0.7" right="0.7" top="0.75" bottom="0.75" header="0.3" footer="0.3"/>
  <pageSetup scale="73"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V81"/>
  <sheetViews>
    <sheetView topLeftCell="A11" zoomScale="115" workbookViewId="0">
      <selection activeCell="A11" sqref="A1:IV65536"/>
    </sheetView>
  </sheetViews>
  <sheetFormatPr defaultRowHeight="12.75"/>
  <cols>
    <col min="1" max="1" width="9.7109375" style="265" customWidth="1"/>
    <col min="2" max="2" width="6.28515625" style="265" customWidth="1"/>
    <col min="3" max="3" width="12.5703125" style="265" bestFit="1" customWidth="1"/>
    <col min="4" max="4" width="11.5703125" style="265" customWidth="1"/>
    <col min="5" max="5" width="10" style="265" bestFit="1" customWidth="1"/>
    <col min="6" max="6" width="11.7109375" style="265" bestFit="1" customWidth="1"/>
    <col min="7" max="7" width="13.140625" style="265" bestFit="1" customWidth="1"/>
    <col min="8" max="19" width="10.42578125" style="265" customWidth="1"/>
    <col min="20" max="20" width="9.28515625" style="265" customWidth="1"/>
    <col min="21" max="21" width="10.42578125" style="265" customWidth="1"/>
    <col min="22" max="22" width="9.85546875" style="265" bestFit="1" customWidth="1"/>
    <col min="23" max="16384" width="9.140625" style="265"/>
  </cols>
  <sheetData>
    <row r="1" spans="1:22" ht="25.5" customHeight="1" thickBot="1">
      <c r="A1" s="647" t="s">
        <v>537</v>
      </c>
      <c r="B1" s="647"/>
      <c r="C1" s="647"/>
      <c r="D1" s="647"/>
      <c r="E1" s="647"/>
      <c r="F1" s="647"/>
      <c r="G1" s="647"/>
      <c r="H1" s="647"/>
      <c r="I1" s="647"/>
      <c r="J1" s="647"/>
      <c r="K1" s="647"/>
      <c r="L1" s="647"/>
      <c r="M1" s="647"/>
      <c r="N1" s="647"/>
      <c r="O1" s="647"/>
      <c r="P1" s="647"/>
      <c r="Q1" s="647"/>
      <c r="R1" s="647"/>
      <c r="S1" s="647"/>
      <c r="T1" s="647"/>
      <c r="U1" s="647"/>
      <c r="V1" s="647"/>
    </row>
    <row r="2" spans="1:22" ht="25.5" customHeight="1" thickBot="1">
      <c r="G2" s="645" t="s">
        <v>132</v>
      </c>
      <c r="H2" s="648"/>
      <c r="I2" s="648"/>
      <c r="J2" s="648"/>
      <c r="K2" s="648"/>
      <c r="L2" s="646"/>
      <c r="M2" s="471"/>
      <c r="N2" s="471"/>
      <c r="O2" s="645" t="s">
        <v>133</v>
      </c>
      <c r="P2" s="646"/>
      <c r="Q2" s="645" t="s">
        <v>20</v>
      </c>
      <c r="R2" s="648"/>
      <c r="S2" s="471"/>
      <c r="T2" s="471"/>
      <c r="U2" s="472"/>
    </row>
    <row r="3" spans="1:22" s="266" customFormat="1" ht="52.5" customHeight="1" thickBot="1">
      <c r="A3" s="473">
        <v>2012</v>
      </c>
      <c r="B3" s="473" t="s">
        <v>134</v>
      </c>
      <c r="C3" s="478" t="s">
        <v>135</v>
      </c>
      <c r="D3" s="478" t="s">
        <v>136</v>
      </c>
      <c r="E3" s="473" t="s">
        <v>137</v>
      </c>
      <c r="F3" s="478" t="s">
        <v>138</v>
      </c>
      <c r="G3" s="474" t="s">
        <v>18</v>
      </c>
      <c r="H3" s="475" t="s">
        <v>139</v>
      </c>
      <c r="I3" s="474" t="s">
        <v>17</v>
      </c>
      <c r="J3" s="475" t="s">
        <v>140</v>
      </c>
      <c r="K3" s="474" t="s">
        <v>112</v>
      </c>
      <c r="L3" s="475" t="s">
        <v>141</v>
      </c>
      <c r="M3" s="476" t="s">
        <v>142</v>
      </c>
      <c r="N3" s="473" t="s">
        <v>143</v>
      </c>
      <c r="O3" s="477" t="s">
        <v>144</v>
      </c>
      <c r="P3" s="478" t="s">
        <v>145</v>
      </c>
      <c r="Q3" s="478" t="s">
        <v>146</v>
      </c>
      <c r="R3" s="478" t="s">
        <v>147</v>
      </c>
      <c r="S3" s="478" t="s">
        <v>142</v>
      </c>
      <c r="T3" s="478" t="s">
        <v>16</v>
      </c>
      <c r="U3" s="478" t="s">
        <v>148</v>
      </c>
      <c r="V3" s="477" t="s">
        <v>149</v>
      </c>
    </row>
    <row r="4" spans="1:22" ht="25.5" customHeight="1" thickBot="1">
      <c r="A4" s="479" t="s">
        <v>29</v>
      </c>
      <c r="B4" s="480">
        <v>31</v>
      </c>
      <c r="C4" s="538">
        <f>'SD 3 pass'!F20</f>
        <v>890.33602408315403</v>
      </c>
      <c r="D4" s="538">
        <f>'SD 3 pass'!I20</f>
        <v>63.806931906792663</v>
      </c>
      <c r="E4" s="482"/>
      <c r="F4" s="539">
        <f t="shared" ref="F4:F15" si="0">C4+D4</f>
        <v>954.1429559899467</v>
      </c>
      <c r="G4" s="539">
        <f t="shared" ref="G4:G15" si="1">(F4-I4-K4-M4)</f>
        <v>380.6429559899467</v>
      </c>
      <c r="H4" s="484">
        <f t="shared" ref="H4:H15" si="2">+G4/B4</f>
        <v>12.278805031933764</v>
      </c>
      <c r="I4" s="485">
        <f t="shared" ref="I4:I15" si="3">+J4*B4</f>
        <v>356.5</v>
      </c>
      <c r="J4" s="484">
        <v>11.5</v>
      </c>
      <c r="K4" s="484">
        <f t="shared" ref="K4:K15" si="4">SUM(B4*L4)</f>
        <v>217</v>
      </c>
      <c r="L4" s="484">
        <v>7</v>
      </c>
      <c r="M4" s="484">
        <f t="shared" ref="M4:M15" si="5">N4*B4</f>
        <v>0</v>
      </c>
      <c r="N4" s="492"/>
      <c r="O4" s="486">
        <f>6*B4</f>
        <v>186</v>
      </c>
      <c r="P4" s="484">
        <f t="shared" ref="P4:P15" si="6">O4/B4</f>
        <v>6</v>
      </c>
      <c r="Q4" s="484">
        <f>(G4*(1+$T$24))</f>
        <v>391.73052928546656</v>
      </c>
      <c r="R4" s="484">
        <f t="shared" ref="R4:R15" si="7">SUM(I4*(1+$T$26))</f>
        <v>372.07079916558763</v>
      </c>
      <c r="S4" s="484">
        <f t="shared" ref="S4:S15" si="8">(M4*(1+$T$30))</f>
        <v>0</v>
      </c>
      <c r="T4" s="484">
        <f t="shared" ref="T4:T15" si="9">SUM(K4*(1+$T$28))</f>
        <v>223.32089302393751</v>
      </c>
      <c r="U4" s="484">
        <f t="shared" ref="U4:U15" si="10">SUM(Q4:T4)</f>
        <v>987.12222147499165</v>
      </c>
      <c r="V4" s="487">
        <f t="shared" ref="V4:V15" si="11">SUM(R4-O4)</f>
        <v>186.07079916558763</v>
      </c>
    </row>
    <row r="5" spans="1:22" ht="25.5" customHeight="1" thickBot="1">
      <c r="A5" s="488" t="s">
        <v>30</v>
      </c>
      <c r="B5" s="489">
        <v>28</v>
      </c>
      <c r="C5" s="538">
        <f>'SD 3 pass'!F21</f>
        <v>803.83630569309639</v>
      </c>
      <c r="D5" s="538">
        <f>'SD 3 pass'!I21</f>
        <v>123.89338943756584</v>
      </c>
      <c r="E5" s="490"/>
      <c r="F5" s="539">
        <f t="shared" si="0"/>
        <v>927.72969513066221</v>
      </c>
      <c r="G5" s="539">
        <f t="shared" si="1"/>
        <v>409.72969513066221</v>
      </c>
      <c r="H5" s="484">
        <f t="shared" si="2"/>
        <v>14.63320339752365</v>
      </c>
      <c r="I5" s="485">
        <f t="shared" si="3"/>
        <v>322</v>
      </c>
      <c r="J5" s="484">
        <v>11.5</v>
      </c>
      <c r="K5" s="492">
        <f t="shared" si="4"/>
        <v>196</v>
      </c>
      <c r="L5" s="484">
        <v>7</v>
      </c>
      <c r="M5" s="492">
        <f t="shared" si="5"/>
        <v>0</v>
      </c>
      <c r="N5" s="492"/>
      <c r="O5" s="486">
        <f>6*B5</f>
        <v>168</v>
      </c>
      <c r="P5" s="492">
        <f t="shared" si="6"/>
        <v>6</v>
      </c>
      <c r="Q5" s="492">
        <f t="shared" ref="Q5:Q15" si="12">SUM(G5*(1+$T$24))</f>
        <v>421.6645226497933</v>
      </c>
      <c r="R5" s="492">
        <f t="shared" si="7"/>
        <v>336.063947633434</v>
      </c>
      <c r="S5" s="492">
        <f t="shared" si="8"/>
        <v>0</v>
      </c>
      <c r="T5" s="492">
        <f t="shared" si="9"/>
        <v>201.70919369904033</v>
      </c>
      <c r="U5" s="492">
        <f t="shared" si="10"/>
        <v>959.43766398226762</v>
      </c>
      <c r="V5" s="493">
        <f t="shared" si="11"/>
        <v>168.063947633434</v>
      </c>
    </row>
    <row r="6" spans="1:22" ht="13.5" thickBot="1">
      <c r="A6" s="488" t="s">
        <v>31</v>
      </c>
      <c r="B6" s="489">
        <v>31</v>
      </c>
      <c r="C6" s="538">
        <f>'SD 3 pass'!F22</f>
        <v>808.93018896588399</v>
      </c>
      <c r="D6" s="538">
        <f>'SD 3 pass'!I22</f>
        <v>186.85919804549491</v>
      </c>
      <c r="E6" s="490"/>
      <c r="F6" s="539">
        <f t="shared" si="0"/>
        <v>995.78938701137895</v>
      </c>
      <c r="G6" s="539">
        <f t="shared" si="1"/>
        <v>422.28938701137895</v>
      </c>
      <c r="H6" s="484">
        <f t="shared" si="2"/>
        <v>13.622238290689644</v>
      </c>
      <c r="I6" s="485">
        <f t="shared" si="3"/>
        <v>356.5</v>
      </c>
      <c r="J6" s="484">
        <v>11.5</v>
      </c>
      <c r="K6" s="492">
        <f t="shared" si="4"/>
        <v>217</v>
      </c>
      <c r="L6" s="484">
        <v>7</v>
      </c>
      <c r="M6" s="492">
        <f t="shared" si="5"/>
        <v>0</v>
      </c>
      <c r="N6" s="492"/>
      <c r="O6" s="494">
        <v>0</v>
      </c>
      <c r="P6" s="492">
        <f t="shared" si="6"/>
        <v>0</v>
      </c>
      <c r="Q6" s="492">
        <f t="shared" si="12"/>
        <v>434.59006000881249</v>
      </c>
      <c r="R6" s="492">
        <f t="shared" si="7"/>
        <v>372.07079916558763</v>
      </c>
      <c r="S6" s="492">
        <f t="shared" si="8"/>
        <v>0</v>
      </c>
      <c r="T6" s="492">
        <f t="shared" si="9"/>
        <v>223.32089302393751</v>
      </c>
      <c r="U6" s="492">
        <f t="shared" si="10"/>
        <v>1029.9817521983377</v>
      </c>
      <c r="V6" s="493">
        <f t="shared" si="11"/>
        <v>372.07079916558763</v>
      </c>
    </row>
    <row r="7" spans="1:22" ht="13.5" thickBot="1">
      <c r="A7" s="488" t="s">
        <v>32</v>
      </c>
      <c r="B7" s="489">
        <v>30</v>
      </c>
      <c r="C7" s="538">
        <f>'SD 3 pass'!F23</f>
        <v>866.81439263053585</v>
      </c>
      <c r="D7" s="538">
        <f>'SD 3 pass'!I23</f>
        <v>109.8031722127395</v>
      </c>
      <c r="E7" s="490"/>
      <c r="F7" s="539">
        <f t="shared" si="0"/>
        <v>976.61756484327532</v>
      </c>
      <c r="G7" s="539">
        <f t="shared" si="1"/>
        <v>421.61756484327532</v>
      </c>
      <c r="H7" s="484">
        <f t="shared" si="2"/>
        <v>14.053918828109177</v>
      </c>
      <c r="I7" s="485">
        <f t="shared" si="3"/>
        <v>345</v>
      </c>
      <c r="J7" s="484">
        <v>11.5</v>
      </c>
      <c r="K7" s="492">
        <f t="shared" si="4"/>
        <v>210</v>
      </c>
      <c r="L7" s="484">
        <v>7</v>
      </c>
      <c r="M7" s="492">
        <f t="shared" si="5"/>
        <v>0</v>
      </c>
      <c r="N7" s="492"/>
      <c r="O7" s="494">
        <v>0</v>
      </c>
      <c r="P7" s="492">
        <f t="shared" si="6"/>
        <v>0</v>
      </c>
      <c r="Q7" s="492">
        <f t="shared" si="12"/>
        <v>433.89866864229549</v>
      </c>
      <c r="R7" s="492">
        <f t="shared" si="7"/>
        <v>360.06851532153644</v>
      </c>
      <c r="S7" s="492">
        <f t="shared" si="8"/>
        <v>0</v>
      </c>
      <c r="T7" s="492">
        <f t="shared" si="9"/>
        <v>216.1169932489718</v>
      </c>
      <c r="U7" s="492">
        <f t="shared" si="10"/>
        <v>1010.0841772128038</v>
      </c>
      <c r="V7" s="493">
        <f t="shared" si="11"/>
        <v>360.06851532153644</v>
      </c>
    </row>
    <row r="8" spans="1:22" ht="13.5" thickBot="1">
      <c r="A8" s="488" t="s">
        <v>33</v>
      </c>
      <c r="B8" s="489">
        <v>31</v>
      </c>
      <c r="C8" s="538">
        <f>'SD 3 pass'!F24</f>
        <v>905.88187571030141</v>
      </c>
      <c r="D8" s="538">
        <f>'SD 3 pass'!I24</f>
        <v>221.86612262915358</v>
      </c>
      <c r="E8" s="490"/>
      <c r="F8" s="539">
        <f t="shared" si="0"/>
        <v>1127.7479983394551</v>
      </c>
      <c r="G8" s="539">
        <f t="shared" si="1"/>
        <v>554.24799833945508</v>
      </c>
      <c r="H8" s="484">
        <f t="shared" si="2"/>
        <v>17.878967688369517</v>
      </c>
      <c r="I8" s="485">
        <f t="shared" si="3"/>
        <v>356.5</v>
      </c>
      <c r="J8" s="484">
        <v>11.5</v>
      </c>
      <c r="K8" s="492">
        <f t="shared" si="4"/>
        <v>217</v>
      </c>
      <c r="L8" s="484">
        <v>7</v>
      </c>
      <c r="M8" s="492">
        <f t="shared" si="5"/>
        <v>0</v>
      </c>
      <c r="N8" s="492"/>
      <c r="O8" s="494">
        <f>12*B8</f>
        <v>372</v>
      </c>
      <c r="P8" s="492">
        <f t="shared" si="6"/>
        <v>12</v>
      </c>
      <c r="Q8" s="492">
        <f t="shared" si="12"/>
        <v>570.39243293040067</v>
      </c>
      <c r="R8" s="492">
        <f t="shared" si="7"/>
        <v>372.07079916558763</v>
      </c>
      <c r="S8" s="492">
        <f t="shared" si="8"/>
        <v>0</v>
      </c>
      <c r="T8" s="492">
        <f t="shared" si="9"/>
        <v>223.32089302393751</v>
      </c>
      <c r="U8" s="492">
        <f t="shared" si="10"/>
        <v>1165.7841251199259</v>
      </c>
      <c r="V8" s="493">
        <f t="shared" si="11"/>
        <v>7.0799165587629886E-2</v>
      </c>
    </row>
    <row r="9" spans="1:22" ht="13.5" thickBot="1">
      <c r="A9" s="488" t="s">
        <v>23</v>
      </c>
      <c r="B9" s="489">
        <v>30</v>
      </c>
      <c r="C9" s="538">
        <f>'SD 3 pass'!F25</f>
        <v>1112.9243146887927</v>
      </c>
      <c r="D9" s="538">
        <f>'SD 3 pass'!I25</f>
        <v>281.7683391365166</v>
      </c>
      <c r="E9" s="490"/>
      <c r="F9" s="539">
        <f t="shared" si="0"/>
        <v>1394.6926538253092</v>
      </c>
      <c r="G9" s="539">
        <f t="shared" si="1"/>
        <v>749.69265382530921</v>
      </c>
      <c r="H9" s="484">
        <f t="shared" si="2"/>
        <v>24.989755127510307</v>
      </c>
      <c r="I9" s="485">
        <f t="shared" si="3"/>
        <v>345</v>
      </c>
      <c r="J9" s="484">
        <v>11.5</v>
      </c>
      <c r="K9" s="492">
        <f t="shared" si="4"/>
        <v>300</v>
      </c>
      <c r="L9" s="492">
        <v>10</v>
      </c>
      <c r="M9" s="492">
        <f t="shared" si="5"/>
        <v>0</v>
      </c>
      <c r="N9" s="492"/>
      <c r="O9" s="494">
        <f>12*B9</f>
        <v>360</v>
      </c>
      <c r="P9" s="492">
        <f t="shared" si="6"/>
        <v>12</v>
      </c>
      <c r="Q9" s="492">
        <f t="shared" si="12"/>
        <v>771.53010574080042</v>
      </c>
      <c r="R9" s="492">
        <f t="shared" si="7"/>
        <v>360.06851532153644</v>
      </c>
      <c r="S9" s="492">
        <f t="shared" si="8"/>
        <v>0</v>
      </c>
      <c r="T9" s="492">
        <f t="shared" si="9"/>
        <v>308.73856178424541</v>
      </c>
      <c r="U9" s="492">
        <f t="shared" si="10"/>
        <v>1440.3371828465822</v>
      </c>
      <c r="V9" s="493">
        <f t="shared" si="11"/>
        <v>6.8515321536438023E-2</v>
      </c>
    </row>
    <row r="10" spans="1:22" ht="13.5" thickBot="1">
      <c r="A10" s="488" t="s">
        <v>24</v>
      </c>
      <c r="B10" s="489">
        <v>31</v>
      </c>
      <c r="C10" s="538">
        <f>'SD 3 pass'!F26</f>
        <v>1217.6430033044269</v>
      </c>
      <c r="D10" s="538">
        <f>'SD 3 pass'!H26</f>
        <v>174.3007207827338</v>
      </c>
      <c r="E10" s="490"/>
      <c r="F10" s="539">
        <f t="shared" si="0"/>
        <v>1391.9437240871607</v>
      </c>
      <c r="G10" s="539">
        <f t="shared" si="1"/>
        <v>725.44372408716072</v>
      </c>
      <c r="H10" s="484">
        <f t="shared" si="2"/>
        <v>23.401410454424539</v>
      </c>
      <c r="I10" s="485">
        <f t="shared" si="3"/>
        <v>356.5</v>
      </c>
      <c r="J10" s="484">
        <v>11.5</v>
      </c>
      <c r="K10" s="492">
        <f t="shared" si="4"/>
        <v>310</v>
      </c>
      <c r="L10" s="492">
        <v>10</v>
      </c>
      <c r="M10" s="492">
        <f t="shared" si="5"/>
        <v>0</v>
      </c>
      <c r="N10" s="492"/>
      <c r="O10" s="494">
        <f>12*B10</f>
        <v>372</v>
      </c>
      <c r="P10" s="492">
        <f t="shared" si="6"/>
        <v>12</v>
      </c>
      <c r="Q10" s="492">
        <f t="shared" si="12"/>
        <v>746.57484010025655</v>
      </c>
      <c r="R10" s="492">
        <f t="shared" si="7"/>
        <v>372.07079916558763</v>
      </c>
      <c r="S10" s="492">
        <f t="shared" si="8"/>
        <v>0</v>
      </c>
      <c r="T10" s="492">
        <f t="shared" si="9"/>
        <v>319.02984717705357</v>
      </c>
      <c r="U10" s="492">
        <f t="shared" si="10"/>
        <v>1437.6754864428979</v>
      </c>
      <c r="V10" s="493">
        <f t="shared" si="11"/>
        <v>7.0799165587629886E-2</v>
      </c>
    </row>
    <row r="11" spans="1:22" ht="13.5" thickBot="1">
      <c r="A11" s="488" t="s">
        <v>150</v>
      </c>
      <c r="B11" s="489">
        <v>31</v>
      </c>
      <c r="C11" s="538">
        <f>'SD 3 pass'!F27</f>
        <v>1230.4069599598643</v>
      </c>
      <c r="D11" s="538">
        <f>'SD 3 pass'!I27</f>
        <v>214.5824579058108</v>
      </c>
      <c r="E11" s="490"/>
      <c r="F11" s="539">
        <f t="shared" si="0"/>
        <v>1444.989417865675</v>
      </c>
      <c r="G11" s="539">
        <f t="shared" si="1"/>
        <v>778.48941786567502</v>
      </c>
      <c r="H11" s="484">
        <f t="shared" si="2"/>
        <v>25.112561866634678</v>
      </c>
      <c r="I11" s="485">
        <f t="shared" si="3"/>
        <v>356.5</v>
      </c>
      <c r="J11" s="484">
        <v>11.5</v>
      </c>
      <c r="K11" s="492">
        <f t="shared" si="4"/>
        <v>310</v>
      </c>
      <c r="L11" s="492">
        <v>10</v>
      </c>
      <c r="M11" s="492">
        <f t="shared" si="5"/>
        <v>0</v>
      </c>
      <c r="N11" s="492"/>
      <c r="O11" s="494">
        <f>12*B11</f>
        <v>372</v>
      </c>
      <c r="P11" s="492">
        <f t="shared" si="6"/>
        <v>12</v>
      </c>
      <c r="Q11" s="492">
        <f t="shared" si="12"/>
        <v>801.16567745367649</v>
      </c>
      <c r="R11" s="492">
        <f t="shared" si="7"/>
        <v>372.07079916558763</v>
      </c>
      <c r="S11" s="492">
        <f t="shared" si="8"/>
        <v>0</v>
      </c>
      <c r="T11" s="492">
        <f t="shared" si="9"/>
        <v>319.02984717705357</v>
      </c>
      <c r="U11" s="492">
        <f t="shared" si="10"/>
        <v>1492.2663237963177</v>
      </c>
      <c r="V11" s="493">
        <f t="shared" si="11"/>
        <v>7.0799165587629886E-2</v>
      </c>
    </row>
    <row r="12" spans="1:22" ht="13.5" thickBot="1">
      <c r="A12" s="488" t="s">
        <v>25</v>
      </c>
      <c r="B12" s="489">
        <v>30</v>
      </c>
      <c r="C12" s="538">
        <f>'SD 3 pass'!F28</f>
        <v>1326.4933663669851</v>
      </c>
      <c r="D12" s="538">
        <f>'SD 3 pass'!I28</f>
        <v>-111.30569410789087</v>
      </c>
      <c r="E12" s="490"/>
      <c r="F12" s="539">
        <f t="shared" si="0"/>
        <v>1215.1876722590941</v>
      </c>
      <c r="G12" s="539">
        <f t="shared" si="1"/>
        <v>660.18767225909414</v>
      </c>
      <c r="H12" s="484">
        <f t="shared" si="2"/>
        <v>22.006255741969806</v>
      </c>
      <c r="I12" s="485">
        <f t="shared" si="3"/>
        <v>345</v>
      </c>
      <c r="J12" s="484">
        <v>11.5</v>
      </c>
      <c r="K12" s="492">
        <f t="shared" si="4"/>
        <v>210</v>
      </c>
      <c r="L12" s="484">
        <v>7</v>
      </c>
      <c r="M12" s="492">
        <f t="shared" si="5"/>
        <v>0</v>
      </c>
      <c r="N12" s="492"/>
      <c r="O12" s="494">
        <f>12*B12</f>
        <v>360</v>
      </c>
      <c r="P12" s="492">
        <f t="shared" si="6"/>
        <v>12</v>
      </c>
      <c r="Q12" s="492">
        <f t="shared" si="12"/>
        <v>679.41797480320497</v>
      </c>
      <c r="R12" s="492">
        <f t="shared" si="7"/>
        <v>360.06851532153644</v>
      </c>
      <c r="S12" s="492">
        <f t="shared" si="8"/>
        <v>0</v>
      </c>
      <c r="T12" s="492">
        <f t="shared" si="9"/>
        <v>216.1169932489718</v>
      </c>
      <c r="U12" s="492">
        <f t="shared" si="10"/>
        <v>1255.6034833737133</v>
      </c>
      <c r="V12" s="493">
        <f t="shared" si="11"/>
        <v>6.8515321536438023E-2</v>
      </c>
    </row>
    <row r="13" spans="1:22" ht="13.5" thickBot="1">
      <c r="A13" s="488" t="s">
        <v>26</v>
      </c>
      <c r="B13" s="489">
        <v>31</v>
      </c>
      <c r="C13" s="538">
        <f>'SD 3 pass'!F29</f>
        <v>1122.6746933693933</v>
      </c>
      <c r="D13" s="538">
        <f>'SD 3 pass'!I29</f>
        <v>127.24481163967734</v>
      </c>
      <c r="E13" s="490"/>
      <c r="F13" s="539">
        <f t="shared" si="0"/>
        <v>1249.9195050090707</v>
      </c>
      <c r="G13" s="539">
        <f t="shared" si="1"/>
        <v>676.41950500907069</v>
      </c>
      <c r="H13" s="484">
        <f t="shared" si="2"/>
        <v>21.819984032550668</v>
      </c>
      <c r="I13" s="485">
        <f t="shared" si="3"/>
        <v>356.5</v>
      </c>
      <c r="J13" s="484">
        <v>11.5</v>
      </c>
      <c r="K13" s="492">
        <f t="shared" si="4"/>
        <v>217</v>
      </c>
      <c r="L13" s="484">
        <v>7</v>
      </c>
      <c r="M13" s="492">
        <f t="shared" si="5"/>
        <v>0</v>
      </c>
      <c r="N13" s="492"/>
      <c r="O13" s="494">
        <f>6*B13</f>
        <v>186</v>
      </c>
      <c r="P13" s="492">
        <f t="shared" si="6"/>
        <v>6</v>
      </c>
      <c r="Q13" s="492">
        <f t="shared" si="12"/>
        <v>696.12261713103885</v>
      </c>
      <c r="R13" s="492">
        <f t="shared" si="7"/>
        <v>372.07079916558763</v>
      </c>
      <c r="S13" s="492">
        <f t="shared" si="8"/>
        <v>0</v>
      </c>
      <c r="T13" s="492">
        <f t="shared" si="9"/>
        <v>223.32089302393751</v>
      </c>
      <c r="U13" s="492">
        <f t="shared" si="10"/>
        <v>1291.5143093205641</v>
      </c>
      <c r="V13" s="493">
        <f t="shared" si="11"/>
        <v>186.07079916558763</v>
      </c>
    </row>
    <row r="14" spans="1:22" ht="13.5" thickBot="1">
      <c r="A14" s="488" t="s">
        <v>27</v>
      </c>
      <c r="B14" s="489">
        <v>30</v>
      </c>
      <c r="C14" s="538">
        <f>'SD 3 pass'!F30</f>
        <v>969.96433073158073</v>
      </c>
      <c r="D14" s="538">
        <f>'SD 3 pass'!I30</f>
        <v>124.88163602597542</v>
      </c>
      <c r="E14" s="490"/>
      <c r="F14" s="539">
        <f t="shared" si="0"/>
        <v>1094.8459667575562</v>
      </c>
      <c r="G14" s="539">
        <f t="shared" si="1"/>
        <v>539.8459667575562</v>
      </c>
      <c r="H14" s="484">
        <f t="shared" si="2"/>
        <v>17.994865558585207</v>
      </c>
      <c r="I14" s="485">
        <f t="shared" si="3"/>
        <v>345</v>
      </c>
      <c r="J14" s="484">
        <v>11.5</v>
      </c>
      <c r="K14" s="492">
        <f t="shared" si="4"/>
        <v>210</v>
      </c>
      <c r="L14" s="484">
        <v>7</v>
      </c>
      <c r="M14" s="492">
        <f t="shared" si="5"/>
        <v>0</v>
      </c>
      <c r="N14" s="492"/>
      <c r="O14" s="494">
        <v>0</v>
      </c>
      <c r="P14" s="492">
        <f t="shared" si="6"/>
        <v>0</v>
      </c>
      <c r="Q14" s="492">
        <f t="shared" si="12"/>
        <v>555.57089120584487</v>
      </c>
      <c r="R14" s="492">
        <f t="shared" si="7"/>
        <v>360.06851532153644</v>
      </c>
      <c r="S14" s="492">
        <f t="shared" si="8"/>
        <v>0</v>
      </c>
      <c r="T14" s="492">
        <f t="shared" si="9"/>
        <v>216.1169932489718</v>
      </c>
      <c r="U14" s="492">
        <f t="shared" si="10"/>
        <v>1131.7563997763532</v>
      </c>
      <c r="V14" s="493">
        <f t="shared" si="11"/>
        <v>360.06851532153644</v>
      </c>
    </row>
    <row r="15" spans="1:22" ht="13.5" thickBot="1">
      <c r="A15" s="495" t="s">
        <v>28</v>
      </c>
      <c r="B15" s="496">
        <v>31</v>
      </c>
      <c r="C15" s="538">
        <f>'SD 3 pass'!F31</f>
        <v>873.0898641996813</v>
      </c>
      <c r="D15" s="538">
        <f>'SD 3 pass'!I31</f>
        <v>143.29896803502993</v>
      </c>
      <c r="E15" s="497"/>
      <c r="F15" s="539">
        <f t="shared" si="0"/>
        <v>1016.3888322347112</v>
      </c>
      <c r="G15" s="539">
        <f t="shared" si="1"/>
        <v>442.88883223471123</v>
      </c>
      <c r="H15" s="484">
        <f t="shared" si="2"/>
        <v>14.286736523700363</v>
      </c>
      <c r="I15" s="485">
        <f t="shared" si="3"/>
        <v>356.5</v>
      </c>
      <c r="J15" s="484">
        <v>11.5</v>
      </c>
      <c r="K15" s="499">
        <f t="shared" si="4"/>
        <v>217</v>
      </c>
      <c r="L15" s="484">
        <v>7</v>
      </c>
      <c r="M15" s="499">
        <f t="shared" si="5"/>
        <v>0</v>
      </c>
      <c r="N15" s="499"/>
      <c r="O15" s="500">
        <v>0</v>
      </c>
      <c r="P15" s="499">
        <f t="shared" si="6"/>
        <v>0</v>
      </c>
      <c r="Q15" s="499">
        <f t="shared" si="12"/>
        <v>455.78953698149564</v>
      </c>
      <c r="R15" s="499">
        <f t="shared" si="7"/>
        <v>372.07079916558763</v>
      </c>
      <c r="S15" s="499">
        <f t="shared" si="8"/>
        <v>0</v>
      </c>
      <c r="T15" s="499">
        <f t="shared" si="9"/>
        <v>223.32089302393751</v>
      </c>
      <c r="U15" s="499">
        <f t="shared" si="10"/>
        <v>1051.1812291710207</v>
      </c>
      <c r="V15" s="501">
        <f t="shared" si="11"/>
        <v>372.07079916558763</v>
      </c>
    </row>
    <row r="16" spans="1:22" ht="13.5" thickBot="1">
      <c r="A16" s="265" t="s">
        <v>151</v>
      </c>
      <c r="C16" s="502">
        <f>SUM(C4:C15)</f>
        <v>12128.995319703696</v>
      </c>
      <c r="D16" s="502">
        <f>SUM(D4:D15)</f>
        <v>1661.0000536495997</v>
      </c>
      <c r="E16" s="503">
        <f>SUM(E4:E15)</f>
        <v>0</v>
      </c>
      <c r="F16" s="504">
        <f>SUM(F4:F15)</f>
        <v>13789.995373353297</v>
      </c>
      <c r="G16" s="540">
        <f>SUM(G4:G15)</f>
        <v>6761.4953733532948</v>
      </c>
      <c r="I16" s="505">
        <f>SUM(I4:I15)</f>
        <v>4197.5</v>
      </c>
      <c r="K16" s="505">
        <f>SUM(K4:K15)</f>
        <v>2831</v>
      </c>
      <c r="L16" s="267"/>
      <c r="M16" s="505">
        <f>SUM(M4:M15)</f>
        <v>0</v>
      </c>
      <c r="N16" s="267"/>
      <c r="O16" s="506">
        <f>SUM(O4:O15)</f>
        <v>2376</v>
      </c>
      <c r="Q16" s="507">
        <f t="shared" ref="Q16:V16" si="13">SUM(Q4:Q15)</f>
        <v>6958.4478569330877</v>
      </c>
      <c r="R16" s="508">
        <f t="shared" si="13"/>
        <v>4380.8336030786932</v>
      </c>
      <c r="S16" s="509">
        <f t="shared" si="13"/>
        <v>0</v>
      </c>
      <c r="T16" s="508">
        <f t="shared" si="13"/>
        <v>2913.462894703996</v>
      </c>
      <c r="U16" s="508">
        <f t="shared" si="13"/>
        <v>14252.744354715776</v>
      </c>
      <c r="V16" s="510">
        <f t="shared" si="13"/>
        <v>2004.8336030786932</v>
      </c>
    </row>
    <row r="18" spans="3:20">
      <c r="G18" s="654" t="s">
        <v>121</v>
      </c>
      <c r="H18" s="654"/>
      <c r="I18" s="654"/>
      <c r="J18" s="654"/>
      <c r="K18" s="654"/>
      <c r="L18" s="654"/>
      <c r="M18" s="654"/>
      <c r="N18" s="654"/>
      <c r="O18" s="654"/>
      <c r="P18" s="654"/>
      <c r="Q18" s="654"/>
      <c r="R18" s="654"/>
      <c r="S18" s="268" t="s">
        <v>19</v>
      </c>
      <c r="T18" s="268" t="s">
        <v>152</v>
      </c>
    </row>
    <row r="19" spans="3:20">
      <c r="G19" s="267">
        <f>$F$4</f>
        <v>954.1429559899467</v>
      </c>
      <c r="H19" s="267">
        <f>$F$5</f>
        <v>927.72969513066221</v>
      </c>
      <c r="I19" s="267">
        <f>$F$6</f>
        <v>995.78938701137895</v>
      </c>
      <c r="J19" s="267">
        <f>$F$7</f>
        <v>976.61756484327532</v>
      </c>
      <c r="K19" s="267">
        <f>$F$8</f>
        <v>1127.7479983394551</v>
      </c>
      <c r="L19" s="267">
        <f>$F$9</f>
        <v>1394.6926538253092</v>
      </c>
      <c r="M19" s="267">
        <f>$F$10</f>
        <v>1391.9437240871607</v>
      </c>
      <c r="N19" s="267">
        <f>$F$11</f>
        <v>1444.989417865675</v>
      </c>
      <c r="O19" s="267">
        <f>$F$12</f>
        <v>1215.1876722590941</v>
      </c>
      <c r="P19" s="267">
        <f>$F$13</f>
        <v>1249.9195050090707</v>
      </c>
      <c r="Q19" s="267">
        <f>$F$14</f>
        <v>1094.8459667575562</v>
      </c>
      <c r="R19" s="267">
        <f>$F$15</f>
        <v>1016.3888322347112</v>
      </c>
      <c r="S19" s="267">
        <f>SUM(G19:R19)</f>
        <v>13789.995373353297</v>
      </c>
    </row>
    <row r="21" spans="3:20">
      <c r="F21" s="384"/>
      <c r="G21" s="384"/>
      <c r="H21" s="384"/>
      <c r="I21" s="384"/>
      <c r="J21" s="384"/>
      <c r="K21" s="384"/>
      <c r="L21" s="384"/>
      <c r="M21" s="384"/>
      <c r="N21" s="384"/>
      <c r="O21" s="384"/>
      <c r="P21" s="384"/>
      <c r="Q21" s="384"/>
      <c r="R21" s="384"/>
      <c r="S21" s="384"/>
    </row>
    <row r="22" spans="3:20">
      <c r="F22" s="511"/>
      <c r="G22" s="512" t="s">
        <v>34</v>
      </c>
      <c r="H22" s="512" t="s">
        <v>35</v>
      </c>
      <c r="I22" s="512" t="s">
        <v>36</v>
      </c>
      <c r="J22" s="512" t="s">
        <v>37</v>
      </c>
      <c r="K22" s="512" t="s">
        <v>33</v>
      </c>
      <c r="L22" s="512" t="s">
        <v>38</v>
      </c>
      <c r="M22" s="512" t="s">
        <v>39</v>
      </c>
      <c r="N22" s="512" t="s">
        <v>40</v>
      </c>
      <c r="O22" s="512" t="s">
        <v>41</v>
      </c>
      <c r="P22" s="512" t="s">
        <v>42</v>
      </c>
      <c r="Q22" s="512" t="s">
        <v>43</v>
      </c>
      <c r="R22" s="512" t="s">
        <v>44</v>
      </c>
      <c r="S22" s="513"/>
      <c r="T22" s="514"/>
    </row>
    <row r="23" spans="3:20" ht="13.5" customHeight="1" thickBot="1">
      <c r="C23" s="651"/>
      <c r="D23" s="652"/>
      <c r="F23" s="515"/>
      <c r="G23" s="653" t="s">
        <v>21</v>
      </c>
      <c r="H23" s="653"/>
      <c r="I23" s="653"/>
      <c r="J23" s="653"/>
      <c r="K23" s="653"/>
      <c r="L23" s="653"/>
      <c r="M23" s="653"/>
      <c r="N23" s="653"/>
      <c r="O23" s="653"/>
      <c r="P23" s="653"/>
      <c r="Q23" s="653"/>
      <c r="R23" s="653"/>
      <c r="S23" s="653"/>
      <c r="T23" s="516"/>
    </row>
    <row r="24" spans="3:20" ht="13.5" thickBot="1">
      <c r="D24" s="518">
        <f t="shared" ref="D24:D36" si="14">D4/F4</f>
        <v>6.6873555483718275E-2</v>
      </c>
      <c r="F24" s="519" t="s">
        <v>18</v>
      </c>
      <c r="G24" s="462">
        <f>$G$4</f>
        <v>380.6429559899467</v>
      </c>
      <c r="H24" s="462">
        <f>$G$5</f>
        <v>409.72969513066221</v>
      </c>
      <c r="I24" s="462">
        <f>$G$6</f>
        <v>422.28938701137895</v>
      </c>
      <c r="J24" s="462">
        <f>$G$7</f>
        <v>421.61756484327532</v>
      </c>
      <c r="K24" s="462">
        <f>$G$8</f>
        <v>554.24799833945508</v>
      </c>
      <c r="L24" s="462">
        <f>$G$9</f>
        <v>749.69265382530921</v>
      </c>
      <c r="M24" s="462">
        <f>$G$10</f>
        <v>725.44372408716072</v>
      </c>
      <c r="N24" s="462">
        <f>$G$11</f>
        <v>778.48941786567502</v>
      </c>
      <c r="O24" s="462">
        <f>$G$12</f>
        <v>660.18767225909414</v>
      </c>
      <c r="P24" s="462">
        <f>$G$13</f>
        <v>676.41950500907069</v>
      </c>
      <c r="Q24" s="462">
        <f>$G$14</f>
        <v>539.8459667575562</v>
      </c>
      <c r="R24" s="462">
        <f>$G$15</f>
        <v>442.88883223471123</v>
      </c>
      <c r="S24" s="462">
        <f>SUM(G24:R24)</f>
        <v>6761.4953733532948</v>
      </c>
      <c r="T24" s="520">
        <f>'[30]In Plant Usage'!C39-1</f>
        <v>2.9128539280818044E-2</v>
      </c>
    </row>
    <row r="25" spans="3:20" ht="13.5" thickBot="1">
      <c r="D25" s="518">
        <f t="shared" si="14"/>
        <v>0.13354470605806856</v>
      </c>
      <c r="F25" s="515"/>
      <c r="G25" s="462"/>
      <c r="H25" s="462"/>
      <c r="I25" s="462"/>
      <c r="J25" s="462"/>
      <c r="K25" s="462"/>
      <c r="L25" s="462"/>
      <c r="M25" s="462"/>
      <c r="N25" s="462"/>
      <c r="O25" s="462"/>
      <c r="P25" s="462"/>
      <c r="Q25" s="462"/>
      <c r="R25" s="462"/>
      <c r="S25" s="462"/>
      <c r="T25" s="520"/>
    </row>
    <row r="26" spans="3:20" ht="13.5" thickBot="1">
      <c r="D26" s="518">
        <f t="shared" si="14"/>
        <v>0.18764931669567961</v>
      </c>
      <c r="F26" s="519" t="s">
        <v>17</v>
      </c>
      <c r="G26" s="462">
        <f>$I$4</f>
        <v>356.5</v>
      </c>
      <c r="H26" s="462">
        <f>$I$5</f>
        <v>322</v>
      </c>
      <c r="I26" s="462">
        <f>$I$6</f>
        <v>356.5</v>
      </c>
      <c r="J26" s="462">
        <f>$I$7</f>
        <v>345</v>
      </c>
      <c r="K26" s="462">
        <f>$I$8</f>
        <v>356.5</v>
      </c>
      <c r="L26" s="462">
        <f>$I$9</f>
        <v>345</v>
      </c>
      <c r="M26" s="462">
        <f>$I$10</f>
        <v>356.5</v>
      </c>
      <c r="N26" s="462">
        <f>$I$11</f>
        <v>356.5</v>
      </c>
      <c r="O26" s="462">
        <f>$I$12</f>
        <v>345</v>
      </c>
      <c r="P26" s="462">
        <f>$I$13</f>
        <v>356.5</v>
      </c>
      <c r="Q26" s="462">
        <f>$I$14</f>
        <v>345</v>
      </c>
      <c r="R26" s="462">
        <f>$I$15</f>
        <v>356.5</v>
      </c>
      <c r="S26" s="462">
        <f>SUM(G26:R26)</f>
        <v>4197.5</v>
      </c>
      <c r="T26" s="520">
        <f>'[30]In Plant Usage'!E39-1</f>
        <v>4.3676856004453368E-2</v>
      </c>
    </row>
    <row r="27" spans="3:20" ht="13.5" thickBot="1">
      <c r="D27" s="518">
        <f t="shared" si="14"/>
        <v>0.11243210870404567</v>
      </c>
      <c r="F27" s="515"/>
      <c r="G27" s="462"/>
      <c r="H27" s="462"/>
      <c r="I27" s="462"/>
      <c r="J27" s="462"/>
      <c r="K27" s="462"/>
      <c r="L27" s="462"/>
      <c r="M27" s="462"/>
      <c r="N27" s="462"/>
      <c r="O27" s="462"/>
      <c r="P27" s="462"/>
      <c r="Q27" s="462"/>
      <c r="R27" s="462"/>
      <c r="S27" s="462"/>
      <c r="T27" s="520"/>
    </row>
    <row r="28" spans="3:20" ht="13.5" thickBot="1">
      <c r="D28" s="518">
        <f t="shared" si="14"/>
        <v>0.19673377647829024</v>
      </c>
      <c r="F28" s="519" t="s">
        <v>45</v>
      </c>
      <c r="G28" s="462">
        <f>$K$4</f>
        <v>217</v>
      </c>
      <c r="H28" s="462">
        <f>$K$5</f>
        <v>196</v>
      </c>
      <c r="I28" s="462">
        <f>$K$6</f>
        <v>217</v>
      </c>
      <c r="J28" s="462">
        <f>$K$7</f>
        <v>210</v>
      </c>
      <c r="K28" s="462">
        <f>$K$8</f>
        <v>217</v>
      </c>
      <c r="L28" s="462">
        <f>$K$9</f>
        <v>300</v>
      </c>
      <c r="M28" s="462">
        <f>$K$10</f>
        <v>310</v>
      </c>
      <c r="N28" s="462">
        <f>$K$11</f>
        <v>310</v>
      </c>
      <c r="O28" s="462">
        <f>$K$12</f>
        <v>210</v>
      </c>
      <c r="P28" s="462">
        <f>$K$13</f>
        <v>217</v>
      </c>
      <c r="Q28" s="462">
        <f>$K$14</f>
        <v>210</v>
      </c>
      <c r="R28" s="462">
        <f>$K$15</f>
        <v>217</v>
      </c>
      <c r="S28" s="462">
        <f>SUM(G28:R28)</f>
        <v>2831</v>
      </c>
      <c r="T28" s="521">
        <f>'[30]In Plant Usage'!C39-1</f>
        <v>2.9128539280818044E-2</v>
      </c>
    </row>
    <row r="29" spans="3:20" ht="13.5" thickBot="1">
      <c r="D29" s="518">
        <f t="shared" si="14"/>
        <v>0.20202898349230797</v>
      </c>
      <c r="F29" s="515"/>
      <c r="G29" s="462"/>
      <c r="H29" s="462"/>
      <c r="I29" s="462"/>
      <c r="J29" s="462"/>
      <c r="K29" s="462"/>
      <c r="L29" s="462"/>
      <c r="M29" s="462"/>
      <c r="N29" s="462"/>
      <c r="O29" s="462"/>
      <c r="P29" s="462"/>
      <c r="Q29" s="462"/>
      <c r="R29" s="462"/>
      <c r="S29" s="462"/>
      <c r="T29" s="520"/>
    </row>
    <row r="30" spans="3:20" ht="13.5" thickBot="1">
      <c r="D30" s="518">
        <f t="shared" si="14"/>
        <v>0.12522109749590671</v>
      </c>
      <c r="F30" s="519" t="s">
        <v>108</v>
      </c>
      <c r="G30" s="462">
        <f>$M$4</f>
        <v>0</v>
      </c>
      <c r="H30" s="462">
        <f>$M$5</f>
        <v>0</v>
      </c>
      <c r="I30" s="462">
        <f>$M$6</f>
        <v>0</v>
      </c>
      <c r="J30" s="462">
        <f>$M$7</f>
        <v>0</v>
      </c>
      <c r="K30" s="462">
        <f>$M$8</f>
        <v>0</v>
      </c>
      <c r="L30" s="462">
        <f>$M$9</f>
        <v>0</v>
      </c>
      <c r="M30" s="462">
        <f>$M$10</f>
        <v>0</v>
      </c>
      <c r="N30" s="462">
        <f>$M$11</f>
        <v>0</v>
      </c>
      <c r="O30" s="462">
        <f>$M$12</f>
        <v>0</v>
      </c>
      <c r="P30" s="462">
        <f>$M$13</f>
        <v>0</v>
      </c>
      <c r="Q30" s="462">
        <f>$M$14</f>
        <v>0</v>
      </c>
      <c r="R30" s="462">
        <f>$M$15</f>
        <v>0</v>
      </c>
      <c r="S30" s="462">
        <f>SUM(G30:R30)</f>
        <v>0</v>
      </c>
      <c r="T30" s="520">
        <f>'[30]In Plant Usage'!G39-1</f>
        <v>7.7188200641842952E-2</v>
      </c>
    </row>
    <row r="31" spans="3:20" ht="13.5" thickBot="1">
      <c r="D31" s="518">
        <f t="shared" si="14"/>
        <v>0.14850105838336194</v>
      </c>
      <c r="F31" s="522"/>
      <c r="G31" s="384"/>
      <c r="H31" s="384"/>
      <c r="I31" s="384"/>
      <c r="J31" s="384"/>
      <c r="K31" s="384"/>
      <c r="L31" s="384"/>
      <c r="M31" s="384"/>
      <c r="N31" s="384"/>
      <c r="O31" s="384"/>
      <c r="P31" s="384"/>
      <c r="Q31" s="384"/>
      <c r="R31" s="384"/>
      <c r="S31" s="384"/>
      <c r="T31" s="516"/>
    </row>
    <row r="32" spans="3:20" ht="13.5" thickBot="1">
      <c r="D32" s="518">
        <f t="shared" si="14"/>
        <v>-9.1595476689594835E-2</v>
      </c>
      <c r="F32" s="523"/>
      <c r="G32" s="386"/>
      <c r="H32" s="386"/>
      <c r="I32" s="386"/>
      <c r="J32" s="386"/>
      <c r="K32" s="386"/>
      <c r="L32" s="386"/>
      <c r="M32" s="386"/>
      <c r="N32" s="386"/>
      <c r="O32" s="386"/>
      <c r="P32" s="386"/>
      <c r="Q32" s="386"/>
      <c r="R32" s="386"/>
      <c r="S32" s="386"/>
      <c r="T32" s="516"/>
    </row>
    <row r="33" spans="4:20" ht="13.5" thickBot="1">
      <c r="D33" s="518">
        <f t="shared" si="14"/>
        <v>0.10180240497867414</v>
      </c>
      <c r="F33" s="523"/>
      <c r="G33" s="649" t="s">
        <v>153</v>
      </c>
      <c r="H33" s="649"/>
      <c r="I33" s="649"/>
      <c r="J33" s="649"/>
      <c r="K33" s="649"/>
      <c r="L33" s="649"/>
      <c r="M33" s="649"/>
      <c r="N33" s="649"/>
      <c r="O33" s="649"/>
      <c r="P33" s="649"/>
      <c r="Q33" s="649"/>
      <c r="R33" s="649"/>
      <c r="S33" s="649"/>
      <c r="T33" s="650"/>
    </row>
    <row r="34" spans="4:20" ht="13.5" thickBot="1">
      <c r="D34" s="518">
        <f t="shared" si="14"/>
        <v>0.1140632014161946</v>
      </c>
      <c r="F34" s="523"/>
      <c r="G34" s="386"/>
      <c r="H34" s="386"/>
      <c r="I34" s="386"/>
      <c r="J34" s="386"/>
      <c r="K34" s="386"/>
      <c r="L34" s="386"/>
      <c r="M34" s="386"/>
      <c r="N34" s="386"/>
      <c r="O34" s="386"/>
      <c r="P34" s="386"/>
      <c r="Q34" s="386"/>
      <c r="R34" s="386"/>
      <c r="S34" s="387" t="s">
        <v>19</v>
      </c>
      <c r="T34" s="516"/>
    </row>
    <row r="35" spans="4:20" ht="13.5" thickBot="1">
      <c r="D35" s="518">
        <f t="shared" si="14"/>
        <v>0.14098833388395435</v>
      </c>
      <c r="F35" s="524" t="s">
        <v>18</v>
      </c>
      <c r="G35" s="388">
        <f t="shared" ref="G35:S35" si="15">G24/G19</f>
        <v>0.39893702888056254</v>
      </c>
      <c r="H35" s="388">
        <f t="shared" si="15"/>
        <v>0.44164770975985146</v>
      </c>
      <c r="I35" s="388">
        <f t="shared" si="15"/>
        <v>0.42407500272600657</v>
      </c>
      <c r="J35" s="388">
        <f t="shared" si="15"/>
        <v>0.43171204371174221</v>
      </c>
      <c r="K35" s="388">
        <f t="shared" si="15"/>
        <v>0.49146440441974076</v>
      </c>
      <c r="L35" s="388">
        <f t="shared" si="15"/>
        <v>0.53753251784117539</v>
      </c>
      <c r="M35" s="388">
        <f t="shared" si="15"/>
        <v>0.52117317067750568</v>
      </c>
      <c r="N35" s="388">
        <f t="shared" si="15"/>
        <v>0.53875094740523755</v>
      </c>
      <c r="O35" s="388">
        <f t="shared" si="15"/>
        <v>0.54328042271180432</v>
      </c>
      <c r="P35" s="388">
        <f t="shared" si="15"/>
        <v>0.54117045321583479</v>
      </c>
      <c r="Q35" s="388">
        <f t="shared" si="15"/>
        <v>0.49307937659608719</v>
      </c>
      <c r="R35" s="388">
        <f t="shared" si="15"/>
        <v>0.43574744053507702</v>
      </c>
      <c r="S35" s="388">
        <f t="shared" si="15"/>
        <v>0.49031890078938511</v>
      </c>
      <c r="T35" s="516"/>
    </row>
    <row r="36" spans="4:20">
      <c r="D36" s="518">
        <f t="shared" si="14"/>
        <v>0.12044964546247679</v>
      </c>
      <c r="F36" s="523"/>
      <c r="G36" s="386"/>
      <c r="H36" s="389"/>
      <c r="I36" s="389"/>
      <c r="J36" s="389"/>
      <c r="K36" s="389"/>
      <c r="L36" s="389"/>
      <c r="M36" s="389"/>
      <c r="N36" s="389"/>
      <c r="O36" s="389"/>
      <c r="P36" s="389"/>
      <c r="Q36" s="389"/>
      <c r="R36" s="389"/>
      <c r="S36" s="386"/>
      <c r="T36" s="516"/>
    </row>
    <row r="37" spans="4:20">
      <c r="F37" s="525" t="s">
        <v>17</v>
      </c>
      <c r="G37" s="388">
        <f t="shared" ref="G37:S37" si="16">G26/G19</f>
        <v>0.3736337388039746</v>
      </c>
      <c r="H37" s="388">
        <f t="shared" si="16"/>
        <v>0.34708385609522746</v>
      </c>
      <c r="I37" s="388">
        <f t="shared" si="16"/>
        <v>0.35800743073788782</v>
      </c>
      <c r="J37" s="388">
        <f t="shared" si="16"/>
        <v>0.35326008093594402</v>
      </c>
      <c r="K37" s="388">
        <f t="shared" si="16"/>
        <v>0.31611672157691789</v>
      </c>
      <c r="L37" s="388">
        <f t="shared" si="16"/>
        <v>0.24736632766634808</v>
      </c>
      <c r="M37" s="388">
        <f t="shared" si="16"/>
        <v>0.25611667614924116</v>
      </c>
      <c r="N37" s="388">
        <f t="shared" si="16"/>
        <v>0.2467146095274311</v>
      </c>
      <c r="O37" s="388">
        <f t="shared" si="16"/>
        <v>0.28390676426022976</v>
      </c>
      <c r="P37" s="388">
        <f t="shared" si="16"/>
        <v>0.28521836691988645</v>
      </c>
      <c r="Q37" s="388">
        <f t="shared" si="16"/>
        <v>0.31511281995378365</v>
      </c>
      <c r="R37" s="388">
        <f t="shared" si="16"/>
        <v>0.35075159101873588</v>
      </c>
      <c r="S37" s="388">
        <f t="shared" si="16"/>
        <v>0.30438733925255113</v>
      </c>
      <c r="T37" s="516"/>
    </row>
    <row r="38" spans="4:20">
      <c r="F38" s="523"/>
      <c r="G38" s="386"/>
      <c r="H38" s="389"/>
      <c r="I38" s="389"/>
      <c r="J38" s="389"/>
      <c r="K38" s="389"/>
      <c r="L38" s="389"/>
      <c r="M38" s="389"/>
      <c r="N38" s="389"/>
      <c r="O38" s="389"/>
      <c r="P38" s="389"/>
      <c r="Q38" s="389"/>
      <c r="R38" s="389"/>
      <c r="S38" s="386"/>
      <c r="T38" s="516"/>
    </row>
    <row r="39" spans="4:20">
      <c r="F39" s="525" t="s">
        <v>45</v>
      </c>
      <c r="G39" s="388">
        <f t="shared" ref="G39:S39" si="17">G28/G19</f>
        <v>0.2274292323154628</v>
      </c>
      <c r="H39" s="388">
        <f t="shared" si="17"/>
        <v>0.21126843414492105</v>
      </c>
      <c r="I39" s="388">
        <f t="shared" si="17"/>
        <v>0.21791756653610561</v>
      </c>
      <c r="J39" s="388">
        <f t="shared" si="17"/>
        <v>0.21502787535231374</v>
      </c>
      <c r="K39" s="388">
        <f t="shared" si="17"/>
        <v>0.19241887400334134</v>
      </c>
      <c r="L39" s="388">
        <f t="shared" si="17"/>
        <v>0.21510115449247658</v>
      </c>
      <c r="M39" s="388">
        <f t="shared" si="17"/>
        <v>0.22271015317325316</v>
      </c>
      <c r="N39" s="388">
        <f t="shared" si="17"/>
        <v>0.21453444306733141</v>
      </c>
      <c r="O39" s="388">
        <f t="shared" si="17"/>
        <v>0.17281281302796594</v>
      </c>
      <c r="P39" s="388">
        <f t="shared" si="17"/>
        <v>0.17361117986427871</v>
      </c>
      <c r="Q39" s="388">
        <f t="shared" si="17"/>
        <v>0.19180780345012918</v>
      </c>
      <c r="R39" s="388">
        <f t="shared" si="17"/>
        <v>0.21350096844618707</v>
      </c>
      <c r="S39" s="388">
        <f t="shared" si="17"/>
        <v>0.20529375995806365</v>
      </c>
      <c r="T39" s="516"/>
    </row>
    <row r="40" spans="4:20">
      <c r="F40" s="523"/>
      <c r="G40" s="386"/>
      <c r="H40" s="386"/>
      <c r="I40" s="386"/>
      <c r="J40" s="386"/>
      <c r="K40" s="386"/>
      <c r="L40" s="386"/>
      <c r="M40" s="386"/>
      <c r="N40" s="386"/>
      <c r="O40" s="386"/>
      <c r="P40" s="386"/>
      <c r="Q40" s="386"/>
      <c r="R40" s="386"/>
      <c r="S40" s="386"/>
      <c r="T40" s="516"/>
    </row>
    <row r="41" spans="4:20">
      <c r="F41" s="526" t="s">
        <v>108</v>
      </c>
      <c r="G41" s="527">
        <f t="shared" ref="G41:S41" si="18">G30/G19</f>
        <v>0</v>
      </c>
      <c r="H41" s="527">
        <f t="shared" si="18"/>
        <v>0</v>
      </c>
      <c r="I41" s="527">
        <f t="shared" si="18"/>
        <v>0</v>
      </c>
      <c r="J41" s="527">
        <f t="shared" si="18"/>
        <v>0</v>
      </c>
      <c r="K41" s="527">
        <f t="shared" si="18"/>
        <v>0</v>
      </c>
      <c r="L41" s="527">
        <f t="shared" si="18"/>
        <v>0</v>
      </c>
      <c r="M41" s="527">
        <f t="shared" si="18"/>
        <v>0</v>
      </c>
      <c r="N41" s="527">
        <f t="shared" si="18"/>
        <v>0</v>
      </c>
      <c r="O41" s="527">
        <f t="shared" si="18"/>
        <v>0</v>
      </c>
      <c r="P41" s="527">
        <f t="shared" si="18"/>
        <v>0</v>
      </c>
      <c r="Q41" s="527">
        <f t="shared" si="18"/>
        <v>0</v>
      </c>
      <c r="R41" s="527">
        <f t="shared" si="18"/>
        <v>0</v>
      </c>
      <c r="S41" s="528">
        <f t="shared" si="18"/>
        <v>0</v>
      </c>
      <c r="T41" s="529"/>
    </row>
    <row r="43" spans="4:20">
      <c r="F43" s="530"/>
      <c r="G43" s="655" t="s">
        <v>20</v>
      </c>
      <c r="H43" s="655"/>
      <c r="I43" s="655"/>
      <c r="J43" s="655"/>
      <c r="K43" s="655"/>
      <c r="L43" s="655"/>
      <c r="M43" s="655"/>
      <c r="N43" s="655"/>
      <c r="O43" s="655"/>
      <c r="P43" s="655"/>
      <c r="Q43" s="655"/>
      <c r="R43" s="655"/>
      <c r="S43" s="531"/>
      <c r="T43" s="514"/>
    </row>
    <row r="44" spans="4:20">
      <c r="F44" s="523"/>
      <c r="G44" s="386"/>
      <c r="H44" s="386"/>
      <c r="I44" s="386"/>
      <c r="J44" s="386"/>
      <c r="K44" s="386"/>
      <c r="L44" s="386"/>
      <c r="M44" s="386"/>
      <c r="N44" s="386"/>
      <c r="O44" s="386"/>
      <c r="P44" s="386"/>
      <c r="Q44" s="386"/>
      <c r="R44" s="386"/>
      <c r="S44" s="387" t="s">
        <v>19</v>
      </c>
      <c r="T44" s="516"/>
    </row>
    <row r="45" spans="4:20">
      <c r="F45" s="524" t="s">
        <v>18</v>
      </c>
      <c r="G45" s="390">
        <f>$Q$4</f>
        <v>391.73052928546656</v>
      </c>
      <c r="H45" s="390">
        <f>$Q$5</f>
        <v>421.6645226497933</v>
      </c>
      <c r="I45" s="390">
        <f>$Q$6</f>
        <v>434.59006000881249</v>
      </c>
      <c r="J45" s="390">
        <f>$Q$7</f>
        <v>433.89866864229549</v>
      </c>
      <c r="K45" s="390">
        <f>$Q$8</f>
        <v>570.39243293040067</v>
      </c>
      <c r="L45" s="390">
        <f>$Q$9</f>
        <v>771.53010574080042</v>
      </c>
      <c r="M45" s="390">
        <f>$Q$10</f>
        <v>746.57484010025655</v>
      </c>
      <c r="N45" s="390">
        <f>$Q$11</f>
        <v>801.16567745367649</v>
      </c>
      <c r="O45" s="390">
        <f>$Q$12</f>
        <v>679.41797480320497</v>
      </c>
      <c r="P45" s="390">
        <f>$Q$13</f>
        <v>696.12261713103885</v>
      </c>
      <c r="Q45" s="390">
        <f>$Q$14</f>
        <v>555.57089120584487</v>
      </c>
      <c r="R45" s="390">
        <f>$Q$15</f>
        <v>455.78953698149564</v>
      </c>
      <c r="S45" s="390">
        <f>SUM(G45:R45)</f>
        <v>6958.4478569330877</v>
      </c>
      <c r="T45" s="516"/>
    </row>
    <row r="46" spans="4:20">
      <c r="F46" s="523"/>
      <c r="G46" s="386"/>
      <c r="H46" s="386"/>
      <c r="I46" s="386"/>
      <c r="J46" s="386"/>
      <c r="K46" s="386"/>
      <c r="L46" s="386"/>
      <c r="M46" s="386"/>
      <c r="N46" s="386"/>
      <c r="O46" s="386"/>
      <c r="P46" s="386"/>
      <c r="Q46" s="386"/>
      <c r="R46" s="386"/>
      <c r="S46" s="386"/>
      <c r="T46" s="516"/>
    </row>
    <row r="47" spans="4:20">
      <c r="F47" s="524" t="s">
        <v>17</v>
      </c>
      <c r="G47" s="390">
        <f>$R$4</f>
        <v>372.07079916558763</v>
      </c>
      <c r="H47" s="390">
        <f>$R$5</f>
        <v>336.063947633434</v>
      </c>
      <c r="I47" s="390">
        <f>$R$6</f>
        <v>372.07079916558763</v>
      </c>
      <c r="J47" s="390">
        <f>$R$7</f>
        <v>360.06851532153644</v>
      </c>
      <c r="K47" s="390">
        <f>$R$8</f>
        <v>372.07079916558763</v>
      </c>
      <c r="L47" s="390">
        <f>$R$9</f>
        <v>360.06851532153644</v>
      </c>
      <c r="M47" s="390">
        <f>$R$10</f>
        <v>372.07079916558763</v>
      </c>
      <c r="N47" s="390">
        <f>$R$11</f>
        <v>372.07079916558763</v>
      </c>
      <c r="O47" s="390">
        <f>$R$12</f>
        <v>360.06851532153644</v>
      </c>
      <c r="P47" s="390">
        <f>$R$13</f>
        <v>372.07079916558763</v>
      </c>
      <c r="Q47" s="390">
        <f>$R$14</f>
        <v>360.06851532153644</v>
      </c>
      <c r="R47" s="390">
        <f>$R$15</f>
        <v>372.07079916558763</v>
      </c>
      <c r="S47" s="390">
        <f>SUM(G47:R47)</f>
        <v>4380.8336030786932</v>
      </c>
      <c r="T47" s="516"/>
    </row>
    <row r="48" spans="4:20">
      <c r="F48" s="523"/>
      <c r="G48" s="386"/>
      <c r="H48" s="386"/>
      <c r="I48" s="386"/>
      <c r="J48" s="386"/>
      <c r="K48" s="386"/>
      <c r="L48" s="386"/>
      <c r="M48" s="386"/>
      <c r="N48" s="386"/>
      <c r="O48" s="386"/>
      <c r="P48" s="386"/>
      <c r="Q48" s="386"/>
      <c r="R48" s="386"/>
      <c r="S48" s="386"/>
      <c r="T48" s="516"/>
    </row>
    <row r="49" spans="6:20">
      <c r="F49" s="524" t="s">
        <v>45</v>
      </c>
      <c r="G49" s="390">
        <f>$T$4</f>
        <v>223.32089302393751</v>
      </c>
      <c r="H49" s="390">
        <f>$T$5</f>
        <v>201.70919369904033</v>
      </c>
      <c r="I49" s="390">
        <f>$T$6</f>
        <v>223.32089302393751</v>
      </c>
      <c r="J49" s="390">
        <f>$T$7</f>
        <v>216.1169932489718</v>
      </c>
      <c r="K49" s="390">
        <f>$T$8</f>
        <v>223.32089302393751</v>
      </c>
      <c r="L49" s="390">
        <f>$T$9</f>
        <v>308.73856178424541</v>
      </c>
      <c r="M49" s="390">
        <f>$T$10</f>
        <v>319.02984717705357</v>
      </c>
      <c r="N49" s="390">
        <f>$T$11</f>
        <v>319.02984717705357</v>
      </c>
      <c r="O49" s="390">
        <f>$T$12</f>
        <v>216.1169932489718</v>
      </c>
      <c r="P49" s="390">
        <f>$T$13</f>
        <v>223.32089302393751</v>
      </c>
      <c r="Q49" s="390">
        <f>$T$14</f>
        <v>216.1169932489718</v>
      </c>
      <c r="R49" s="390">
        <f>$T$15</f>
        <v>223.32089302393751</v>
      </c>
      <c r="S49" s="390">
        <f>SUM(G49:R49)</f>
        <v>2913.462894703996</v>
      </c>
      <c r="T49" s="516"/>
    </row>
    <row r="50" spans="6:20">
      <c r="F50" s="523"/>
      <c r="G50" s="386"/>
      <c r="H50" s="386"/>
      <c r="I50" s="386"/>
      <c r="J50" s="386"/>
      <c r="K50" s="386"/>
      <c r="L50" s="386"/>
      <c r="M50" s="386"/>
      <c r="N50" s="386"/>
      <c r="O50" s="386"/>
      <c r="P50" s="386"/>
      <c r="Q50" s="386"/>
      <c r="R50" s="386"/>
      <c r="S50" s="386"/>
      <c r="T50" s="516"/>
    </row>
    <row r="51" spans="6:20">
      <c r="F51" s="524" t="s">
        <v>108</v>
      </c>
      <c r="G51" s="390">
        <f>$S$4</f>
        <v>0</v>
      </c>
      <c r="H51" s="390">
        <f>$S$5</f>
        <v>0</v>
      </c>
      <c r="I51" s="390">
        <f>$S$6</f>
        <v>0</v>
      </c>
      <c r="J51" s="390">
        <f>$S$7</f>
        <v>0</v>
      </c>
      <c r="K51" s="390">
        <f>$S$8</f>
        <v>0</v>
      </c>
      <c r="L51" s="390">
        <f>$S$9</f>
        <v>0</v>
      </c>
      <c r="M51" s="390">
        <f>$S$10</f>
        <v>0</v>
      </c>
      <c r="N51" s="390">
        <f>$S$11</f>
        <v>0</v>
      </c>
      <c r="O51" s="390">
        <f>$S$12</f>
        <v>0</v>
      </c>
      <c r="P51" s="390">
        <f>$S$13</f>
        <v>0</v>
      </c>
      <c r="Q51" s="390">
        <f>$S$14</f>
        <v>0</v>
      </c>
      <c r="R51" s="390">
        <f>$S$15</f>
        <v>0</v>
      </c>
      <c r="S51" s="390">
        <f>SUM(G51:R51)</f>
        <v>0</v>
      </c>
      <c r="T51" s="516"/>
    </row>
    <row r="52" spans="6:20">
      <c r="F52" s="523"/>
      <c r="G52" s="386"/>
      <c r="H52" s="386"/>
      <c r="I52" s="386"/>
      <c r="J52" s="386"/>
      <c r="K52" s="386"/>
      <c r="L52" s="386"/>
      <c r="M52" s="386"/>
      <c r="N52" s="386"/>
      <c r="O52" s="386"/>
      <c r="P52" s="386"/>
      <c r="Q52" s="386"/>
      <c r="R52" s="386"/>
      <c r="S52" s="386"/>
      <c r="T52" s="516"/>
    </row>
    <row r="53" spans="6:20">
      <c r="F53" s="523"/>
      <c r="G53" s="649" t="s">
        <v>153</v>
      </c>
      <c r="H53" s="649"/>
      <c r="I53" s="649"/>
      <c r="J53" s="649"/>
      <c r="K53" s="649"/>
      <c r="L53" s="649"/>
      <c r="M53" s="649"/>
      <c r="N53" s="649"/>
      <c r="O53" s="649"/>
      <c r="P53" s="649"/>
      <c r="Q53" s="649"/>
      <c r="R53" s="649"/>
      <c r="S53" s="649"/>
      <c r="T53" s="650"/>
    </row>
    <row r="54" spans="6:20">
      <c r="F54" s="523"/>
      <c r="G54" s="386"/>
      <c r="H54" s="386"/>
      <c r="I54" s="386"/>
      <c r="J54" s="386"/>
      <c r="K54" s="386"/>
      <c r="L54" s="386"/>
      <c r="M54" s="386"/>
      <c r="N54" s="386"/>
      <c r="O54" s="386"/>
      <c r="P54" s="386"/>
      <c r="Q54" s="386"/>
      <c r="R54" s="386"/>
      <c r="S54" s="387" t="s">
        <v>19</v>
      </c>
      <c r="T54" s="516"/>
    </row>
    <row r="55" spans="6:20">
      <c r="F55" s="524" t="s">
        <v>18</v>
      </c>
      <c r="G55" s="388">
        <f t="shared" ref="G55:S55" si="19">G45/G$19</f>
        <v>0.41055748179688289</v>
      </c>
      <c r="H55" s="388">
        <f t="shared" si="19"/>
        <v>0.45451226242187465</v>
      </c>
      <c r="I55" s="388">
        <f t="shared" si="19"/>
        <v>0.43642768810092408</v>
      </c>
      <c r="J55" s="388">
        <f t="shared" si="19"/>
        <v>0.44428718493500191</v>
      </c>
      <c r="K55" s="388">
        <f t="shared" si="19"/>
        <v>0.50578004462900505</v>
      </c>
      <c r="L55" s="388">
        <f t="shared" si="19"/>
        <v>0.55319005490182904</v>
      </c>
      <c r="M55" s="388">
        <f t="shared" si="19"/>
        <v>0.53635418385169398</v>
      </c>
      <c r="N55" s="388">
        <f t="shared" si="19"/>
        <v>0.55444397553930891</v>
      </c>
      <c r="O55" s="388">
        <f t="shared" si="19"/>
        <v>0.55910538784526453</v>
      </c>
      <c r="P55" s="388">
        <f t="shared" si="19"/>
        <v>0.55693395801995027</v>
      </c>
      <c r="Q55" s="388">
        <f t="shared" si="19"/>
        <v>0.50744205858582758</v>
      </c>
      <c r="R55" s="388">
        <f t="shared" si="19"/>
        <v>0.44844012697321894</v>
      </c>
      <c r="S55" s="388">
        <f t="shared" si="19"/>
        <v>0.50460117415115635</v>
      </c>
      <c r="T55" s="516"/>
    </row>
    <row r="56" spans="6:20">
      <c r="F56" s="523"/>
      <c r="G56" s="386"/>
      <c r="H56" s="389"/>
      <c r="I56" s="389"/>
      <c r="J56" s="389"/>
      <c r="K56" s="389"/>
      <c r="L56" s="389"/>
      <c r="M56" s="389"/>
      <c r="N56" s="389"/>
      <c r="O56" s="389"/>
      <c r="P56" s="389"/>
      <c r="Q56" s="389"/>
      <c r="R56" s="389"/>
      <c r="S56" s="389"/>
      <c r="T56" s="516"/>
    </row>
    <row r="57" spans="6:20">
      <c r="F57" s="525" t="s">
        <v>17</v>
      </c>
      <c r="G57" s="388">
        <f t="shared" ref="G57:S57" si="20">G47/G$19</f>
        <v>0.38995288581212134</v>
      </c>
      <c r="H57" s="388">
        <f t="shared" si="20"/>
        <v>0.36224338769936915</v>
      </c>
      <c r="I57" s="388">
        <f t="shared" si="20"/>
        <v>0.37364406973875086</v>
      </c>
      <c r="J57" s="388">
        <f t="shared" si="20"/>
        <v>0.36868937062310481</v>
      </c>
      <c r="K57" s="388">
        <f t="shared" si="20"/>
        <v>0.32992370610583283</v>
      </c>
      <c r="L57" s="388">
        <f t="shared" si="20"/>
        <v>0.25817051114018158</v>
      </c>
      <c r="M57" s="388">
        <f t="shared" si="20"/>
        <v>0.26730304733375077</v>
      </c>
      <c r="N57" s="388">
        <f t="shared" si="20"/>
        <v>0.25749032800195565</v>
      </c>
      <c r="O57" s="388">
        <f t="shared" si="20"/>
        <v>0.29630691912151413</v>
      </c>
      <c r="P57" s="388">
        <f t="shared" si="20"/>
        <v>0.29767580846167169</v>
      </c>
      <c r="Q57" s="388">
        <f t="shared" si="20"/>
        <v>0.32887595721606233</v>
      </c>
      <c r="R57" s="388">
        <f t="shared" si="20"/>
        <v>0.36607131775299412</v>
      </c>
      <c r="S57" s="388">
        <f t="shared" si="20"/>
        <v>0.31768202123866346</v>
      </c>
      <c r="T57" s="516"/>
    </row>
    <row r="58" spans="6:20">
      <c r="F58" s="523"/>
      <c r="G58" s="386"/>
      <c r="H58" s="389"/>
      <c r="I58" s="389"/>
      <c r="J58" s="389"/>
      <c r="K58" s="389"/>
      <c r="L58" s="389"/>
      <c r="M58" s="389"/>
      <c r="N58" s="389"/>
      <c r="O58" s="389"/>
      <c r="P58" s="389"/>
      <c r="Q58" s="389"/>
      <c r="R58" s="389"/>
      <c r="S58" s="389"/>
      <c r="T58" s="516"/>
    </row>
    <row r="59" spans="6:20">
      <c r="F59" s="525" t="s">
        <v>45</v>
      </c>
      <c r="G59" s="388">
        <f t="shared" ref="G59:S59" si="21">G49/G$19</f>
        <v>0.23405391364257006</v>
      </c>
      <c r="H59" s="388">
        <f t="shared" si="21"/>
        <v>0.21742237502770831</v>
      </c>
      <c r="I59" s="388">
        <f t="shared" si="21"/>
        <v>0.22426518693293285</v>
      </c>
      <c r="J59" s="388">
        <f t="shared" si="21"/>
        <v>0.22129132326598447</v>
      </c>
      <c r="K59" s="388">
        <f t="shared" si="21"/>
        <v>0.19802375473311845</v>
      </c>
      <c r="L59" s="388">
        <f t="shared" si="21"/>
        <v>0.22136673692045999</v>
      </c>
      <c r="M59" s="388">
        <f t="shared" si="21"/>
        <v>0.22919737461819725</v>
      </c>
      <c r="N59" s="388">
        <f t="shared" si="21"/>
        <v>0.22078351801930657</v>
      </c>
      <c r="O59" s="388">
        <f t="shared" si="21"/>
        <v>0.17784659784047974</v>
      </c>
      <c r="P59" s="388">
        <f t="shared" si="21"/>
        <v>0.17866821993654453</v>
      </c>
      <c r="Q59" s="388">
        <f t="shared" si="21"/>
        <v>0.19739488458729371</v>
      </c>
      <c r="R59" s="388">
        <f t="shared" si="21"/>
        <v>0.21971993979206453</v>
      </c>
      <c r="S59" s="388">
        <f t="shared" si="21"/>
        <v>0.21127366730910893</v>
      </c>
      <c r="T59" s="516"/>
    </row>
    <row r="60" spans="6:20">
      <c r="F60" s="523"/>
      <c r="G60" s="386"/>
      <c r="H60" s="386"/>
      <c r="I60" s="386"/>
      <c r="J60" s="386"/>
      <c r="K60" s="386"/>
      <c r="L60" s="386"/>
      <c r="M60" s="386"/>
      <c r="N60" s="386"/>
      <c r="O60" s="386"/>
      <c r="P60" s="386"/>
      <c r="Q60" s="386"/>
      <c r="R60" s="386"/>
      <c r="S60" s="386"/>
      <c r="T60" s="516"/>
    </row>
    <row r="61" spans="6:20">
      <c r="F61" s="526" t="s">
        <v>108</v>
      </c>
      <c r="G61" s="532">
        <v>25.574999999999999</v>
      </c>
      <c r="H61" s="532">
        <v>23.1</v>
      </c>
      <c r="I61" s="532">
        <v>25.574999999999999</v>
      </c>
      <c r="J61" s="532">
        <v>24.75</v>
      </c>
      <c r="K61" s="532">
        <v>25.574999999999999</v>
      </c>
      <c r="L61" s="532">
        <v>24.75</v>
      </c>
      <c r="M61" s="532">
        <v>25.574999999999999</v>
      </c>
      <c r="N61" s="532">
        <v>25.574999999999999</v>
      </c>
      <c r="O61" s="532">
        <v>24.75</v>
      </c>
      <c r="P61" s="532">
        <v>25.574999999999999</v>
      </c>
      <c r="Q61" s="532">
        <v>24.75</v>
      </c>
      <c r="R61" s="532">
        <v>25.574999999999999</v>
      </c>
      <c r="S61" s="532"/>
      <c r="T61" s="529"/>
    </row>
    <row r="63" spans="6:20">
      <c r="G63" s="268"/>
      <c r="M63" s="268" t="s">
        <v>464</v>
      </c>
    </row>
    <row r="64" spans="6:20">
      <c r="G64" s="269">
        <f>$O4</f>
        <v>186</v>
      </c>
      <c r="H64" s="269">
        <f>$O5</f>
        <v>168</v>
      </c>
      <c r="I64" s="269">
        <f>$O6</f>
        <v>0</v>
      </c>
      <c r="J64" s="269">
        <f>$O7</f>
        <v>0</v>
      </c>
      <c r="K64" s="269">
        <f>$O8</f>
        <v>372</v>
      </c>
      <c r="L64" s="269">
        <f>$O9</f>
        <v>360</v>
      </c>
      <c r="M64" s="269">
        <f>$O10</f>
        <v>372</v>
      </c>
      <c r="N64" s="269">
        <f>$O11</f>
        <v>372</v>
      </c>
      <c r="O64" s="269">
        <f>$O12</f>
        <v>360</v>
      </c>
      <c r="P64" s="269">
        <f>$O13</f>
        <v>186</v>
      </c>
      <c r="Q64" s="269">
        <f>$O14</f>
        <v>0</v>
      </c>
      <c r="R64" s="269">
        <f>$O15</f>
        <v>0</v>
      </c>
      <c r="S64" s="267">
        <f>SUM(G64:R64)</f>
        <v>2376</v>
      </c>
    </row>
    <row r="66" spans="7:19">
      <c r="M66" s="463" t="s">
        <v>536</v>
      </c>
    </row>
    <row r="67" spans="7:19">
      <c r="G67" s="267">
        <f>V4</f>
        <v>186.07079916558763</v>
      </c>
      <c r="H67" s="267">
        <f>V5</f>
        <v>168.063947633434</v>
      </c>
      <c r="I67" s="267">
        <f>V6</f>
        <v>372.07079916558763</v>
      </c>
      <c r="J67" s="267">
        <f>V7</f>
        <v>360.06851532153644</v>
      </c>
      <c r="K67" s="267">
        <f>V8</f>
        <v>7.0799165587629886E-2</v>
      </c>
      <c r="L67" s="267">
        <f>V9</f>
        <v>6.8515321536438023E-2</v>
      </c>
      <c r="M67" s="267">
        <f>V10</f>
        <v>7.0799165587629886E-2</v>
      </c>
      <c r="N67" s="267">
        <f>V11</f>
        <v>7.0799165587629886E-2</v>
      </c>
      <c r="O67" s="267">
        <f>V12</f>
        <v>6.8515321536438023E-2</v>
      </c>
      <c r="P67" s="267">
        <f>V13</f>
        <v>186.07079916558763</v>
      </c>
      <c r="Q67" s="267">
        <f>V14</f>
        <v>360.06851532153644</v>
      </c>
      <c r="R67" s="267">
        <f>V15</f>
        <v>372.07079916558763</v>
      </c>
      <c r="S67" s="267"/>
    </row>
    <row r="68" spans="7:19">
      <c r="G68" s="267"/>
    </row>
    <row r="69" spans="7:19">
      <c r="G69" s="267"/>
    </row>
    <row r="70" spans="7:19">
      <c r="G70" s="267"/>
    </row>
    <row r="71" spans="7:19">
      <c r="G71" s="267"/>
    </row>
    <row r="72" spans="7:19">
      <c r="G72" s="267"/>
    </row>
    <row r="73" spans="7:19">
      <c r="G73" s="267"/>
    </row>
    <row r="74" spans="7:19">
      <c r="G74" s="267"/>
    </row>
    <row r="75" spans="7:19">
      <c r="G75" s="267"/>
    </row>
    <row r="76" spans="7:19">
      <c r="G76" s="267"/>
    </row>
    <row r="77" spans="7:19">
      <c r="G77" s="267"/>
    </row>
    <row r="78" spans="7:19">
      <c r="G78" s="267"/>
    </row>
    <row r="79" spans="7:19">
      <c r="G79" s="267"/>
    </row>
    <row r="80" spans="7:19">
      <c r="G80" s="267"/>
    </row>
    <row r="81" spans="7:7">
      <c r="G81" s="267"/>
    </row>
  </sheetData>
  <mergeCells count="10">
    <mergeCell ref="O2:P2"/>
    <mergeCell ref="A1:V1"/>
    <mergeCell ref="G2:L2"/>
    <mergeCell ref="Q2:R2"/>
    <mergeCell ref="G53:T53"/>
    <mergeCell ref="C23:D23"/>
    <mergeCell ref="G23:S23"/>
    <mergeCell ref="G18:R18"/>
    <mergeCell ref="G43:R43"/>
    <mergeCell ref="G33:T33"/>
  </mergeCells>
  <phoneticPr fontId="1" type="noConversion"/>
  <pageMargins left="0.75" right="0.75" top="1" bottom="1" header="0.5" footer="0.5"/>
  <pageSetup paperSize="5" scale="70" orientation="landscape" horizontalDpi="4294967293"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V67"/>
  <sheetViews>
    <sheetView zoomScale="85" workbookViewId="0">
      <selection activeCell="A4" sqref="A4:V15"/>
    </sheetView>
  </sheetViews>
  <sheetFormatPr defaultRowHeight="12.75"/>
  <cols>
    <col min="1" max="1" width="9.7109375" style="265" customWidth="1"/>
    <col min="2" max="2" width="6.28515625" style="265" customWidth="1"/>
    <col min="3" max="3" width="12.5703125" style="265" bestFit="1" customWidth="1"/>
    <col min="4" max="4" width="11.5703125" style="265" customWidth="1"/>
    <col min="5" max="5" width="10" style="265" bestFit="1" customWidth="1"/>
    <col min="6" max="6" width="11.7109375" style="265" bestFit="1" customWidth="1"/>
    <col min="7" max="7" width="9.85546875" style="265" bestFit="1" customWidth="1"/>
    <col min="8" max="8" width="9.5703125" style="265" bestFit="1" customWidth="1"/>
    <col min="9" max="9" width="9.85546875" style="265" bestFit="1" customWidth="1"/>
    <col min="10" max="10" width="8.7109375" style="265" bestFit="1" customWidth="1"/>
    <col min="11" max="11" width="9.85546875" style="265" bestFit="1" customWidth="1"/>
    <col min="12" max="12" width="8.7109375" style="265" bestFit="1" customWidth="1"/>
    <col min="13" max="13" width="8.5703125" style="265" customWidth="1"/>
    <col min="14" max="14" width="9" style="265" customWidth="1"/>
    <col min="15" max="15" width="9.85546875" style="265" bestFit="1" customWidth="1"/>
    <col min="16" max="16" width="9.140625" style="265"/>
    <col min="17" max="17" width="9.5703125" style="265" customWidth="1"/>
    <col min="18" max="18" width="9.42578125" style="265" customWidth="1"/>
    <col min="19" max="19" width="9.5703125" style="265" customWidth="1"/>
    <col min="20" max="20" width="9.28515625" style="265" customWidth="1"/>
    <col min="21" max="21" width="10.42578125" style="265" customWidth="1"/>
    <col min="22" max="22" width="9.85546875" style="265" bestFit="1" customWidth="1"/>
    <col min="23" max="16384" width="9.140625" style="265"/>
  </cols>
  <sheetData>
    <row r="1" spans="1:22" ht="25.5" customHeight="1" thickBot="1">
      <c r="A1" s="647" t="s">
        <v>539</v>
      </c>
      <c r="B1" s="647"/>
      <c r="C1" s="647"/>
      <c r="D1" s="647"/>
      <c r="E1" s="647"/>
      <c r="F1" s="647"/>
      <c r="G1" s="647"/>
      <c r="H1" s="647"/>
      <c r="I1" s="647"/>
      <c r="J1" s="647"/>
      <c r="K1" s="647"/>
      <c r="L1" s="647"/>
      <c r="M1" s="647"/>
      <c r="N1" s="647"/>
      <c r="O1" s="647"/>
      <c r="P1" s="647"/>
      <c r="Q1" s="647"/>
      <c r="R1" s="647"/>
      <c r="S1" s="647"/>
      <c r="T1" s="647"/>
      <c r="U1" s="647"/>
      <c r="V1" s="647"/>
    </row>
    <row r="2" spans="1:22" ht="25.5" customHeight="1" thickBot="1">
      <c r="G2" s="645" t="s">
        <v>132</v>
      </c>
      <c r="H2" s="648"/>
      <c r="I2" s="648"/>
      <c r="J2" s="648"/>
      <c r="K2" s="648"/>
      <c r="L2" s="646"/>
      <c r="M2" s="471"/>
      <c r="N2" s="471"/>
      <c r="O2" s="645" t="s">
        <v>133</v>
      </c>
      <c r="P2" s="646"/>
      <c r="Q2" s="645" t="s">
        <v>20</v>
      </c>
      <c r="R2" s="648"/>
      <c r="S2" s="471"/>
      <c r="T2" s="471"/>
      <c r="U2" s="472"/>
    </row>
    <row r="3" spans="1:22" s="266" customFormat="1" ht="52.5" customHeight="1" thickBot="1">
      <c r="A3" s="478">
        <v>2012</v>
      </c>
      <c r="B3" s="478" t="s">
        <v>134</v>
      </c>
      <c r="C3" s="478" t="s">
        <v>135</v>
      </c>
      <c r="D3" s="478" t="s">
        <v>136</v>
      </c>
      <c r="E3" s="478" t="s">
        <v>137</v>
      </c>
      <c r="F3" s="478" t="s">
        <v>138</v>
      </c>
      <c r="G3" s="474" t="s">
        <v>18</v>
      </c>
      <c r="H3" s="475" t="s">
        <v>139</v>
      </c>
      <c r="I3" s="474" t="s">
        <v>17</v>
      </c>
      <c r="J3" s="475" t="s">
        <v>140</v>
      </c>
      <c r="K3" s="474" t="s">
        <v>112</v>
      </c>
      <c r="L3" s="475" t="s">
        <v>141</v>
      </c>
      <c r="M3" s="533" t="s">
        <v>142</v>
      </c>
      <c r="N3" s="478" t="s">
        <v>143</v>
      </c>
      <c r="O3" s="477" t="s">
        <v>144</v>
      </c>
      <c r="P3" s="478" t="s">
        <v>145</v>
      </c>
      <c r="Q3" s="478" t="s">
        <v>146</v>
      </c>
      <c r="R3" s="478" t="s">
        <v>147</v>
      </c>
      <c r="S3" s="478" t="s">
        <v>142</v>
      </c>
      <c r="T3" s="478" t="s">
        <v>16</v>
      </c>
      <c r="U3" s="478" t="s">
        <v>148</v>
      </c>
      <c r="V3" s="477" t="s">
        <v>149</v>
      </c>
    </row>
    <row r="4" spans="1:22" ht="25.5" customHeight="1">
      <c r="A4" s="479" t="s">
        <v>29</v>
      </c>
      <c r="B4" s="480">
        <v>31</v>
      </c>
      <c r="C4" s="481">
        <f>'SD 3 pass'!E20</f>
        <v>900.74671436142739</v>
      </c>
      <c r="D4" s="481">
        <f>'SD 3 pass'!H20</f>
        <v>63.806931906792663</v>
      </c>
      <c r="E4" s="482"/>
      <c r="F4" s="483">
        <f t="shared" ref="F4:F15" si="0">C4+D4</f>
        <v>964.55364626822006</v>
      </c>
      <c r="G4" s="484">
        <f t="shared" ref="G4:G15" si="1">(F4-I4-K4-M4)</f>
        <v>367.80364626822006</v>
      </c>
      <c r="H4" s="484">
        <f t="shared" ref="H4:H15" si="2">+G4/B4</f>
        <v>11.864633750587744</v>
      </c>
      <c r="I4" s="485">
        <f t="shared" ref="I4:I15" si="3">+J4*B4</f>
        <v>356.5</v>
      </c>
      <c r="J4" s="484">
        <v>11.5</v>
      </c>
      <c r="K4" s="484">
        <f t="shared" ref="K4:K15" si="4">SUM(B4*L4)</f>
        <v>217</v>
      </c>
      <c r="L4" s="484">
        <v>7</v>
      </c>
      <c r="M4" s="484">
        <f t="shared" ref="M4:M15" si="5">N4*B4</f>
        <v>23.25</v>
      </c>
      <c r="N4" s="484">
        <v>0.75</v>
      </c>
      <c r="O4" s="486">
        <f>6*B4</f>
        <v>186</v>
      </c>
      <c r="P4" s="484">
        <f t="shared" ref="P4:P15" si="6">O4/B4</f>
        <v>6</v>
      </c>
      <c r="Q4" s="484">
        <f>(G4*(1+$T$24))</f>
        <v>378.51722922617199</v>
      </c>
      <c r="R4" s="484">
        <f t="shared" ref="R4:R15" si="7">SUM(I4*(1+$T$26))</f>
        <v>372.07079916558763</v>
      </c>
      <c r="S4" s="484">
        <f t="shared" ref="S4:S15" si="8">(M4*(1+$T$30))</f>
        <v>25.044625664922847</v>
      </c>
      <c r="T4" s="484">
        <f t="shared" ref="T4:T15" si="9">SUM(K4*(1+$T$28))</f>
        <v>223.32089302393751</v>
      </c>
      <c r="U4" s="484">
        <f t="shared" ref="U4:U15" si="10">SUM(Q4:T4)</f>
        <v>998.95354708061996</v>
      </c>
      <c r="V4" s="487">
        <f t="shared" ref="V4:V15" si="11">SUM(R4-O4)</f>
        <v>186.07079916558763</v>
      </c>
    </row>
    <row r="5" spans="1:22" ht="25.5" customHeight="1">
      <c r="A5" s="488" t="s">
        <v>30</v>
      </c>
      <c r="B5" s="489">
        <v>28</v>
      </c>
      <c r="C5" s="534">
        <f>'SD 3 pass'!E21</f>
        <v>813.37533993023226</v>
      </c>
      <c r="D5" s="534">
        <f>'SD 3 pass'!H21</f>
        <v>125.89338943756584</v>
      </c>
      <c r="E5" s="490"/>
      <c r="F5" s="491">
        <f t="shared" si="0"/>
        <v>939.26872936779807</v>
      </c>
      <c r="G5" s="492">
        <f t="shared" si="1"/>
        <v>400.26872936779807</v>
      </c>
      <c r="H5" s="492">
        <f t="shared" si="2"/>
        <v>14.295311763135645</v>
      </c>
      <c r="I5" s="535">
        <f t="shared" si="3"/>
        <v>322</v>
      </c>
      <c r="J5" s="492">
        <v>11.5</v>
      </c>
      <c r="K5" s="492">
        <f t="shared" si="4"/>
        <v>196</v>
      </c>
      <c r="L5" s="492">
        <v>7</v>
      </c>
      <c r="M5" s="492">
        <f t="shared" si="5"/>
        <v>21</v>
      </c>
      <c r="N5" s="492">
        <v>0.75</v>
      </c>
      <c r="O5" s="494">
        <f>6*B5</f>
        <v>168</v>
      </c>
      <c r="P5" s="492">
        <f t="shared" si="6"/>
        <v>6</v>
      </c>
      <c r="Q5" s="492">
        <f t="shared" ref="Q5:Q15" si="12">SUM(G5*(1+$T$24))</f>
        <v>411.92797277407112</v>
      </c>
      <c r="R5" s="492">
        <f t="shared" si="7"/>
        <v>336.063947633434</v>
      </c>
      <c r="S5" s="492">
        <f t="shared" si="8"/>
        <v>22.620952213478702</v>
      </c>
      <c r="T5" s="492">
        <f t="shared" si="9"/>
        <v>201.70919369904033</v>
      </c>
      <c r="U5" s="492">
        <f t="shared" si="10"/>
        <v>972.32206632002431</v>
      </c>
      <c r="V5" s="493">
        <f t="shared" si="11"/>
        <v>168.063947633434</v>
      </c>
    </row>
    <row r="6" spans="1:22">
      <c r="A6" s="488" t="s">
        <v>31</v>
      </c>
      <c r="B6" s="489">
        <v>31</v>
      </c>
      <c r="C6" s="534">
        <f>'SD 3 pass'!E22</f>
        <v>819.94998025992004</v>
      </c>
      <c r="D6" s="534">
        <f>'SD 3 pass'!H22</f>
        <v>188.85919804549491</v>
      </c>
      <c r="E6" s="490"/>
      <c r="F6" s="491">
        <f t="shared" si="0"/>
        <v>1008.8091783054149</v>
      </c>
      <c r="G6" s="492">
        <f t="shared" si="1"/>
        <v>412.05917830541489</v>
      </c>
      <c r="H6" s="492">
        <f t="shared" si="2"/>
        <v>13.292231558239189</v>
      </c>
      <c r="I6" s="535">
        <f t="shared" si="3"/>
        <v>356.5</v>
      </c>
      <c r="J6" s="492">
        <v>11.5</v>
      </c>
      <c r="K6" s="492">
        <f t="shared" si="4"/>
        <v>217</v>
      </c>
      <c r="L6" s="492">
        <v>7</v>
      </c>
      <c r="M6" s="492">
        <f t="shared" si="5"/>
        <v>23.25</v>
      </c>
      <c r="N6" s="492">
        <v>0.75</v>
      </c>
      <c r="O6" s="494">
        <v>0</v>
      </c>
      <c r="P6" s="492">
        <f t="shared" si="6"/>
        <v>0</v>
      </c>
      <c r="Q6" s="492">
        <f t="shared" si="12"/>
        <v>424.06186026670576</v>
      </c>
      <c r="R6" s="492">
        <f t="shared" si="7"/>
        <v>372.07079916558763</v>
      </c>
      <c r="S6" s="492">
        <f t="shared" si="8"/>
        <v>25.044625664922847</v>
      </c>
      <c r="T6" s="492">
        <f t="shared" si="9"/>
        <v>223.32089302393751</v>
      </c>
      <c r="U6" s="492">
        <f t="shared" si="10"/>
        <v>1044.4981781211536</v>
      </c>
      <c r="V6" s="493">
        <f t="shared" si="11"/>
        <v>372.07079916558763</v>
      </c>
    </row>
    <row r="7" spans="1:22">
      <c r="A7" s="488" t="s">
        <v>32</v>
      </c>
      <c r="B7" s="489">
        <v>30</v>
      </c>
      <c r="C7" s="534">
        <f>'SD 3 pass'!E23</f>
        <v>877.09747454492026</v>
      </c>
      <c r="D7" s="534">
        <f>'SD 3 pass'!H23</f>
        <v>109.8031722127395</v>
      </c>
      <c r="E7" s="490"/>
      <c r="F7" s="491">
        <f t="shared" si="0"/>
        <v>986.90064675765973</v>
      </c>
      <c r="G7" s="492">
        <f t="shared" si="1"/>
        <v>409.40064675765973</v>
      </c>
      <c r="H7" s="492">
        <f t="shared" si="2"/>
        <v>13.646688225255325</v>
      </c>
      <c r="I7" s="535">
        <f t="shared" si="3"/>
        <v>345</v>
      </c>
      <c r="J7" s="492">
        <v>11.5</v>
      </c>
      <c r="K7" s="492">
        <f t="shared" si="4"/>
        <v>210</v>
      </c>
      <c r="L7" s="492">
        <v>7</v>
      </c>
      <c r="M7" s="492">
        <f t="shared" si="5"/>
        <v>22.5</v>
      </c>
      <c r="N7" s="492">
        <v>0.75</v>
      </c>
      <c r="O7" s="494">
        <v>0</v>
      </c>
      <c r="P7" s="492">
        <f t="shared" si="6"/>
        <v>0</v>
      </c>
      <c r="Q7" s="492">
        <f t="shared" si="12"/>
        <v>421.32588957833252</v>
      </c>
      <c r="R7" s="492">
        <f t="shared" si="7"/>
        <v>360.06851532153644</v>
      </c>
      <c r="S7" s="492">
        <f t="shared" si="8"/>
        <v>24.236734514441466</v>
      </c>
      <c r="T7" s="492">
        <f t="shared" si="9"/>
        <v>216.1169932489718</v>
      </c>
      <c r="U7" s="492">
        <f t="shared" si="10"/>
        <v>1021.7481326632821</v>
      </c>
      <c r="V7" s="493">
        <f t="shared" si="11"/>
        <v>360.06851532153644</v>
      </c>
    </row>
    <row r="8" spans="1:22">
      <c r="A8" s="488" t="s">
        <v>33</v>
      </c>
      <c r="B8" s="489">
        <v>31</v>
      </c>
      <c r="C8" s="534">
        <f>'SD 3 pass'!E24</f>
        <v>916.56828621365855</v>
      </c>
      <c r="D8" s="534">
        <f>'SD 3 pass'!H24</f>
        <v>223.86612262915358</v>
      </c>
      <c r="E8" s="490"/>
      <c r="F8" s="491">
        <f t="shared" si="0"/>
        <v>1140.4344088428122</v>
      </c>
      <c r="G8" s="492">
        <f t="shared" si="1"/>
        <v>543.68440884281222</v>
      </c>
      <c r="H8" s="492">
        <f t="shared" si="2"/>
        <v>17.538206736864911</v>
      </c>
      <c r="I8" s="535">
        <f t="shared" si="3"/>
        <v>356.5</v>
      </c>
      <c r="J8" s="492">
        <v>11.5</v>
      </c>
      <c r="K8" s="492">
        <f t="shared" si="4"/>
        <v>217</v>
      </c>
      <c r="L8" s="492">
        <v>7</v>
      </c>
      <c r="M8" s="492">
        <f t="shared" si="5"/>
        <v>23.25</v>
      </c>
      <c r="N8" s="492">
        <v>0.75</v>
      </c>
      <c r="O8" s="494">
        <f>12*B8</f>
        <v>372</v>
      </c>
      <c r="P8" s="492">
        <f t="shared" si="6"/>
        <v>12</v>
      </c>
      <c r="Q8" s="492">
        <f t="shared" si="12"/>
        <v>559.52114150215846</v>
      </c>
      <c r="R8" s="492">
        <f t="shared" si="7"/>
        <v>372.07079916558763</v>
      </c>
      <c r="S8" s="492">
        <f t="shared" si="8"/>
        <v>25.044625664922847</v>
      </c>
      <c r="T8" s="492">
        <f t="shared" si="9"/>
        <v>223.32089302393751</v>
      </c>
      <c r="U8" s="492">
        <f t="shared" si="10"/>
        <v>1179.9574593566063</v>
      </c>
      <c r="V8" s="493">
        <f t="shared" si="11"/>
        <v>7.0799165587629886E-2</v>
      </c>
    </row>
    <row r="9" spans="1:22">
      <c r="A9" s="488" t="s">
        <v>23</v>
      </c>
      <c r="B9" s="489">
        <v>30</v>
      </c>
      <c r="C9" s="534">
        <f>'SD 3 pass'!E25</f>
        <v>1121.7277530208742</v>
      </c>
      <c r="D9" s="534">
        <f>'SD 3 pass'!H25</f>
        <v>283.7683391365166</v>
      </c>
      <c r="E9" s="490"/>
      <c r="F9" s="491">
        <f t="shared" si="0"/>
        <v>1405.4960921573906</v>
      </c>
      <c r="G9" s="492">
        <f t="shared" si="1"/>
        <v>737.99609215739065</v>
      </c>
      <c r="H9" s="492">
        <f t="shared" si="2"/>
        <v>24.599869738579688</v>
      </c>
      <c r="I9" s="535">
        <f t="shared" si="3"/>
        <v>345</v>
      </c>
      <c r="J9" s="492">
        <v>11.5</v>
      </c>
      <c r="K9" s="492">
        <f t="shared" si="4"/>
        <v>300</v>
      </c>
      <c r="L9" s="492">
        <v>10</v>
      </c>
      <c r="M9" s="492">
        <f t="shared" si="5"/>
        <v>22.5</v>
      </c>
      <c r="N9" s="492">
        <v>0.75</v>
      </c>
      <c r="O9" s="494">
        <f>12*B9</f>
        <v>360</v>
      </c>
      <c r="P9" s="492">
        <f t="shared" si="6"/>
        <v>12</v>
      </c>
      <c r="Q9" s="492">
        <f t="shared" si="12"/>
        <v>759.4928403168874</v>
      </c>
      <c r="R9" s="492">
        <f t="shared" si="7"/>
        <v>360.06851532153644</v>
      </c>
      <c r="S9" s="492">
        <f t="shared" si="8"/>
        <v>24.236734514441466</v>
      </c>
      <c r="T9" s="492">
        <f t="shared" si="9"/>
        <v>308.73856178424541</v>
      </c>
      <c r="U9" s="492">
        <f t="shared" si="10"/>
        <v>1452.5366519371105</v>
      </c>
      <c r="V9" s="493">
        <f t="shared" si="11"/>
        <v>6.8515321536438023E-2</v>
      </c>
    </row>
    <row r="10" spans="1:22">
      <c r="A10" s="488" t="s">
        <v>24</v>
      </c>
      <c r="B10" s="489">
        <v>31</v>
      </c>
      <c r="C10" s="534">
        <f>'SD 3 pass'!E26</f>
        <v>1226.4604093096048</v>
      </c>
      <c r="D10" s="534">
        <f>'SD 3 pass'!H26</f>
        <v>174.3007207827338</v>
      </c>
      <c r="E10" s="490"/>
      <c r="F10" s="491">
        <f t="shared" si="0"/>
        <v>1400.7611300923386</v>
      </c>
      <c r="G10" s="492">
        <f t="shared" si="1"/>
        <v>711.01113009233859</v>
      </c>
      <c r="H10" s="492">
        <f t="shared" si="2"/>
        <v>22.935842906204471</v>
      </c>
      <c r="I10" s="535">
        <f t="shared" si="3"/>
        <v>356.5</v>
      </c>
      <c r="J10" s="492">
        <v>11.5</v>
      </c>
      <c r="K10" s="492">
        <f t="shared" si="4"/>
        <v>310</v>
      </c>
      <c r="L10" s="492">
        <v>10</v>
      </c>
      <c r="M10" s="492">
        <f t="shared" si="5"/>
        <v>23.25</v>
      </c>
      <c r="N10" s="492">
        <v>0.75</v>
      </c>
      <c r="O10" s="494">
        <f>12*B10</f>
        <v>372</v>
      </c>
      <c r="P10" s="492">
        <f t="shared" si="6"/>
        <v>12</v>
      </c>
      <c r="Q10" s="492">
        <f t="shared" si="12"/>
        <v>731.72184572433207</v>
      </c>
      <c r="R10" s="492">
        <f t="shared" si="7"/>
        <v>372.07079916558763</v>
      </c>
      <c r="S10" s="492">
        <f t="shared" si="8"/>
        <v>25.044625664922847</v>
      </c>
      <c r="T10" s="492">
        <f t="shared" si="9"/>
        <v>319.02984717705357</v>
      </c>
      <c r="U10" s="492">
        <f t="shared" si="10"/>
        <v>1447.8671177318963</v>
      </c>
      <c r="V10" s="493">
        <f t="shared" si="11"/>
        <v>7.0799165587629886E-2</v>
      </c>
    </row>
    <row r="11" spans="1:22">
      <c r="A11" s="488" t="s">
        <v>150</v>
      </c>
      <c r="B11" s="489">
        <v>31</v>
      </c>
      <c r="C11" s="534">
        <f>'SD 3 pass'!E27</f>
        <v>1239.4360273686195</v>
      </c>
      <c r="D11" s="534">
        <f>'SD 3 pass'!H27</f>
        <v>216.5824579058108</v>
      </c>
      <c r="E11" s="490"/>
      <c r="F11" s="491">
        <f t="shared" si="0"/>
        <v>1456.0184852744303</v>
      </c>
      <c r="G11" s="492">
        <f t="shared" si="1"/>
        <v>766.2684852744303</v>
      </c>
      <c r="H11" s="492">
        <f t="shared" si="2"/>
        <v>24.718338234659043</v>
      </c>
      <c r="I11" s="535">
        <f t="shared" si="3"/>
        <v>356.5</v>
      </c>
      <c r="J11" s="492">
        <v>11.5</v>
      </c>
      <c r="K11" s="492">
        <f t="shared" si="4"/>
        <v>310</v>
      </c>
      <c r="L11" s="492">
        <v>10</v>
      </c>
      <c r="M11" s="492">
        <f t="shared" si="5"/>
        <v>23.25</v>
      </c>
      <c r="N11" s="492">
        <v>0.75</v>
      </c>
      <c r="O11" s="494">
        <f>12*B11</f>
        <v>372</v>
      </c>
      <c r="P11" s="492">
        <f t="shared" si="6"/>
        <v>12</v>
      </c>
      <c r="Q11" s="492">
        <f t="shared" si="12"/>
        <v>788.58876694739945</v>
      </c>
      <c r="R11" s="492">
        <f t="shared" si="7"/>
        <v>372.07079916558763</v>
      </c>
      <c r="S11" s="492">
        <f t="shared" si="8"/>
        <v>25.044625664922847</v>
      </c>
      <c r="T11" s="492">
        <f t="shared" si="9"/>
        <v>319.02984717705357</v>
      </c>
      <c r="U11" s="492">
        <f t="shared" si="10"/>
        <v>1504.7340389549636</v>
      </c>
      <c r="V11" s="493">
        <f t="shared" si="11"/>
        <v>7.0799165587629886E-2</v>
      </c>
    </row>
    <row r="12" spans="1:22">
      <c r="A12" s="488" t="s">
        <v>25</v>
      </c>
      <c r="B12" s="489">
        <v>30</v>
      </c>
      <c r="C12" s="534">
        <f>'SD 3 pass'!E28</f>
        <v>1334.5391698154729</v>
      </c>
      <c r="D12" s="534">
        <f>'SD 3 pass'!H28</f>
        <v>-109.30569410789087</v>
      </c>
      <c r="E12" s="490"/>
      <c r="F12" s="491">
        <f t="shared" si="0"/>
        <v>1225.2334757075819</v>
      </c>
      <c r="G12" s="492">
        <f t="shared" si="1"/>
        <v>670.23347570758187</v>
      </c>
      <c r="H12" s="492">
        <f t="shared" si="2"/>
        <v>22.341115856919394</v>
      </c>
      <c r="I12" s="535">
        <f t="shared" si="3"/>
        <v>345</v>
      </c>
      <c r="J12" s="492">
        <v>11.5</v>
      </c>
      <c r="K12" s="492">
        <f t="shared" si="4"/>
        <v>210</v>
      </c>
      <c r="L12" s="492">
        <v>7</v>
      </c>
      <c r="M12" s="492">
        <f t="shared" si="5"/>
        <v>0</v>
      </c>
      <c r="N12" s="492"/>
      <c r="O12" s="494">
        <f>12*B12</f>
        <v>360</v>
      </c>
      <c r="P12" s="492">
        <f t="shared" si="6"/>
        <v>12</v>
      </c>
      <c r="Q12" s="492">
        <f t="shared" si="12"/>
        <v>689.7563978320494</v>
      </c>
      <c r="R12" s="492">
        <f t="shared" si="7"/>
        <v>360.06851532153644</v>
      </c>
      <c r="S12" s="492">
        <f t="shared" si="8"/>
        <v>0</v>
      </c>
      <c r="T12" s="492">
        <f t="shared" si="9"/>
        <v>216.1169932489718</v>
      </c>
      <c r="U12" s="492">
        <f t="shared" si="10"/>
        <v>1265.9419064025576</v>
      </c>
      <c r="V12" s="493">
        <f t="shared" si="11"/>
        <v>6.8515321536438023E-2</v>
      </c>
    </row>
    <row r="13" spans="1:22">
      <c r="A13" s="488" t="s">
        <v>26</v>
      </c>
      <c r="B13" s="489">
        <v>31</v>
      </c>
      <c r="C13" s="534">
        <f>'SD 3 pass'!E29</f>
        <v>1132.241475880001</v>
      </c>
      <c r="D13" s="534">
        <f>'SD 3 pass'!H29</f>
        <v>129.24481163967735</v>
      </c>
      <c r="E13" s="490"/>
      <c r="F13" s="491">
        <f t="shared" si="0"/>
        <v>1261.4862875196784</v>
      </c>
      <c r="G13" s="492">
        <f t="shared" si="1"/>
        <v>687.9862875196784</v>
      </c>
      <c r="H13" s="492">
        <f t="shared" si="2"/>
        <v>22.193106049021885</v>
      </c>
      <c r="I13" s="535">
        <f t="shared" si="3"/>
        <v>356.5</v>
      </c>
      <c r="J13" s="492">
        <v>11.5</v>
      </c>
      <c r="K13" s="492">
        <f t="shared" si="4"/>
        <v>217</v>
      </c>
      <c r="L13" s="492">
        <v>7</v>
      </c>
      <c r="M13" s="492">
        <f t="shared" si="5"/>
        <v>0</v>
      </c>
      <c r="N13" s="492"/>
      <c r="O13" s="494">
        <f>6*B13</f>
        <v>186</v>
      </c>
      <c r="P13" s="492">
        <f t="shared" si="6"/>
        <v>6</v>
      </c>
      <c r="Q13" s="492">
        <f t="shared" si="12"/>
        <v>708.02632312035951</v>
      </c>
      <c r="R13" s="492">
        <f t="shared" si="7"/>
        <v>372.07079916558763</v>
      </c>
      <c r="S13" s="492">
        <f t="shared" si="8"/>
        <v>0</v>
      </c>
      <c r="T13" s="492">
        <f t="shared" si="9"/>
        <v>223.32089302393751</v>
      </c>
      <c r="U13" s="492">
        <f t="shared" si="10"/>
        <v>1303.4180153098846</v>
      </c>
      <c r="V13" s="493">
        <f t="shared" si="11"/>
        <v>186.07079916558763</v>
      </c>
    </row>
    <row r="14" spans="1:22">
      <c r="A14" s="488" t="s">
        <v>27</v>
      </c>
      <c r="B14" s="489">
        <v>30</v>
      </c>
      <c r="C14" s="534">
        <f>'SD 3 pass'!E30</f>
        <v>979.81262735625774</v>
      </c>
      <c r="D14" s="534">
        <f>'SD 3 pass'!H30</f>
        <v>124.88163602597542</v>
      </c>
      <c r="E14" s="490"/>
      <c r="F14" s="491">
        <f t="shared" si="0"/>
        <v>1104.6942633822332</v>
      </c>
      <c r="G14" s="492">
        <f t="shared" si="1"/>
        <v>549.6942633822332</v>
      </c>
      <c r="H14" s="492">
        <f t="shared" si="2"/>
        <v>18.323142112741106</v>
      </c>
      <c r="I14" s="535">
        <f t="shared" si="3"/>
        <v>345</v>
      </c>
      <c r="J14" s="492">
        <v>11.5</v>
      </c>
      <c r="K14" s="492">
        <f t="shared" si="4"/>
        <v>210</v>
      </c>
      <c r="L14" s="492">
        <v>7</v>
      </c>
      <c r="M14" s="492">
        <f t="shared" si="5"/>
        <v>0</v>
      </c>
      <c r="N14" s="492"/>
      <c r="O14" s="494">
        <v>0</v>
      </c>
      <c r="P14" s="492">
        <f t="shared" si="6"/>
        <v>0</v>
      </c>
      <c r="Q14" s="492">
        <f t="shared" si="12"/>
        <v>565.70605432560296</v>
      </c>
      <c r="R14" s="492">
        <f t="shared" si="7"/>
        <v>360.06851532153644</v>
      </c>
      <c r="S14" s="492">
        <f t="shared" si="8"/>
        <v>0</v>
      </c>
      <c r="T14" s="492">
        <f t="shared" si="9"/>
        <v>216.1169932489718</v>
      </c>
      <c r="U14" s="492">
        <f t="shared" si="10"/>
        <v>1141.8915628961113</v>
      </c>
      <c r="V14" s="493">
        <f t="shared" si="11"/>
        <v>360.06851532153644</v>
      </c>
    </row>
    <row r="15" spans="1:22" ht="13.5" thickBot="1">
      <c r="A15" s="495" t="s">
        <v>28</v>
      </c>
      <c r="B15" s="496">
        <v>31</v>
      </c>
      <c r="C15" s="536">
        <f>'SD 3 pass'!E31</f>
        <v>883.75165803426955</v>
      </c>
      <c r="D15" s="536">
        <f>'SD 3 pass'!H31</f>
        <v>143.29896803502993</v>
      </c>
      <c r="E15" s="497"/>
      <c r="F15" s="498">
        <f t="shared" si="0"/>
        <v>1027.0506260692996</v>
      </c>
      <c r="G15" s="499">
        <f t="shared" si="1"/>
        <v>453.5506260692996</v>
      </c>
      <c r="H15" s="499">
        <f t="shared" si="2"/>
        <v>14.63066535707418</v>
      </c>
      <c r="I15" s="537">
        <f t="shared" si="3"/>
        <v>356.5</v>
      </c>
      <c r="J15" s="499">
        <v>11.5</v>
      </c>
      <c r="K15" s="499">
        <f t="shared" si="4"/>
        <v>217</v>
      </c>
      <c r="L15" s="499">
        <v>7</v>
      </c>
      <c r="M15" s="499">
        <f t="shared" si="5"/>
        <v>0</v>
      </c>
      <c r="N15" s="499"/>
      <c r="O15" s="500">
        <v>0</v>
      </c>
      <c r="P15" s="499">
        <f t="shared" si="6"/>
        <v>0</v>
      </c>
      <c r="Q15" s="499">
        <f t="shared" si="12"/>
        <v>466.76189329659883</v>
      </c>
      <c r="R15" s="499">
        <f t="shared" si="7"/>
        <v>372.07079916558763</v>
      </c>
      <c r="S15" s="499">
        <f t="shared" si="8"/>
        <v>0</v>
      </c>
      <c r="T15" s="499">
        <f t="shared" si="9"/>
        <v>223.32089302393751</v>
      </c>
      <c r="U15" s="499">
        <f t="shared" si="10"/>
        <v>1062.153585486124</v>
      </c>
      <c r="V15" s="501">
        <f t="shared" si="11"/>
        <v>372.07079916558763</v>
      </c>
    </row>
    <row r="16" spans="1:22" ht="13.5" thickBot="1">
      <c r="A16" s="265" t="s">
        <v>151</v>
      </c>
      <c r="C16" s="502">
        <f>SUM(C4:C15)</f>
        <v>12245.706916095258</v>
      </c>
      <c r="D16" s="502">
        <f>SUM(D4:D15)</f>
        <v>1675.0000536495997</v>
      </c>
      <c r="E16" s="503">
        <f>SUM(E4:E15)</f>
        <v>0</v>
      </c>
      <c r="F16" s="504">
        <f>SUM(F4:F15)</f>
        <v>13920.706969744855</v>
      </c>
      <c r="G16" s="505">
        <f>SUM(G4:G15)</f>
        <v>6709.9569697448587</v>
      </c>
      <c r="I16" s="505">
        <f>SUM(I4:I15)</f>
        <v>4197.5</v>
      </c>
      <c r="K16" s="505">
        <f>SUM(K4:K15)</f>
        <v>2831</v>
      </c>
      <c r="L16" s="267"/>
      <c r="M16" s="505">
        <f>SUM(M4:M15)</f>
        <v>182.25</v>
      </c>
      <c r="N16" s="267"/>
      <c r="O16" s="506">
        <f>SUM(O4:O15)</f>
        <v>2376</v>
      </c>
      <c r="Q16" s="507">
        <f t="shared" ref="Q16:V16" si="13">SUM(Q4:Q15)</f>
        <v>6905.4082149106698</v>
      </c>
      <c r="R16" s="508">
        <f t="shared" si="13"/>
        <v>4380.8336030786932</v>
      </c>
      <c r="S16" s="509">
        <f t="shared" si="13"/>
        <v>196.31754956697586</v>
      </c>
      <c r="T16" s="508">
        <f t="shared" si="13"/>
        <v>2913.462894703996</v>
      </c>
      <c r="U16" s="508">
        <f t="shared" si="13"/>
        <v>14396.022262260332</v>
      </c>
      <c r="V16" s="510">
        <f t="shared" si="13"/>
        <v>2004.8336030786932</v>
      </c>
    </row>
    <row r="18" spans="2:22">
      <c r="G18" s="654" t="s">
        <v>121</v>
      </c>
      <c r="H18" s="654"/>
      <c r="I18" s="654"/>
      <c r="J18" s="654"/>
      <c r="K18" s="654"/>
      <c r="L18" s="654"/>
      <c r="M18" s="654"/>
      <c r="N18" s="654"/>
      <c r="O18" s="654"/>
      <c r="P18" s="654"/>
      <c r="Q18" s="654"/>
      <c r="R18" s="654"/>
      <c r="S18" s="268" t="s">
        <v>19</v>
      </c>
      <c r="T18" s="268" t="s">
        <v>152</v>
      </c>
      <c r="V18" s="267"/>
    </row>
    <row r="19" spans="2:22">
      <c r="G19" s="267">
        <f>$F$4</f>
        <v>964.55364626822006</v>
      </c>
      <c r="H19" s="267">
        <f>$F$5</f>
        <v>939.26872936779807</v>
      </c>
      <c r="I19" s="267">
        <f>$F$6</f>
        <v>1008.8091783054149</v>
      </c>
      <c r="J19" s="267">
        <f>$F$7</f>
        <v>986.90064675765973</v>
      </c>
      <c r="K19" s="267">
        <f>$F$8</f>
        <v>1140.4344088428122</v>
      </c>
      <c r="L19" s="267">
        <f>$F$9</f>
        <v>1405.4960921573906</v>
      </c>
      <c r="M19" s="267">
        <f>$F$10</f>
        <v>1400.7611300923386</v>
      </c>
      <c r="N19" s="267">
        <f>$F$11</f>
        <v>1456.0184852744303</v>
      </c>
      <c r="O19" s="267">
        <f>$F$12</f>
        <v>1225.2334757075819</v>
      </c>
      <c r="P19" s="267">
        <f>$F$13</f>
        <v>1261.4862875196784</v>
      </c>
      <c r="Q19" s="267">
        <f>$F$14</f>
        <v>1104.6942633822332</v>
      </c>
      <c r="R19" s="267">
        <f>$F$15</f>
        <v>1027.0506260692996</v>
      </c>
      <c r="S19" s="267">
        <f>SUM(G19:R19)</f>
        <v>13920.706969744855</v>
      </c>
    </row>
    <row r="21" spans="2:22">
      <c r="F21" s="384"/>
      <c r="G21" s="384"/>
      <c r="H21" s="384"/>
      <c r="I21" s="384"/>
      <c r="J21" s="384"/>
      <c r="K21" s="384"/>
      <c r="L21" s="384"/>
      <c r="M21" s="384"/>
      <c r="N21" s="384"/>
      <c r="O21" s="384"/>
      <c r="P21" s="384"/>
      <c r="Q21" s="384"/>
      <c r="R21" s="384"/>
      <c r="S21" s="384"/>
    </row>
    <row r="22" spans="2:22">
      <c r="F22" s="511"/>
      <c r="G22" s="512" t="s">
        <v>34</v>
      </c>
      <c r="H22" s="512" t="s">
        <v>35</v>
      </c>
      <c r="I22" s="512" t="s">
        <v>36</v>
      </c>
      <c r="J22" s="512" t="s">
        <v>37</v>
      </c>
      <c r="K22" s="512" t="s">
        <v>33</v>
      </c>
      <c r="L22" s="512" t="s">
        <v>38</v>
      </c>
      <c r="M22" s="512" t="s">
        <v>39</v>
      </c>
      <c r="N22" s="512" t="s">
        <v>40</v>
      </c>
      <c r="O22" s="512" t="s">
        <v>41</v>
      </c>
      <c r="P22" s="512" t="s">
        <v>42</v>
      </c>
      <c r="Q22" s="512" t="s">
        <v>43</v>
      </c>
      <c r="R22" s="512" t="s">
        <v>44</v>
      </c>
      <c r="S22" s="513"/>
      <c r="T22" s="514"/>
    </row>
    <row r="23" spans="2:22" ht="13.5" customHeight="1" thickBot="1">
      <c r="C23" s="651"/>
      <c r="D23" s="652"/>
      <c r="F23" s="515"/>
      <c r="G23" s="653" t="s">
        <v>21</v>
      </c>
      <c r="H23" s="653"/>
      <c r="I23" s="653"/>
      <c r="J23" s="653"/>
      <c r="K23" s="653"/>
      <c r="L23" s="653"/>
      <c r="M23" s="653"/>
      <c r="N23" s="653"/>
      <c r="O23" s="653"/>
      <c r="P23" s="653"/>
      <c r="Q23" s="653"/>
      <c r="R23" s="653"/>
      <c r="S23" s="653"/>
      <c r="T23" s="516"/>
    </row>
    <row r="24" spans="2:22" ht="13.5" thickBot="1">
      <c r="B24" s="517"/>
      <c r="D24" s="518">
        <f t="shared" ref="D24:D36" si="14">D4/F4</f>
        <v>6.6151770980967736E-2</v>
      </c>
      <c r="E24" s="517"/>
      <c r="F24" s="519" t="s">
        <v>18</v>
      </c>
      <c r="G24" s="385">
        <f>$G$4</f>
        <v>367.80364626822006</v>
      </c>
      <c r="H24" s="385">
        <f>$G$5</f>
        <v>400.26872936779807</v>
      </c>
      <c r="I24" s="385">
        <f>$G$6</f>
        <v>412.05917830541489</v>
      </c>
      <c r="J24" s="385">
        <f>$G$7</f>
        <v>409.40064675765973</v>
      </c>
      <c r="K24" s="385">
        <f>$G$8</f>
        <v>543.68440884281222</v>
      </c>
      <c r="L24" s="385">
        <f>$G$9</f>
        <v>737.99609215739065</v>
      </c>
      <c r="M24" s="385">
        <f>$G$10</f>
        <v>711.01113009233859</v>
      </c>
      <c r="N24" s="385">
        <f>$G$11</f>
        <v>766.2684852744303</v>
      </c>
      <c r="O24" s="385">
        <f>$G$12</f>
        <v>670.23347570758187</v>
      </c>
      <c r="P24" s="385">
        <f>$G$13</f>
        <v>687.9862875196784</v>
      </c>
      <c r="Q24" s="385">
        <f>$G$14</f>
        <v>549.6942633822332</v>
      </c>
      <c r="R24" s="385">
        <f>$G$15</f>
        <v>453.5506260692996</v>
      </c>
      <c r="S24" s="385">
        <f>SUM(G24:R24)</f>
        <v>6709.9569697448587</v>
      </c>
      <c r="T24" s="520">
        <f>'[30]In Plant Usage'!C39-1</f>
        <v>2.9128539280818044E-2</v>
      </c>
    </row>
    <row r="25" spans="2:22" ht="13.5" thickBot="1">
      <c r="B25" s="517"/>
      <c r="D25" s="518">
        <f t="shared" si="14"/>
        <v>0.13403340865217778</v>
      </c>
      <c r="E25" s="517"/>
      <c r="F25" s="515"/>
      <c r="G25" s="384"/>
      <c r="H25" s="384"/>
      <c r="I25" s="384"/>
      <c r="J25" s="384"/>
      <c r="K25" s="384"/>
      <c r="L25" s="384"/>
      <c r="M25" s="384"/>
      <c r="N25" s="384"/>
      <c r="O25" s="384"/>
      <c r="P25" s="384"/>
      <c r="Q25" s="384"/>
      <c r="R25" s="384"/>
      <c r="S25" s="384"/>
      <c r="T25" s="520"/>
    </row>
    <row r="26" spans="2:22" ht="13.5" thickBot="1">
      <c r="B26" s="517"/>
      <c r="D26" s="518">
        <f t="shared" si="14"/>
        <v>0.18721003149747134</v>
      </c>
      <c r="E26" s="517"/>
      <c r="F26" s="519" t="s">
        <v>17</v>
      </c>
      <c r="G26" s="385">
        <f>$I$4</f>
        <v>356.5</v>
      </c>
      <c r="H26" s="385">
        <f>$I$5</f>
        <v>322</v>
      </c>
      <c r="I26" s="385">
        <f>$I$6</f>
        <v>356.5</v>
      </c>
      <c r="J26" s="385">
        <f>$I$7</f>
        <v>345</v>
      </c>
      <c r="K26" s="385">
        <f>$I$8</f>
        <v>356.5</v>
      </c>
      <c r="L26" s="385">
        <f>$I$9</f>
        <v>345</v>
      </c>
      <c r="M26" s="385">
        <f>$I$10</f>
        <v>356.5</v>
      </c>
      <c r="N26" s="385">
        <f>$I$11</f>
        <v>356.5</v>
      </c>
      <c r="O26" s="385">
        <f>$I$12</f>
        <v>345</v>
      </c>
      <c r="P26" s="385">
        <f>$I$13</f>
        <v>356.5</v>
      </c>
      <c r="Q26" s="385">
        <f>$I$14</f>
        <v>345</v>
      </c>
      <c r="R26" s="385">
        <f>$I$15</f>
        <v>356.5</v>
      </c>
      <c r="S26" s="385">
        <f>SUM(G26:R26)</f>
        <v>4197.5</v>
      </c>
      <c r="T26" s="520">
        <f>'[30]In Plant Usage'!E39-1</f>
        <v>4.3676856004453368E-2</v>
      </c>
    </row>
    <row r="27" spans="2:22" ht="13.5" thickBot="1">
      <c r="B27" s="517"/>
      <c r="D27" s="518">
        <f t="shared" si="14"/>
        <v>0.11126061430143376</v>
      </c>
      <c r="E27" s="517"/>
      <c r="F27" s="515"/>
      <c r="G27" s="384"/>
      <c r="H27" s="384"/>
      <c r="I27" s="384"/>
      <c r="J27" s="384"/>
      <c r="K27" s="384"/>
      <c r="L27" s="384"/>
      <c r="M27" s="384"/>
      <c r="N27" s="384"/>
      <c r="O27" s="384"/>
      <c r="P27" s="384"/>
      <c r="Q27" s="384"/>
      <c r="R27" s="384"/>
      <c r="S27" s="384"/>
      <c r="T27" s="520"/>
    </row>
    <row r="28" spans="2:22" ht="13.5" thickBot="1">
      <c r="B28" s="517"/>
      <c r="D28" s="518">
        <f t="shared" si="14"/>
        <v>0.19629899001057707</v>
      </c>
      <c r="E28" s="517"/>
      <c r="F28" s="519" t="s">
        <v>45</v>
      </c>
      <c r="G28" s="385">
        <f>$K$4</f>
        <v>217</v>
      </c>
      <c r="H28" s="385">
        <f>$K$5</f>
        <v>196</v>
      </c>
      <c r="I28" s="385">
        <f>$K$6</f>
        <v>217</v>
      </c>
      <c r="J28" s="385">
        <f>$K$7</f>
        <v>210</v>
      </c>
      <c r="K28" s="385">
        <f>$K$8</f>
        <v>217</v>
      </c>
      <c r="L28" s="385">
        <f>$K$9</f>
        <v>300</v>
      </c>
      <c r="M28" s="385">
        <f>$K$10</f>
        <v>310</v>
      </c>
      <c r="N28" s="385">
        <f>$K$11</f>
        <v>310</v>
      </c>
      <c r="O28" s="385">
        <f>$K$12</f>
        <v>210</v>
      </c>
      <c r="P28" s="385">
        <f>$K$13</f>
        <v>217</v>
      </c>
      <c r="Q28" s="385">
        <f>$K$14</f>
        <v>210</v>
      </c>
      <c r="R28" s="385">
        <f>$K$15</f>
        <v>217</v>
      </c>
      <c r="S28" s="385">
        <f>SUM(G28:R28)</f>
        <v>2831</v>
      </c>
      <c r="T28" s="521">
        <f>'[30]In Plant Usage'!C39-1</f>
        <v>2.9128539280818044E-2</v>
      </c>
    </row>
    <row r="29" spans="2:22" ht="13.5" thickBot="1">
      <c r="B29" s="517"/>
      <c r="D29" s="518">
        <f t="shared" si="14"/>
        <v>0.20189905949929854</v>
      </c>
      <c r="E29" s="517"/>
      <c r="F29" s="515"/>
      <c r="G29" s="384"/>
      <c r="H29" s="384"/>
      <c r="I29" s="384"/>
      <c r="J29" s="384"/>
      <c r="K29" s="384"/>
      <c r="L29" s="384"/>
      <c r="M29" s="384"/>
      <c r="N29" s="384"/>
      <c r="O29" s="384"/>
      <c r="P29" s="384"/>
      <c r="Q29" s="384"/>
      <c r="R29" s="384"/>
      <c r="S29" s="384"/>
      <c r="T29" s="520"/>
    </row>
    <row r="30" spans="2:22" ht="13.5" thickBot="1">
      <c r="B30" s="517"/>
      <c r="D30" s="518">
        <f t="shared" si="14"/>
        <v>0.12443286513186146</v>
      </c>
      <c r="E30" s="517"/>
      <c r="F30" s="519" t="s">
        <v>108</v>
      </c>
      <c r="G30" s="385">
        <f>$M$4</f>
        <v>23.25</v>
      </c>
      <c r="H30" s="385">
        <f>$M$5</f>
        <v>21</v>
      </c>
      <c r="I30" s="385">
        <f>$M$6</f>
        <v>23.25</v>
      </c>
      <c r="J30" s="385">
        <f>$M$7</f>
        <v>22.5</v>
      </c>
      <c r="K30" s="385">
        <f>$M$8</f>
        <v>23.25</v>
      </c>
      <c r="L30" s="385">
        <f>$M$9</f>
        <v>22.5</v>
      </c>
      <c r="M30" s="385">
        <f>$M$10</f>
        <v>23.25</v>
      </c>
      <c r="N30" s="385">
        <f>$M$11</f>
        <v>23.25</v>
      </c>
      <c r="O30" s="385">
        <f>$M$12</f>
        <v>0</v>
      </c>
      <c r="P30" s="385">
        <f>$M$13</f>
        <v>0</v>
      </c>
      <c r="Q30" s="385">
        <f>$M$14</f>
        <v>0</v>
      </c>
      <c r="R30" s="385">
        <f>$M$15</f>
        <v>0</v>
      </c>
      <c r="S30" s="385">
        <f>SUM(G30:R30)</f>
        <v>182.25</v>
      </c>
      <c r="T30" s="520">
        <f>'[30]In Plant Usage'!G39-1</f>
        <v>7.7188200641842952E-2</v>
      </c>
    </row>
    <row r="31" spans="2:22" ht="13.5" thickBot="1">
      <c r="B31" s="517"/>
      <c r="D31" s="518">
        <f t="shared" si="14"/>
        <v>0.14874979960504373</v>
      </c>
      <c r="E31" s="517"/>
      <c r="F31" s="522"/>
      <c r="G31" s="384"/>
      <c r="H31" s="384"/>
      <c r="I31" s="384"/>
      <c r="J31" s="384"/>
      <c r="K31" s="384"/>
      <c r="L31" s="384"/>
      <c r="M31" s="384"/>
      <c r="N31" s="384"/>
      <c r="O31" s="384"/>
      <c r="P31" s="384"/>
      <c r="Q31" s="384"/>
      <c r="R31" s="384"/>
      <c r="S31" s="384"/>
      <c r="T31" s="516"/>
    </row>
    <row r="32" spans="2:22" ht="13.5" thickBot="1">
      <c r="B32" s="517"/>
      <c r="D32" s="518">
        <f t="shared" si="14"/>
        <v>-8.9212134891079417E-2</v>
      </c>
      <c r="E32" s="517"/>
      <c r="F32" s="523"/>
      <c r="G32" s="386"/>
      <c r="H32" s="386"/>
      <c r="I32" s="386"/>
      <c r="J32" s="386"/>
      <c r="K32" s="386"/>
      <c r="L32" s="386"/>
      <c r="M32" s="386"/>
      <c r="N32" s="386"/>
      <c r="O32" s="386"/>
      <c r="P32" s="386"/>
      <c r="Q32" s="386"/>
      <c r="R32" s="386"/>
      <c r="S32" s="386"/>
      <c r="T32" s="516"/>
    </row>
    <row r="33" spans="2:20" ht="13.5" thickBot="1">
      <c r="B33" s="517"/>
      <c r="D33" s="518">
        <f t="shared" si="14"/>
        <v>0.10245439282086624</v>
      </c>
      <c r="E33" s="517"/>
      <c r="F33" s="523"/>
      <c r="G33" s="649" t="s">
        <v>153</v>
      </c>
      <c r="H33" s="649"/>
      <c r="I33" s="649"/>
      <c r="J33" s="649"/>
      <c r="K33" s="649"/>
      <c r="L33" s="649"/>
      <c r="M33" s="649"/>
      <c r="N33" s="649"/>
      <c r="O33" s="649"/>
      <c r="P33" s="649"/>
      <c r="Q33" s="649"/>
      <c r="R33" s="649"/>
      <c r="S33" s="649"/>
      <c r="T33" s="650"/>
    </row>
    <row r="34" spans="2:20" ht="13.5" thickBot="1">
      <c r="B34" s="517"/>
      <c r="D34" s="518">
        <f t="shared" si="14"/>
        <v>0.11304633342045822</v>
      </c>
      <c r="E34" s="517"/>
      <c r="F34" s="523"/>
      <c r="G34" s="386"/>
      <c r="H34" s="386"/>
      <c r="I34" s="386"/>
      <c r="J34" s="386"/>
      <c r="K34" s="386"/>
      <c r="L34" s="386"/>
      <c r="M34" s="386"/>
      <c r="N34" s="386"/>
      <c r="O34" s="386"/>
      <c r="P34" s="386"/>
      <c r="Q34" s="386"/>
      <c r="R34" s="386"/>
      <c r="S34" s="387" t="s">
        <v>19</v>
      </c>
      <c r="T34" s="516"/>
    </row>
    <row r="35" spans="2:20" ht="13.5" thickBot="1">
      <c r="B35" s="517"/>
      <c r="D35" s="518">
        <f t="shared" si="14"/>
        <v>0.13952473655895609</v>
      </c>
      <c r="E35" s="517"/>
      <c r="F35" s="524" t="s">
        <v>18</v>
      </c>
      <c r="G35" s="388">
        <f t="shared" ref="G35:S35" si="15">G24/G19</f>
        <v>0.38132005170601196</v>
      </c>
      <c r="H35" s="388">
        <f t="shared" si="15"/>
        <v>0.42614931898905067</v>
      </c>
      <c r="I35" s="388">
        <f t="shared" si="15"/>
        <v>0.40846097276552018</v>
      </c>
      <c r="J35" s="388">
        <f t="shared" si="15"/>
        <v>0.41483471320309195</v>
      </c>
      <c r="K35" s="388">
        <f t="shared" si="15"/>
        <v>0.47673448348027619</v>
      </c>
      <c r="L35" s="388">
        <f t="shared" si="15"/>
        <v>0.52507872222155438</v>
      </c>
      <c r="M35" s="388">
        <f t="shared" si="15"/>
        <v>0.50758913480521017</v>
      </c>
      <c r="N35" s="388">
        <f t="shared" si="15"/>
        <v>0.52627661875460607</v>
      </c>
      <c r="O35" s="388">
        <f t="shared" si="15"/>
        <v>0.54702510908830404</v>
      </c>
      <c r="P35" s="388">
        <f t="shared" si="15"/>
        <v>0.5453775394359538</v>
      </c>
      <c r="Q35" s="388">
        <f t="shared" si="15"/>
        <v>0.49759854975551232</v>
      </c>
      <c r="R35" s="388">
        <f t="shared" si="15"/>
        <v>0.44160493607322582</v>
      </c>
      <c r="S35" s="388">
        <f t="shared" si="15"/>
        <v>0.48201265814503685</v>
      </c>
      <c r="T35" s="516"/>
    </row>
    <row r="36" spans="2:20">
      <c r="D36" s="518">
        <f t="shared" si="14"/>
        <v>0.12032435258424953</v>
      </c>
      <c r="E36" s="517"/>
      <c r="F36" s="523"/>
      <c r="G36" s="386"/>
      <c r="H36" s="389"/>
      <c r="I36" s="389"/>
      <c r="J36" s="389"/>
      <c r="K36" s="389"/>
      <c r="L36" s="389"/>
      <c r="M36" s="389"/>
      <c r="N36" s="389"/>
      <c r="O36" s="389"/>
      <c r="P36" s="389"/>
      <c r="Q36" s="389"/>
      <c r="R36" s="389"/>
      <c r="S36" s="386"/>
      <c r="T36" s="516"/>
    </row>
    <row r="37" spans="2:20">
      <c r="F37" s="525" t="s">
        <v>17</v>
      </c>
      <c r="G37" s="388">
        <f t="shared" ref="G37:S37" si="16">G26/G19</f>
        <v>0.36960100807173313</v>
      </c>
      <c r="H37" s="388">
        <f t="shared" si="16"/>
        <v>0.34281988735719054</v>
      </c>
      <c r="I37" s="388">
        <f t="shared" si="16"/>
        <v>0.35338695133488401</v>
      </c>
      <c r="J37" s="388">
        <f t="shared" si="16"/>
        <v>0.34957926224230873</v>
      </c>
      <c r="K37" s="388">
        <f t="shared" si="16"/>
        <v>0.31260017870009471</v>
      </c>
      <c r="L37" s="388">
        <f t="shared" si="16"/>
        <v>0.24546493008773596</v>
      </c>
      <c r="M37" s="388">
        <f t="shared" si="16"/>
        <v>0.25450449212314979</v>
      </c>
      <c r="N37" s="388">
        <f t="shared" si="16"/>
        <v>0.24484579255379912</v>
      </c>
      <c r="O37" s="388">
        <f t="shared" si="16"/>
        <v>0.28157898624240563</v>
      </c>
      <c r="P37" s="388">
        <f t="shared" si="16"/>
        <v>0.28260315116143409</v>
      </c>
      <c r="Q37" s="388">
        <f t="shared" si="16"/>
        <v>0.31230360420603287</v>
      </c>
      <c r="R37" s="388">
        <f t="shared" si="16"/>
        <v>0.34711044514367045</v>
      </c>
      <c r="S37" s="388">
        <f t="shared" si="16"/>
        <v>0.30152922614654631</v>
      </c>
      <c r="T37" s="516"/>
    </row>
    <row r="38" spans="2:20">
      <c r="F38" s="523"/>
      <c r="G38" s="386"/>
      <c r="H38" s="389"/>
      <c r="I38" s="389"/>
      <c r="J38" s="389"/>
      <c r="K38" s="389"/>
      <c r="L38" s="389"/>
      <c r="M38" s="389"/>
      <c r="N38" s="389"/>
      <c r="O38" s="389"/>
      <c r="P38" s="389"/>
      <c r="Q38" s="389"/>
      <c r="R38" s="389"/>
      <c r="S38" s="386"/>
      <c r="T38" s="516"/>
    </row>
    <row r="39" spans="2:20">
      <c r="F39" s="525" t="s">
        <v>45</v>
      </c>
      <c r="G39" s="388">
        <f t="shared" ref="G39:S39" si="17">G28/G19</f>
        <v>0.22497452665235929</v>
      </c>
      <c r="H39" s="388">
        <f t="shared" si="17"/>
        <v>0.20867297491307249</v>
      </c>
      <c r="I39" s="388">
        <f t="shared" si="17"/>
        <v>0.21510510081253811</v>
      </c>
      <c r="J39" s="388">
        <f t="shared" si="17"/>
        <v>0.21278737701705747</v>
      </c>
      <c r="K39" s="388">
        <f t="shared" si="17"/>
        <v>0.19027836964353592</v>
      </c>
      <c r="L39" s="388">
        <f t="shared" si="17"/>
        <v>0.21344776529368345</v>
      </c>
      <c r="M39" s="388">
        <f t="shared" si="17"/>
        <v>0.22130825402013027</v>
      </c>
      <c r="N39" s="388">
        <f t="shared" si="17"/>
        <v>0.21290938482939056</v>
      </c>
      <c r="O39" s="388">
        <f t="shared" si="17"/>
        <v>0.17139590466929036</v>
      </c>
      <c r="P39" s="388">
        <f t="shared" si="17"/>
        <v>0.17201930940261206</v>
      </c>
      <c r="Q39" s="388">
        <f t="shared" si="17"/>
        <v>0.19009784603845481</v>
      </c>
      <c r="R39" s="388">
        <f t="shared" si="17"/>
        <v>0.21128461878310376</v>
      </c>
      <c r="S39" s="388">
        <f t="shared" si="17"/>
        <v>0.20336610821223886</v>
      </c>
      <c r="T39" s="516"/>
    </row>
    <row r="40" spans="2:20">
      <c r="F40" s="523"/>
      <c r="G40" s="386"/>
      <c r="H40" s="386"/>
      <c r="I40" s="386"/>
      <c r="J40" s="386"/>
      <c r="K40" s="386"/>
      <c r="L40" s="386"/>
      <c r="M40" s="386"/>
      <c r="N40" s="386"/>
      <c r="O40" s="386"/>
      <c r="P40" s="386"/>
      <c r="Q40" s="386"/>
      <c r="R40" s="386"/>
      <c r="S40" s="386"/>
      <c r="T40" s="516"/>
    </row>
    <row r="41" spans="2:20">
      <c r="F41" s="526" t="s">
        <v>108</v>
      </c>
      <c r="G41" s="527">
        <f t="shared" ref="G41:S41" si="18">G30/G19</f>
        <v>2.4104413569895636E-2</v>
      </c>
      <c r="H41" s="527">
        <f t="shared" si="18"/>
        <v>2.2357818740686337E-2</v>
      </c>
      <c r="I41" s="527">
        <f t="shared" si="18"/>
        <v>2.3046975087057654E-2</v>
      </c>
      <c r="J41" s="527">
        <f t="shared" si="18"/>
        <v>2.2798647537541874E-2</v>
      </c>
      <c r="K41" s="527">
        <f t="shared" si="18"/>
        <v>2.0386968176093135E-2</v>
      </c>
      <c r="L41" s="527">
        <f t="shared" si="18"/>
        <v>1.6008582397026259E-2</v>
      </c>
      <c r="M41" s="527">
        <f t="shared" si="18"/>
        <v>1.659811905150977E-2</v>
      </c>
      <c r="N41" s="527">
        <f t="shared" si="18"/>
        <v>1.5968203862204291E-2</v>
      </c>
      <c r="O41" s="527">
        <f t="shared" si="18"/>
        <v>0</v>
      </c>
      <c r="P41" s="527">
        <f t="shared" si="18"/>
        <v>0</v>
      </c>
      <c r="Q41" s="527">
        <f t="shared" si="18"/>
        <v>0</v>
      </c>
      <c r="R41" s="527">
        <f t="shared" si="18"/>
        <v>0</v>
      </c>
      <c r="S41" s="528">
        <f t="shared" si="18"/>
        <v>1.3092007496178218E-2</v>
      </c>
      <c r="T41" s="529"/>
    </row>
    <row r="43" spans="2:20">
      <c r="F43" s="530"/>
      <c r="G43" s="655" t="s">
        <v>20</v>
      </c>
      <c r="H43" s="655"/>
      <c r="I43" s="655"/>
      <c r="J43" s="655"/>
      <c r="K43" s="655"/>
      <c r="L43" s="655"/>
      <c r="M43" s="655"/>
      <c r="N43" s="655"/>
      <c r="O43" s="655"/>
      <c r="P43" s="655"/>
      <c r="Q43" s="655"/>
      <c r="R43" s="655"/>
      <c r="S43" s="531"/>
      <c r="T43" s="514"/>
    </row>
    <row r="44" spans="2:20">
      <c r="F44" s="523"/>
      <c r="G44" s="386"/>
      <c r="H44" s="386"/>
      <c r="I44" s="386"/>
      <c r="J44" s="386"/>
      <c r="K44" s="386"/>
      <c r="L44" s="386"/>
      <c r="M44" s="386"/>
      <c r="N44" s="386"/>
      <c r="O44" s="386"/>
      <c r="P44" s="386"/>
      <c r="Q44" s="386"/>
      <c r="R44" s="386"/>
      <c r="S44" s="387" t="s">
        <v>19</v>
      </c>
      <c r="T44" s="516"/>
    </row>
    <row r="45" spans="2:20">
      <c r="F45" s="524" t="s">
        <v>18</v>
      </c>
      <c r="G45" s="390">
        <f>$Q$4</f>
        <v>378.51722922617199</v>
      </c>
      <c r="H45" s="390">
        <f>$Q$5</f>
        <v>411.92797277407112</v>
      </c>
      <c r="I45" s="390">
        <f>$Q$6</f>
        <v>424.06186026670576</v>
      </c>
      <c r="J45" s="390">
        <f>$Q$7</f>
        <v>421.32588957833252</v>
      </c>
      <c r="K45" s="390">
        <f>$Q$8</f>
        <v>559.52114150215846</v>
      </c>
      <c r="L45" s="390">
        <f>$Q$9</f>
        <v>759.4928403168874</v>
      </c>
      <c r="M45" s="390">
        <f>$Q$10</f>
        <v>731.72184572433207</v>
      </c>
      <c r="N45" s="390">
        <f>$Q$11</f>
        <v>788.58876694739945</v>
      </c>
      <c r="O45" s="390">
        <f>$Q$12</f>
        <v>689.7563978320494</v>
      </c>
      <c r="P45" s="390">
        <f>$Q$13</f>
        <v>708.02632312035951</v>
      </c>
      <c r="Q45" s="390">
        <f>$Q$14</f>
        <v>565.70605432560296</v>
      </c>
      <c r="R45" s="390">
        <f>$Q$15</f>
        <v>466.76189329659883</v>
      </c>
      <c r="S45" s="390">
        <f>SUM(G45:R45)</f>
        <v>6905.4082149106698</v>
      </c>
      <c r="T45" s="516"/>
    </row>
    <row r="46" spans="2:20">
      <c r="F46" s="523"/>
      <c r="G46" s="386"/>
      <c r="H46" s="386"/>
      <c r="I46" s="386"/>
      <c r="J46" s="386"/>
      <c r="K46" s="386"/>
      <c r="L46" s="386"/>
      <c r="M46" s="386"/>
      <c r="N46" s="386"/>
      <c r="O46" s="386"/>
      <c r="P46" s="386"/>
      <c r="Q46" s="386"/>
      <c r="R46" s="386"/>
      <c r="S46" s="386"/>
      <c r="T46" s="516"/>
    </row>
    <row r="47" spans="2:20">
      <c r="F47" s="524" t="s">
        <v>17</v>
      </c>
      <c r="G47" s="390">
        <f>$R$4</f>
        <v>372.07079916558763</v>
      </c>
      <c r="H47" s="390">
        <f>$R$5</f>
        <v>336.063947633434</v>
      </c>
      <c r="I47" s="390">
        <f>$R$6</f>
        <v>372.07079916558763</v>
      </c>
      <c r="J47" s="390">
        <f>$R$7</f>
        <v>360.06851532153644</v>
      </c>
      <c r="K47" s="390">
        <f>$R$8</f>
        <v>372.07079916558763</v>
      </c>
      <c r="L47" s="390">
        <f>$R$9</f>
        <v>360.06851532153644</v>
      </c>
      <c r="M47" s="390">
        <f>$R$10</f>
        <v>372.07079916558763</v>
      </c>
      <c r="N47" s="390">
        <f>$R$11</f>
        <v>372.07079916558763</v>
      </c>
      <c r="O47" s="390">
        <f>$R$12</f>
        <v>360.06851532153644</v>
      </c>
      <c r="P47" s="390">
        <f>$R$13</f>
        <v>372.07079916558763</v>
      </c>
      <c r="Q47" s="390">
        <f>$R$14</f>
        <v>360.06851532153644</v>
      </c>
      <c r="R47" s="390">
        <f>$R$15</f>
        <v>372.07079916558763</v>
      </c>
      <c r="S47" s="390">
        <f>SUM(G47:R47)</f>
        <v>4380.8336030786932</v>
      </c>
      <c r="T47" s="516"/>
    </row>
    <row r="48" spans="2:20">
      <c r="F48" s="523"/>
      <c r="G48" s="386"/>
      <c r="H48" s="386"/>
      <c r="I48" s="386"/>
      <c r="J48" s="386"/>
      <c r="K48" s="386"/>
      <c r="L48" s="386"/>
      <c r="M48" s="386"/>
      <c r="N48" s="386"/>
      <c r="O48" s="386"/>
      <c r="P48" s="386"/>
      <c r="Q48" s="386"/>
      <c r="R48" s="386"/>
      <c r="S48" s="386"/>
      <c r="T48" s="516"/>
    </row>
    <row r="49" spans="6:20">
      <c r="F49" s="524" t="s">
        <v>45</v>
      </c>
      <c r="G49" s="390">
        <f>$T$4</f>
        <v>223.32089302393751</v>
      </c>
      <c r="H49" s="390">
        <f>$T$5</f>
        <v>201.70919369904033</v>
      </c>
      <c r="I49" s="390">
        <f>$T$6</f>
        <v>223.32089302393751</v>
      </c>
      <c r="J49" s="390">
        <f>$T$7</f>
        <v>216.1169932489718</v>
      </c>
      <c r="K49" s="390">
        <f>$T$8</f>
        <v>223.32089302393751</v>
      </c>
      <c r="L49" s="390">
        <f>$T$9</f>
        <v>308.73856178424541</v>
      </c>
      <c r="M49" s="390">
        <f>$T$10</f>
        <v>319.02984717705357</v>
      </c>
      <c r="N49" s="390">
        <f>$T$11</f>
        <v>319.02984717705357</v>
      </c>
      <c r="O49" s="390">
        <f>$T$12</f>
        <v>216.1169932489718</v>
      </c>
      <c r="P49" s="390">
        <f>$T$13</f>
        <v>223.32089302393751</v>
      </c>
      <c r="Q49" s="390">
        <f>$T$14</f>
        <v>216.1169932489718</v>
      </c>
      <c r="R49" s="390">
        <f>$T$15</f>
        <v>223.32089302393751</v>
      </c>
      <c r="S49" s="390">
        <f>SUM(G49:R49)</f>
        <v>2913.462894703996</v>
      </c>
      <c r="T49" s="516"/>
    </row>
    <row r="50" spans="6:20">
      <c r="F50" s="523"/>
      <c r="G50" s="386"/>
      <c r="H50" s="386"/>
      <c r="I50" s="386"/>
      <c r="J50" s="386"/>
      <c r="K50" s="386"/>
      <c r="L50" s="386"/>
      <c r="M50" s="386"/>
      <c r="N50" s="386"/>
      <c r="O50" s="386"/>
      <c r="P50" s="386"/>
      <c r="Q50" s="386"/>
      <c r="R50" s="386"/>
      <c r="S50" s="386"/>
      <c r="T50" s="516"/>
    </row>
    <row r="51" spans="6:20">
      <c r="F51" s="524" t="s">
        <v>108</v>
      </c>
      <c r="G51" s="390">
        <f>$S$4</f>
        <v>25.044625664922847</v>
      </c>
      <c r="H51" s="390">
        <f>$S$5</f>
        <v>22.620952213478702</v>
      </c>
      <c r="I51" s="390">
        <f>$S$6</f>
        <v>25.044625664922847</v>
      </c>
      <c r="J51" s="390">
        <f>$S$7</f>
        <v>24.236734514441466</v>
      </c>
      <c r="K51" s="390">
        <f>$S$8</f>
        <v>25.044625664922847</v>
      </c>
      <c r="L51" s="390">
        <f>$S$9</f>
        <v>24.236734514441466</v>
      </c>
      <c r="M51" s="390">
        <f>$S$10</f>
        <v>25.044625664922847</v>
      </c>
      <c r="N51" s="390">
        <f>$S$11</f>
        <v>25.044625664922847</v>
      </c>
      <c r="O51" s="390">
        <f>$S$12</f>
        <v>0</v>
      </c>
      <c r="P51" s="390">
        <f>$S$13</f>
        <v>0</v>
      </c>
      <c r="Q51" s="390">
        <f>$S$14</f>
        <v>0</v>
      </c>
      <c r="R51" s="390">
        <f>$S$15</f>
        <v>0</v>
      </c>
      <c r="S51" s="390">
        <f>SUM(G51:R51)</f>
        <v>196.31754956697586</v>
      </c>
      <c r="T51" s="516"/>
    </row>
    <row r="52" spans="6:20">
      <c r="F52" s="523"/>
      <c r="G52" s="386"/>
      <c r="H52" s="386"/>
      <c r="I52" s="386"/>
      <c r="J52" s="386"/>
      <c r="K52" s="386"/>
      <c r="L52" s="386"/>
      <c r="M52" s="386"/>
      <c r="N52" s="386"/>
      <c r="O52" s="386"/>
      <c r="P52" s="386"/>
      <c r="Q52" s="386"/>
      <c r="R52" s="386"/>
      <c r="S52" s="386"/>
      <c r="T52" s="516"/>
    </row>
    <row r="53" spans="6:20">
      <c r="F53" s="523"/>
      <c r="G53" s="649" t="s">
        <v>153</v>
      </c>
      <c r="H53" s="649"/>
      <c r="I53" s="649"/>
      <c r="J53" s="649"/>
      <c r="K53" s="649"/>
      <c r="L53" s="649"/>
      <c r="M53" s="649"/>
      <c r="N53" s="649"/>
      <c r="O53" s="649"/>
      <c r="P53" s="649"/>
      <c r="Q53" s="649"/>
      <c r="R53" s="649"/>
      <c r="S53" s="649"/>
      <c r="T53" s="650"/>
    </row>
    <row r="54" spans="6:20">
      <c r="F54" s="523"/>
      <c r="G54" s="386"/>
      <c r="H54" s="386"/>
      <c r="I54" s="386"/>
      <c r="J54" s="386"/>
      <c r="K54" s="386"/>
      <c r="L54" s="386"/>
      <c r="M54" s="386"/>
      <c r="N54" s="386"/>
      <c r="O54" s="386"/>
      <c r="P54" s="386"/>
      <c r="Q54" s="386"/>
      <c r="R54" s="386"/>
      <c r="S54" s="387" t="s">
        <v>19</v>
      </c>
      <c r="T54" s="516"/>
    </row>
    <row r="55" spans="6:20">
      <c r="F55" s="524" t="s">
        <v>18</v>
      </c>
      <c r="G55" s="388">
        <f t="shared" ref="G55:S55" si="19">G45/G$19</f>
        <v>0.3924273478106941</v>
      </c>
      <c r="H55" s="388">
        <f t="shared" si="19"/>
        <v>0.43856242616671709</v>
      </c>
      <c r="I55" s="388">
        <f t="shared" si="19"/>
        <v>0.42035884425540182</v>
      </c>
      <c r="J55" s="388">
        <f t="shared" si="19"/>
        <v>0.42691824244167509</v>
      </c>
      <c r="K55" s="388">
        <f t="shared" si="19"/>
        <v>0.49062106260885197</v>
      </c>
      <c r="L55" s="388">
        <f t="shared" si="19"/>
        <v>0.54037349840730664</v>
      </c>
      <c r="M55" s="388">
        <f t="shared" si="19"/>
        <v>0.5223744648569002</v>
      </c>
      <c r="N55" s="388">
        <f t="shared" si="19"/>
        <v>0.54160628791657561</v>
      </c>
      <c r="O55" s="388">
        <f t="shared" si="19"/>
        <v>0.56295915146597653</v>
      </c>
      <c r="P55" s="388">
        <f t="shared" si="19"/>
        <v>0.56126359051628993</v>
      </c>
      <c r="Q55" s="388">
        <f t="shared" si="19"/>
        <v>0.51209286865814385</v>
      </c>
      <c r="R55" s="388">
        <f t="shared" si="19"/>
        <v>0.45446824280023795</v>
      </c>
      <c r="S55" s="388">
        <f t="shared" si="19"/>
        <v>0.49605298279166604</v>
      </c>
      <c r="T55" s="516"/>
    </row>
    <row r="56" spans="6:20">
      <c r="F56" s="523"/>
      <c r="G56" s="386"/>
      <c r="H56" s="389"/>
      <c r="I56" s="389"/>
      <c r="J56" s="389"/>
      <c r="K56" s="389"/>
      <c r="L56" s="389"/>
      <c r="M56" s="389"/>
      <c r="N56" s="389"/>
      <c r="O56" s="389"/>
      <c r="P56" s="389"/>
      <c r="Q56" s="389"/>
      <c r="R56" s="389"/>
      <c r="S56" s="389"/>
      <c r="T56" s="516"/>
    </row>
    <row r="57" spans="6:20">
      <c r="F57" s="525" t="s">
        <v>17</v>
      </c>
      <c r="G57" s="388">
        <f t="shared" ref="G57:S57" si="20">G47/G$19</f>
        <v>0.385744018080383</v>
      </c>
      <c r="H57" s="388">
        <f t="shared" si="20"/>
        <v>0.35779318221275347</v>
      </c>
      <c r="I57" s="388">
        <f t="shared" si="20"/>
        <v>0.36882178232219054</v>
      </c>
      <c r="J57" s="388">
        <f t="shared" si="20"/>
        <v>0.3648477853414091</v>
      </c>
      <c r="K57" s="388">
        <f t="shared" si="20"/>
        <v>0.32625357169214519</v>
      </c>
      <c r="L57" s="388">
        <f t="shared" si="20"/>
        <v>0.25618606649332126</v>
      </c>
      <c r="M57" s="388">
        <f t="shared" si="20"/>
        <v>0.26562044817809916</v>
      </c>
      <c r="N57" s="388">
        <f t="shared" si="20"/>
        <v>0.25553988697846769</v>
      </c>
      <c r="O57" s="388">
        <f t="shared" si="20"/>
        <v>0.29387747107839512</v>
      </c>
      <c r="P57" s="388">
        <f t="shared" si="20"/>
        <v>0.29494636830111681</v>
      </c>
      <c r="Q57" s="388">
        <f t="shared" si="20"/>
        <v>0.32594404375661162</v>
      </c>
      <c r="R57" s="388">
        <f t="shared" si="20"/>
        <v>0.36227113807385225</v>
      </c>
      <c r="S57" s="388">
        <f t="shared" si="20"/>
        <v>0.31469907473808328</v>
      </c>
      <c r="T57" s="516"/>
    </row>
    <row r="58" spans="6:20">
      <c r="F58" s="523"/>
      <c r="G58" s="386"/>
      <c r="H58" s="389"/>
      <c r="I58" s="389"/>
      <c r="J58" s="389"/>
      <c r="K58" s="389"/>
      <c r="L58" s="389"/>
      <c r="M58" s="389"/>
      <c r="N58" s="389"/>
      <c r="O58" s="389"/>
      <c r="P58" s="389"/>
      <c r="Q58" s="389"/>
      <c r="R58" s="389"/>
      <c r="S58" s="389"/>
      <c r="T58" s="516"/>
    </row>
    <row r="59" spans="6:20">
      <c r="F59" s="525" t="s">
        <v>45</v>
      </c>
      <c r="G59" s="388">
        <f t="shared" ref="G59:S59" si="21">G49/G$19</f>
        <v>0.23152770598913597</v>
      </c>
      <c r="H59" s="388">
        <f t="shared" si="21"/>
        <v>0.21475131385967308</v>
      </c>
      <c r="I59" s="388">
        <f t="shared" si="21"/>
        <v>0.22137079819106045</v>
      </c>
      <c r="J59" s="388">
        <f t="shared" si="21"/>
        <v>0.21898556248696108</v>
      </c>
      <c r="K59" s="388">
        <f t="shared" si="21"/>
        <v>0.19582090060798768</v>
      </c>
      <c r="L59" s="388">
        <f t="shared" si="21"/>
        <v>0.21966518690944334</v>
      </c>
      <c r="M59" s="388">
        <f t="shared" si="21"/>
        <v>0.22775464019052485</v>
      </c>
      <c r="N59" s="388">
        <f t="shared" si="21"/>
        <v>0.21911112420864823</v>
      </c>
      <c r="O59" s="388">
        <f t="shared" si="21"/>
        <v>0.17638841701102115</v>
      </c>
      <c r="P59" s="388">
        <f t="shared" si="21"/>
        <v>0.17702998061360525</v>
      </c>
      <c r="Q59" s="388">
        <f t="shared" si="21"/>
        <v>0.19563511861398483</v>
      </c>
      <c r="R59" s="388">
        <f t="shared" si="21"/>
        <v>0.21743903110076004</v>
      </c>
      <c r="S59" s="388">
        <f t="shared" si="21"/>
        <v>0.20928986588368617</v>
      </c>
      <c r="T59" s="516"/>
    </row>
    <row r="60" spans="6:20">
      <c r="F60" s="523"/>
      <c r="G60" s="386"/>
      <c r="H60" s="386"/>
      <c r="I60" s="386"/>
      <c r="J60" s="386"/>
      <c r="K60" s="386"/>
      <c r="L60" s="386"/>
      <c r="M60" s="386"/>
      <c r="N60" s="386"/>
      <c r="O60" s="386"/>
      <c r="P60" s="386"/>
      <c r="Q60" s="386"/>
      <c r="R60" s="386"/>
      <c r="S60" s="386"/>
      <c r="T60" s="516"/>
    </row>
    <row r="61" spans="6:20">
      <c r="F61" s="526" t="s">
        <v>108</v>
      </c>
      <c r="G61" s="532">
        <v>25.574999999999999</v>
      </c>
      <c r="H61" s="532">
        <v>23.1</v>
      </c>
      <c r="I61" s="532">
        <v>25.574999999999999</v>
      </c>
      <c r="J61" s="532">
        <v>24.75</v>
      </c>
      <c r="K61" s="532">
        <v>25.574999999999999</v>
      </c>
      <c r="L61" s="532">
        <v>24.75</v>
      </c>
      <c r="M61" s="532">
        <v>25.574999999999999</v>
      </c>
      <c r="N61" s="532">
        <v>25.574999999999999</v>
      </c>
      <c r="O61" s="532">
        <v>24.75</v>
      </c>
      <c r="P61" s="532">
        <v>25.574999999999999</v>
      </c>
      <c r="Q61" s="532">
        <v>24.75</v>
      </c>
      <c r="R61" s="532">
        <v>25.574999999999999</v>
      </c>
      <c r="S61" s="532"/>
      <c r="T61" s="529"/>
    </row>
    <row r="63" spans="6:20">
      <c r="G63" s="268"/>
      <c r="M63" s="268" t="s">
        <v>464</v>
      </c>
    </row>
    <row r="64" spans="6:20">
      <c r="G64" s="269">
        <f>$O4</f>
        <v>186</v>
      </c>
      <c r="H64" s="269">
        <f>$O5</f>
        <v>168</v>
      </c>
      <c r="I64" s="269">
        <f>$O6</f>
        <v>0</v>
      </c>
      <c r="J64" s="269">
        <f>$O7</f>
        <v>0</v>
      </c>
      <c r="K64" s="269">
        <f>$O8</f>
        <v>372</v>
      </c>
      <c r="L64" s="269">
        <f>$O9</f>
        <v>360</v>
      </c>
      <c r="M64" s="269">
        <f>$O10</f>
        <v>372</v>
      </c>
      <c r="N64" s="269">
        <f>$O11</f>
        <v>372</v>
      </c>
      <c r="O64" s="269">
        <f>$O12</f>
        <v>360</v>
      </c>
      <c r="P64" s="269">
        <f>$O13</f>
        <v>186</v>
      </c>
      <c r="Q64" s="269">
        <f>$O14</f>
        <v>0</v>
      </c>
      <c r="R64" s="269">
        <f>$O15</f>
        <v>0</v>
      </c>
      <c r="S64" s="267">
        <f>SUM(G64:R64)</f>
        <v>2376</v>
      </c>
    </row>
    <row r="66" spans="7:18">
      <c r="M66" s="463" t="s">
        <v>536</v>
      </c>
    </row>
    <row r="67" spans="7:18">
      <c r="G67" s="267">
        <f>V4</f>
        <v>186.07079916558763</v>
      </c>
      <c r="H67" s="267">
        <f>V5</f>
        <v>168.063947633434</v>
      </c>
      <c r="I67" s="267">
        <f>V6</f>
        <v>372.07079916558763</v>
      </c>
      <c r="J67" s="267">
        <f>V7</f>
        <v>360.06851532153644</v>
      </c>
      <c r="K67" s="267">
        <f>V8</f>
        <v>7.0799165587629886E-2</v>
      </c>
      <c r="L67" s="267">
        <f>V9</f>
        <v>6.8515321536438023E-2</v>
      </c>
      <c r="M67" s="267">
        <f>V10</f>
        <v>7.0799165587629886E-2</v>
      </c>
      <c r="N67" s="267">
        <f>V11</f>
        <v>7.0799165587629886E-2</v>
      </c>
      <c r="O67" s="267">
        <f>V12</f>
        <v>6.8515321536438023E-2</v>
      </c>
      <c r="P67" s="267">
        <f>V13</f>
        <v>186.07079916558763</v>
      </c>
      <c r="Q67" s="267">
        <f>V14</f>
        <v>360.06851532153644</v>
      </c>
      <c r="R67" s="267">
        <f>V15</f>
        <v>372.07079916558763</v>
      </c>
    </row>
  </sheetData>
  <mergeCells count="10">
    <mergeCell ref="G53:T53"/>
    <mergeCell ref="G18:R18"/>
    <mergeCell ref="O2:P2"/>
    <mergeCell ref="A1:V1"/>
    <mergeCell ref="G2:L2"/>
    <mergeCell ref="Q2:R2"/>
    <mergeCell ref="C23:D23"/>
    <mergeCell ref="G23:S23"/>
    <mergeCell ref="G33:T33"/>
    <mergeCell ref="G43:R43"/>
  </mergeCells>
  <phoneticPr fontId="1" type="noConversion"/>
  <pageMargins left="0.75" right="0.75" top="1" bottom="1" header="0.5" footer="0.5"/>
  <pageSetup scale="49" orientation="landscape" horizontalDpi="4294967293" verticalDpi="300" r:id="rId1"/>
  <headerFooter alignWithMargins="0"/>
  <drawing r:id="rId2"/>
</worksheet>
</file>

<file path=xl/worksheets/sheet13.xml><?xml version="1.0" encoding="utf-8"?>
<worksheet xmlns="http://schemas.openxmlformats.org/spreadsheetml/2006/main" xmlns:r="http://schemas.openxmlformats.org/officeDocument/2006/relationships">
  <sheetPr>
    <pageSetUpPr fitToPage="1"/>
  </sheetPr>
  <dimension ref="A1:V81"/>
  <sheetViews>
    <sheetView zoomScale="85" workbookViewId="0">
      <selection activeCell="I7" sqref="I7"/>
    </sheetView>
  </sheetViews>
  <sheetFormatPr defaultRowHeight="12.75"/>
  <cols>
    <col min="1" max="1" width="9.7109375" style="265" customWidth="1"/>
    <col min="2" max="2" width="6.28515625" style="265" customWidth="1"/>
    <col min="3" max="3" width="12.5703125" style="265" bestFit="1" customWidth="1"/>
    <col min="4" max="4" width="11.5703125" style="265" customWidth="1"/>
    <col min="5" max="5" width="10" style="265" bestFit="1" customWidth="1"/>
    <col min="6" max="6" width="11.7109375" style="265" bestFit="1" customWidth="1"/>
    <col min="7" max="7" width="13.140625" style="265" bestFit="1" customWidth="1"/>
    <col min="8" max="19" width="10.42578125" style="265" customWidth="1"/>
    <col min="20" max="20" width="9.28515625" style="265" customWidth="1"/>
    <col min="21" max="21" width="10.42578125" style="265" customWidth="1"/>
    <col min="22" max="22" width="9.85546875" style="265" bestFit="1" customWidth="1"/>
    <col min="23" max="16384" width="9.140625" style="265"/>
  </cols>
  <sheetData>
    <row r="1" spans="1:22" ht="25.5" customHeight="1" thickBot="1">
      <c r="A1" s="647" t="s">
        <v>537</v>
      </c>
      <c r="B1" s="647"/>
      <c r="C1" s="647"/>
      <c r="D1" s="647"/>
      <c r="E1" s="647"/>
      <c r="F1" s="647"/>
      <c r="G1" s="647"/>
      <c r="H1" s="647"/>
      <c r="I1" s="647"/>
      <c r="J1" s="647"/>
      <c r="K1" s="647"/>
      <c r="L1" s="647"/>
      <c r="M1" s="647"/>
      <c r="N1" s="647"/>
      <c r="O1" s="647"/>
      <c r="P1" s="647"/>
      <c r="Q1" s="647"/>
      <c r="R1" s="647"/>
      <c r="S1" s="647"/>
      <c r="T1" s="647"/>
      <c r="U1" s="647"/>
      <c r="V1" s="647"/>
    </row>
    <row r="2" spans="1:22" ht="25.5" customHeight="1" thickBot="1">
      <c r="G2" s="645" t="s">
        <v>132</v>
      </c>
      <c r="H2" s="648"/>
      <c r="I2" s="648"/>
      <c r="J2" s="648"/>
      <c r="K2" s="648"/>
      <c r="L2" s="646"/>
      <c r="M2" s="471"/>
      <c r="N2" s="471"/>
      <c r="O2" s="645" t="s">
        <v>133</v>
      </c>
      <c r="P2" s="646"/>
      <c r="Q2" s="645" t="s">
        <v>20</v>
      </c>
      <c r="R2" s="648"/>
      <c r="S2" s="471"/>
      <c r="T2" s="471"/>
      <c r="U2" s="472"/>
    </row>
    <row r="3" spans="1:22" s="266" customFormat="1" ht="52.5" customHeight="1" thickBot="1">
      <c r="A3" s="478">
        <v>2012</v>
      </c>
      <c r="B3" s="478" t="s">
        <v>134</v>
      </c>
      <c r="C3" s="478" t="s">
        <v>135</v>
      </c>
      <c r="D3" s="478" t="s">
        <v>136</v>
      </c>
      <c r="E3" s="478" t="s">
        <v>137</v>
      </c>
      <c r="F3" s="478" t="s">
        <v>138</v>
      </c>
      <c r="G3" s="474" t="s">
        <v>18</v>
      </c>
      <c r="H3" s="475" t="s">
        <v>139</v>
      </c>
      <c r="I3" s="474" t="s">
        <v>17</v>
      </c>
      <c r="J3" s="475" t="s">
        <v>140</v>
      </c>
      <c r="K3" s="474" t="s">
        <v>112</v>
      </c>
      <c r="L3" s="475" t="s">
        <v>141</v>
      </c>
      <c r="M3" s="533" t="s">
        <v>142</v>
      </c>
      <c r="N3" s="478" t="s">
        <v>143</v>
      </c>
      <c r="O3" s="477" t="s">
        <v>144</v>
      </c>
      <c r="P3" s="478" t="s">
        <v>145</v>
      </c>
      <c r="Q3" s="478" t="s">
        <v>146</v>
      </c>
      <c r="R3" s="478" t="s">
        <v>147</v>
      </c>
      <c r="S3" s="478" t="s">
        <v>142</v>
      </c>
      <c r="T3" s="478" t="s">
        <v>16</v>
      </c>
      <c r="U3" s="478" t="s">
        <v>148</v>
      </c>
      <c r="V3" s="477" t="s">
        <v>149</v>
      </c>
    </row>
    <row r="4" spans="1:22" ht="25.5" customHeight="1">
      <c r="A4" s="479" t="s">
        <v>29</v>
      </c>
      <c r="B4" s="480">
        <v>31</v>
      </c>
      <c r="C4" s="541">
        <f>'SD 3 pass'!F20</f>
        <v>890.33602408315403</v>
      </c>
      <c r="D4" s="541">
        <f>'SD 3 pass'!I20</f>
        <v>63.806931906792663</v>
      </c>
      <c r="E4" s="482"/>
      <c r="F4" s="542">
        <f t="shared" ref="F4:F15" si="0">C4+D4</f>
        <v>954.1429559899467</v>
      </c>
      <c r="G4" s="542">
        <f t="shared" ref="G4:G15" si="1">(F4-I4-K4-M4)</f>
        <v>380.6429559899467</v>
      </c>
      <c r="H4" s="484">
        <f t="shared" ref="H4:H15" si="2">+G4/B4</f>
        <v>12.278805031933764</v>
      </c>
      <c r="I4" s="485">
        <f t="shared" ref="I4:I15" si="3">+J4*B4</f>
        <v>356.5</v>
      </c>
      <c r="J4" s="484">
        <v>11.5</v>
      </c>
      <c r="K4" s="484">
        <f t="shared" ref="K4:K15" si="4">SUM(B4*L4)</f>
        <v>217</v>
      </c>
      <c r="L4" s="484">
        <v>7</v>
      </c>
      <c r="M4" s="484">
        <f t="shared" ref="M4:M15" si="5">N4*B4</f>
        <v>0</v>
      </c>
      <c r="N4" s="484"/>
      <c r="O4" s="486">
        <f>6*B4</f>
        <v>186</v>
      </c>
      <c r="P4" s="484">
        <f t="shared" ref="P4:P15" si="6">O4/B4</f>
        <v>6</v>
      </c>
      <c r="Q4" s="484">
        <f>(G4*(1+$T$24))</f>
        <v>391.73052928546656</v>
      </c>
      <c r="R4" s="484">
        <f t="shared" ref="R4:R15" si="7">SUM(I4*(1+$T$26))</f>
        <v>372.07079916558763</v>
      </c>
      <c r="S4" s="484">
        <f t="shared" ref="S4:S15" si="8">(M4*(1+$T$30))</f>
        <v>0</v>
      </c>
      <c r="T4" s="484">
        <f t="shared" ref="T4:T15" si="9">SUM(K4*(1+$T$28))</f>
        <v>223.32089302393751</v>
      </c>
      <c r="U4" s="484">
        <f t="shared" ref="U4:U15" si="10">SUM(Q4:T4)</f>
        <v>987.12222147499165</v>
      </c>
      <c r="V4" s="487">
        <f t="shared" ref="V4:V15" si="11">SUM(R4-O4)</f>
        <v>186.07079916558763</v>
      </c>
    </row>
    <row r="5" spans="1:22" ht="25.5" customHeight="1">
      <c r="A5" s="488" t="s">
        <v>30</v>
      </c>
      <c r="B5" s="489">
        <v>28</v>
      </c>
      <c r="C5" s="538">
        <f>'SD 3 pass'!F21</f>
        <v>803.83630569309639</v>
      </c>
      <c r="D5" s="538">
        <f>'SD 3 pass'!I21</f>
        <v>123.89338943756584</v>
      </c>
      <c r="E5" s="490"/>
      <c r="F5" s="539">
        <f t="shared" si="0"/>
        <v>927.72969513066221</v>
      </c>
      <c r="G5" s="539">
        <f t="shared" si="1"/>
        <v>409.72969513066221</v>
      </c>
      <c r="H5" s="492">
        <f t="shared" si="2"/>
        <v>14.63320339752365</v>
      </c>
      <c r="I5" s="535">
        <f t="shared" si="3"/>
        <v>322</v>
      </c>
      <c r="J5" s="492">
        <v>11.5</v>
      </c>
      <c r="K5" s="492">
        <f t="shared" si="4"/>
        <v>196</v>
      </c>
      <c r="L5" s="492">
        <v>7</v>
      </c>
      <c r="M5" s="492">
        <f t="shared" si="5"/>
        <v>0</v>
      </c>
      <c r="N5" s="492"/>
      <c r="O5" s="494">
        <f>6*B5</f>
        <v>168</v>
      </c>
      <c r="P5" s="492">
        <f t="shared" si="6"/>
        <v>6</v>
      </c>
      <c r="Q5" s="492">
        <f t="shared" ref="Q5:Q15" si="12">SUM(G5*(1+$T$24))</f>
        <v>421.6645226497933</v>
      </c>
      <c r="R5" s="492">
        <f t="shared" si="7"/>
        <v>336.063947633434</v>
      </c>
      <c r="S5" s="492">
        <f t="shared" si="8"/>
        <v>0</v>
      </c>
      <c r="T5" s="492">
        <f t="shared" si="9"/>
        <v>201.70919369904033</v>
      </c>
      <c r="U5" s="492">
        <f t="shared" si="10"/>
        <v>959.43766398226762</v>
      </c>
      <c r="V5" s="493">
        <f t="shared" si="11"/>
        <v>168.063947633434</v>
      </c>
    </row>
    <row r="6" spans="1:22">
      <c r="A6" s="488" t="s">
        <v>31</v>
      </c>
      <c r="B6" s="489">
        <v>31</v>
      </c>
      <c r="C6" s="538">
        <f>'SD 3 pass'!F22</f>
        <v>808.93018896588399</v>
      </c>
      <c r="D6" s="538">
        <f>'SD 3 pass'!I22</f>
        <v>186.85919804549491</v>
      </c>
      <c r="E6" s="490"/>
      <c r="F6" s="539">
        <f t="shared" si="0"/>
        <v>995.78938701137895</v>
      </c>
      <c r="G6" s="539">
        <f t="shared" si="1"/>
        <v>422.28938701137895</v>
      </c>
      <c r="H6" s="492">
        <f t="shared" si="2"/>
        <v>13.622238290689644</v>
      </c>
      <c r="I6" s="535">
        <f t="shared" si="3"/>
        <v>356.5</v>
      </c>
      <c r="J6" s="492">
        <v>11.5</v>
      </c>
      <c r="K6" s="492">
        <f t="shared" si="4"/>
        <v>217</v>
      </c>
      <c r="L6" s="492">
        <v>7</v>
      </c>
      <c r="M6" s="492">
        <f t="shared" si="5"/>
        <v>0</v>
      </c>
      <c r="N6" s="492"/>
      <c r="O6" s="494">
        <v>0</v>
      </c>
      <c r="P6" s="492">
        <f t="shared" si="6"/>
        <v>0</v>
      </c>
      <c r="Q6" s="492">
        <f t="shared" si="12"/>
        <v>434.59006000881249</v>
      </c>
      <c r="R6" s="492">
        <f t="shared" si="7"/>
        <v>372.07079916558763</v>
      </c>
      <c r="S6" s="492">
        <f t="shared" si="8"/>
        <v>0</v>
      </c>
      <c r="T6" s="492">
        <f t="shared" si="9"/>
        <v>223.32089302393751</v>
      </c>
      <c r="U6" s="492">
        <f t="shared" si="10"/>
        <v>1029.9817521983377</v>
      </c>
      <c r="V6" s="493">
        <f t="shared" si="11"/>
        <v>372.07079916558763</v>
      </c>
    </row>
    <row r="7" spans="1:22">
      <c r="A7" s="488" t="s">
        <v>32</v>
      </c>
      <c r="B7" s="489">
        <v>30</v>
      </c>
      <c r="C7" s="538">
        <f>'SD 3 pass'!F23</f>
        <v>866.81439263053585</v>
      </c>
      <c r="D7" s="538">
        <f>'SD 3 pass'!I23</f>
        <v>109.8031722127395</v>
      </c>
      <c r="E7" s="490"/>
      <c r="F7" s="539">
        <f t="shared" si="0"/>
        <v>976.61756484327532</v>
      </c>
      <c r="G7" s="539">
        <f t="shared" si="1"/>
        <v>421.61756484327532</v>
      </c>
      <c r="H7" s="492">
        <f t="shared" si="2"/>
        <v>14.053918828109177</v>
      </c>
      <c r="I7" s="535">
        <f t="shared" si="3"/>
        <v>345</v>
      </c>
      <c r="J7" s="492">
        <v>11.5</v>
      </c>
      <c r="K7" s="492">
        <f t="shared" si="4"/>
        <v>210</v>
      </c>
      <c r="L7" s="492">
        <v>7</v>
      </c>
      <c r="M7" s="492">
        <f t="shared" si="5"/>
        <v>0</v>
      </c>
      <c r="N7" s="492"/>
      <c r="O7" s="494">
        <v>0</v>
      </c>
      <c r="P7" s="492">
        <f t="shared" si="6"/>
        <v>0</v>
      </c>
      <c r="Q7" s="492">
        <f t="shared" si="12"/>
        <v>433.89866864229549</v>
      </c>
      <c r="R7" s="492">
        <f t="shared" si="7"/>
        <v>360.06851532153644</v>
      </c>
      <c r="S7" s="492">
        <f t="shared" si="8"/>
        <v>0</v>
      </c>
      <c r="T7" s="492">
        <f t="shared" si="9"/>
        <v>216.1169932489718</v>
      </c>
      <c r="U7" s="492">
        <f t="shared" si="10"/>
        <v>1010.0841772128038</v>
      </c>
      <c r="V7" s="493">
        <f t="shared" si="11"/>
        <v>360.06851532153644</v>
      </c>
    </row>
    <row r="8" spans="1:22">
      <c r="A8" s="488" t="s">
        <v>33</v>
      </c>
      <c r="B8" s="489">
        <v>31</v>
      </c>
      <c r="C8" s="538">
        <f>'SD 3 pass'!F24</f>
        <v>905.88187571030141</v>
      </c>
      <c r="D8" s="538">
        <f>'SD 3 pass'!I24</f>
        <v>221.86612262915358</v>
      </c>
      <c r="E8" s="490"/>
      <c r="F8" s="539">
        <f t="shared" si="0"/>
        <v>1127.7479983394551</v>
      </c>
      <c r="G8" s="539">
        <f t="shared" si="1"/>
        <v>554.24799833945508</v>
      </c>
      <c r="H8" s="492">
        <f t="shared" si="2"/>
        <v>17.878967688369517</v>
      </c>
      <c r="I8" s="535">
        <f t="shared" si="3"/>
        <v>356.5</v>
      </c>
      <c r="J8" s="492">
        <v>11.5</v>
      </c>
      <c r="K8" s="492">
        <f t="shared" si="4"/>
        <v>217</v>
      </c>
      <c r="L8" s="492">
        <v>7</v>
      </c>
      <c r="M8" s="492">
        <f t="shared" si="5"/>
        <v>0</v>
      </c>
      <c r="N8" s="492"/>
      <c r="O8" s="494">
        <f>12*B8</f>
        <v>372</v>
      </c>
      <c r="P8" s="492">
        <f t="shared" si="6"/>
        <v>12</v>
      </c>
      <c r="Q8" s="492">
        <f t="shared" si="12"/>
        <v>570.39243293040067</v>
      </c>
      <c r="R8" s="492">
        <f t="shared" si="7"/>
        <v>372.07079916558763</v>
      </c>
      <c r="S8" s="492">
        <f t="shared" si="8"/>
        <v>0</v>
      </c>
      <c r="T8" s="492">
        <f t="shared" si="9"/>
        <v>223.32089302393751</v>
      </c>
      <c r="U8" s="492">
        <f t="shared" si="10"/>
        <v>1165.7841251199259</v>
      </c>
      <c r="V8" s="493">
        <f t="shared" si="11"/>
        <v>7.0799165587629886E-2</v>
      </c>
    </row>
    <row r="9" spans="1:22">
      <c r="A9" s="488" t="s">
        <v>23</v>
      </c>
      <c r="B9" s="489">
        <v>30</v>
      </c>
      <c r="C9" s="538">
        <f>'SD 3 pass'!F25</f>
        <v>1112.9243146887927</v>
      </c>
      <c r="D9" s="538">
        <f>'SD 3 pass'!I25</f>
        <v>281.7683391365166</v>
      </c>
      <c r="E9" s="490"/>
      <c r="F9" s="539">
        <f t="shared" si="0"/>
        <v>1394.6926538253092</v>
      </c>
      <c r="G9" s="539">
        <f t="shared" si="1"/>
        <v>749.69265382530921</v>
      </c>
      <c r="H9" s="492">
        <f t="shared" si="2"/>
        <v>24.989755127510307</v>
      </c>
      <c r="I9" s="535">
        <f t="shared" si="3"/>
        <v>345</v>
      </c>
      <c r="J9" s="492">
        <v>11.5</v>
      </c>
      <c r="K9" s="492">
        <f t="shared" si="4"/>
        <v>300</v>
      </c>
      <c r="L9" s="492">
        <v>10</v>
      </c>
      <c r="M9" s="492">
        <f t="shared" si="5"/>
        <v>0</v>
      </c>
      <c r="N9" s="492"/>
      <c r="O9" s="494">
        <f>12*B9</f>
        <v>360</v>
      </c>
      <c r="P9" s="492">
        <f t="shared" si="6"/>
        <v>12</v>
      </c>
      <c r="Q9" s="492">
        <f t="shared" si="12"/>
        <v>771.53010574080042</v>
      </c>
      <c r="R9" s="492">
        <f t="shared" si="7"/>
        <v>360.06851532153644</v>
      </c>
      <c r="S9" s="492">
        <f t="shared" si="8"/>
        <v>0</v>
      </c>
      <c r="T9" s="492">
        <f t="shared" si="9"/>
        <v>308.73856178424541</v>
      </c>
      <c r="U9" s="492">
        <f t="shared" si="10"/>
        <v>1440.3371828465822</v>
      </c>
      <c r="V9" s="493">
        <f t="shared" si="11"/>
        <v>6.8515321536438023E-2</v>
      </c>
    </row>
    <row r="10" spans="1:22">
      <c r="A10" s="488" t="s">
        <v>24</v>
      </c>
      <c r="B10" s="489">
        <v>31</v>
      </c>
      <c r="C10" s="538">
        <f>'SD 3 pass'!F26</f>
        <v>1217.6430033044269</v>
      </c>
      <c r="D10" s="538">
        <f>'SD 3 pass'!H26</f>
        <v>174.3007207827338</v>
      </c>
      <c r="E10" s="490"/>
      <c r="F10" s="539">
        <f t="shared" si="0"/>
        <v>1391.9437240871607</v>
      </c>
      <c r="G10" s="539">
        <f t="shared" si="1"/>
        <v>725.44372408716072</v>
      </c>
      <c r="H10" s="492">
        <f t="shared" si="2"/>
        <v>23.401410454424539</v>
      </c>
      <c r="I10" s="535">
        <f t="shared" si="3"/>
        <v>356.5</v>
      </c>
      <c r="J10" s="492">
        <v>11.5</v>
      </c>
      <c r="K10" s="492">
        <f t="shared" si="4"/>
        <v>310</v>
      </c>
      <c r="L10" s="492">
        <v>10</v>
      </c>
      <c r="M10" s="492">
        <f t="shared" si="5"/>
        <v>0</v>
      </c>
      <c r="N10" s="492"/>
      <c r="O10" s="494">
        <f>12*B10</f>
        <v>372</v>
      </c>
      <c r="P10" s="492">
        <f t="shared" si="6"/>
        <v>12</v>
      </c>
      <c r="Q10" s="492">
        <f t="shared" si="12"/>
        <v>746.57484010025655</v>
      </c>
      <c r="R10" s="492">
        <f t="shared" si="7"/>
        <v>372.07079916558763</v>
      </c>
      <c r="S10" s="492">
        <f t="shared" si="8"/>
        <v>0</v>
      </c>
      <c r="T10" s="492">
        <f t="shared" si="9"/>
        <v>319.02984717705357</v>
      </c>
      <c r="U10" s="492">
        <f t="shared" si="10"/>
        <v>1437.6754864428979</v>
      </c>
      <c r="V10" s="493">
        <f t="shared" si="11"/>
        <v>7.0799165587629886E-2</v>
      </c>
    </row>
    <row r="11" spans="1:22">
      <c r="A11" s="488" t="s">
        <v>150</v>
      </c>
      <c r="B11" s="489">
        <v>31</v>
      </c>
      <c r="C11" s="538">
        <f>'SD 3 pass'!F27</f>
        <v>1230.4069599598643</v>
      </c>
      <c r="D11" s="538">
        <f>'SD 3 pass'!I27</f>
        <v>214.5824579058108</v>
      </c>
      <c r="E11" s="490"/>
      <c r="F11" s="539">
        <f t="shared" si="0"/>
        <v>1444.989417865675</v>
      </c>
      <c r="G11" s="539">
        <f t="shared" si="1"/>
        <v>778.48941786567502</v>
      </c>
      <c r="H11" s="492">
        <f t="shared" si="2"/>
        <v>25.112561866634678</v>
      </c>
      <c r="I11" s="535">
        <f t="shared" si="3"/>
        <v>356.5</v>
      </c>
      <c r="J11" s="492">
        <v>11.5</v>
      </c>
      <c r="K11" s="492">
        <f t="shared" si="4"/>
        <v>310</v>
      </c>
      <c r="L11" s="492">
        <v>10</v>
      </c>
      <c r="M11" s="492">
        <f t="shared" si="5"/>
        <v>0</v>
      </c>
      <c r="N11" s="492"/>
      <c r="O11" s="494">
        <f>12*B11</f>
        <v>372</v>
      </c>
      <c r="P11" s="492">
        <f t="shared" si="6"/>
        <v>12</v>
      </c>
      <c r="Q11" s="492">
        <f t="shared" si="12"/>
        <v>801.16567745367649</v>
      </c>
      <c r="R11" s="492">
        <f t="shared" si="7"/>
        <v>372.07079916558763</v>
      </c>
      <c r="S11" s="492">
        <f t="shared" si="8"/>
        <v>0</v>
      </c>
      <c r="T11" s="492">
        <f t="shared" si="9"/>
        <v>319.02984717705357</v>
      </c>
      <c r="U11" s="492">
        <f t="shared" si="10"/>
        <v>1492.2663237963177</v>
      </c>
      <c r="V11" s="493">
        <f t="shared" si="11"/>
        <v>7.0799165587629886E-2</v>
      </c>
    </row>
    <row r="12" spans="1:22">
      <c r="A12" s="488" t="s">
        <v>25</v>
      </c>
      <c r="B12" s="489">
        <v>30</v>
      </c>
      <c r="C12" s="538">
        <f>'SD 3 pass'!F28</f>
        <v>1326.4933663669851</v>
      </c>
      <c r="D12" s="538">
        <f>'SD 3 pass'!I28</f>
        <v>-111.30569410789087</v>
      </c>
      <c r="E12" s="490"/>
      <c r="F12" s="539">
        <f t="shared" si="0"/>
        <v>1215.1876722590941</v>
      </c>
      <c r="G12" s="539">
        <f t="shared" si="1"/>
        <v>660.18767225909414</v>
      </c>
      <c r="H12" s="492">
        <f t="shared" si="2"/>
        <v>22.006255741969806</v>
      </c>
      <c r="I12" s="535">
        <f t="shared" si="3"/>
        <v>345</v>
      </c>
      <c r="J12" s="492">
        <v>11.5</v>
      </c>
      <c r="K12" s="492">
        <f t="shared" si="4"/>
        <v>210</v>
      </c>
      <c r="L12" s="492">
        <v>7</v>
      </c>
      <c r="M12" s="492">
        <f t="shared" si="5"/>
        <v>0</v>
      </c>
      <c r="N12" s="492"/>
      <c r="O12" s="494">
        <f>12*B12</f>
        <v>360</v>
      </c>
      <c r="P12" s="492">
        <f t="shared" si="6"/>
        <v>12</v>
      </c>
      <c r="Q12" s="492">
        <f t="shared" si="12"/>
        <v>679.41797480320497</v>
      </c>
      <c r="R12" s="492">
        <f t="shared" si="7"/>
        <v>360.06851532153644</v>
      </c>
      <c r="S12" s="492">
        <f t="shared" si="8"/>
        <v>0</v>
      </c>
      <c r="T12" s="492">
        <f t="shared" si="9"/>
        <v>216.1169932489718</v>
      </c>
      <c r="U12" s="492">
        <f t="shared" si="10"/>
        <v>1255.6034833737133</v>
      </c>
      <c r="V12" s="493">
        <f t="shared" si="11"/>
        <v>6.8515321536438023E-2</v>
      </c>
    </row>
    <row r="13" spans="1:22">
      <c r="A13" s="488" t="s">
        <v>26</v>
      </c>
      <c r="B13" s="489">
        <v>31</v>
      </c>
      <c r="C13" s="538">
        <f>'SD 3 pass'!F29</f>
        <v>1122.6746933693933</v>
      </c>
      <c r="D13" s="538">
        <f>'SD 3 pass'!I29</f>
        <v>127.24481163967734</v>
      </c>
      <c r="E13" s="490"/>
      <c r="F13" s="539">
        <f t="shared" si="0"/>
        <v>1249.9195050090707</v>
      </c>
      <c r="G13" s="539">
        <f t="shared" si="1"/>
        <v>676.41950500907069</v>
      </c>
      <c r="H13" s="492">
        <f t="shared" si="2"/>
        <v>21.819984032550668</v>
      </c>
      <c r="I13" s="535">
        <f t="shared" si="3"/>
        <v>356.5</v>
      </c>
      <c r="J13" s="492">
        <v>11.5</v>
      </c>
      <c r="K13" s="492">
        <f t="shared" si="4"/>
        <v>217</v>
      </c>
      <c r="L13" s="492">
        <v>7</v>
      </c>
      <c r="M13" s="492">
        <f t="shared" si="5"/>
        <v>0</v>
      </c>
      <c r="N13" s="492"/>
      <c r="O13" s="494">
        <f>6*B13</f>
        <v>186</v>
      </c>
      <c r="P13" s="492">
        <f t="shared" si="6"/>
        <v>6</v>
      </c>
      <c r="Q13" s="492">
        <f t="shared" si="12"/>
        <v>696.12261713103885</v>
      </c>
      <c r="R13" s="492">
        <f t="shared" si="7"/>
        <v>372.07079916558763</v>
      </c>
      <c r="S13" s="492">
        <f t="shared" si="8"/>
        <v>0</v>
      </c>
      <c r="T13" s="492">
        <f t="shared" si="9"/>
        <v>223.32089302393751</v>
      </c>
      <c r="U13" s="492">
        <f t="shared" si="10"/>
        <v>1291.5143093205641</v>
      </c>
      <c r="V13" s="493">
        <f t="shared" si="11"/>
        <v>186.07079916558763</v>
      </c>
    </row>
    <row r="14" spans="1:22">
      <c r="A14" s="488" t="s">
        <v>27</v>
      </c>
      <c r="B14" s="489">
        <v>30</v>
      </c>
      <c r="C14" s="538">
        <f>'SD 3 pass'!F30</f>
        <v>969.96433073158073</v>
      </c>
      <c r="D14" s="538">
        <f>'SD 3 pass'!I30</f>
        <v>124.88163602597542</v>
      </c>
      <c r="E14" s="490"/>
      <c r="F14" s="539">
        <f t="shared" si="0"/>
        <v>1094.8459667575562</v>
      </c>
      <c r="G14" s="539">
        <f t="shared" si="1"/>
        <v>539.8459667575562</v>
      </c>
      <c r="H14" s="492">
        <f t="shared" si="2"/>
        <v>17.994865558585207</v>
      </c>
      <c r="I14" s="535">
        <f t="shared" si="3"/>
        <v>345</v>
      </c>
      <c r="J14" s="492">
        <v>11.5</v>
      </c>
      <c r="K14" s="492">
        <f t="shared" si="4"/>
        <v>210</v>
      </c>
      <c r="L14" s="492">
        <v>7</v>
      </c>
      <c r="M14" s="492">
        <f t="shared" si="5"/>
        <v>0</v>
      </c>
      <c r="N14" s="492"/>
      <c r="O14" s="494">
        <v>0</v>
      </c>
      <c r="P14" s="492">
        <f t="shared" si="6"/>
        <v>0</v>
      </c>
      <c r="Q14" s="492">
        <f t="shared" si="12"/>
        <v>555.57089120584487</v>
      </c>
      <c r="R14" s="492">
        <f t="shared" si="7"/>
        <v>360.06851532153644</v>
      </c>
      <c r="S14" s="492">
        <f t="shared" si="8"/>
        <v>0</v>
      </c>
      <c r="T14" s="492">
        <f t="shared" si="9"/>
        <v>216.1169932489718</v>
      </c>
      <c r="U14" s="492">
        <f t="shared" si="10"/>
        <v>1131.7563997763532</v>
      </c>
      <c r="V14" s="493">
        <f t="shared" si="11"/>
        <v>360.06851532153644</v>
      </c>
    </row>
    <row r="15" spans="1:22" ht="13.5" thickBot="1">
      <c r="A15" s="495" t="s">
        <v>28</v>
      </c>
      <c r="B15" s="496">
        <v>31</v>
      </c>
      <c r="C15" s="543">
        <f>'SD 3 pass'!F31</f>
        <v>873.0898641996813</v>
      </c>
      <c r="D15" s="543">
        <f>'SD 3 pass'!I31</f>
        <v>143.29896803502993</v>
      </c>
      <c r="E15" s="497"/>
      <c r="F15" s="544">
        <f t="shared" si="0"/>
        <v>1016.3888322347112</v>
      </c>
      <c r="G15" s="544">
        <f t="shared" si="1"/>
        <v>442.88883223471123</v>
      </c>
      <c r="H15" s="499">
        <f t="shared" si="2"/>
        <v>14.286736523700363</v>
      </c>
      <c r="I15" s="537">
        <f t="shared" si="3"/>
        <v>356.5</v>
      </c>
      <c r="J15" s="499">
        <v>11.5</v>
      </c>
      <c r="K15" s="499">
        <f t="shared" si="4"/>
        <v>217</v>
      </c>
      <c r="L15" s="499">
        <v>7</v>
      </c>
      <c r="M15" s="499">
        <f t="shared" si="5"/>
        <v>0</v>
      </c>
      <c r="N15" s="499"/>
      <c r="O15" s="500">
        <v>0</v>
      </c>
      <c r="P15" s="499">
        <f t="shared" si="6"/>
        <v>0</v>
      </c>
      <c r="Q15" s="499">
        <f t="shared" si="12"/>
        <v>455.78953698149564</v>
      </c>
      <c r="R15" s="499">
        <f t="shared" si="7"/>
        <v>372.07079916558763</v>
      </c>
      <c r="S15" s="499">
        <f t="shared" si="8"/>
        <v>0</v>
      </c>
      <c r="T15" s="499">
        <f t="shared" si="9"/>
        <v>223.32089302393751</v>
      </c>
      <c r="U15" s="499">
        <f t="shared" si="10"/>
        <v>1051.1812291710207</v>
      </c>
      <c r="V15" s="501">
        <f t="shared" si="11"/>
        <v>372.07079916558763</v>
      </c>
    </row>
    <row r="16" spans="1:22" ht="13.5" thickBot="1">
      <c r="A16" s="265" t="s">
        <v>151</v>
      </c>
      <c r="C16" s="502">
        <f>SUM(C4:C15)</f>
        <v>12128.995319703696</v>
      </c>
      <c r="D16" s="502">
        <f>SUM(D4:D15)</f>
        <v>1661.0000536495997</v>
      </c>
      <c r="E16" s="503">
        <f>SUM(E4:E15)</f>
        <v>0</v>
      </c>
      <c r="F16" s="504">
        <f>SUM(F4:F15)</f>
        <v>13789.995373353297</v>
      </c>
      <c r="G16" s="540">
        <f>SUM(G4:G15)</f>
        <v>6761.4953733532948</v>
      </c>
      <c r="I16" s="505">
        <f>SUM(I4:I15)</f>
        <v>4197.5</v>
      </c>
      <c r="K16" s="505">
        <f>SUM(K4:K15)</f>
        <v>2831</v>
      </c>
      <c r="L16" s="267"/>
      <c r="M16" s="505">
        <f>SUM(M4:M15)</f>
        <v>0</v>
      </c>
      <c r="N16" s="267"/>
      <c r="O16" s="506">
        <f>SUM(O4:O15)</f>
        <v>2376</v>
      </c>
      <c r="Q16" s="507">
        <f t="shared" ref="Q16:V16" si="13">SUM(Q4:Q15)</f>
        <v>6958.4478569330877</v>
      </c>
      <c r="R16" s="508">
        <f t="shared" si="13"/>
        <v>4380.8336030786932</v>
      </c>
      <c r="S16" s="509">
        <f t="shared" si="13"/>
        <v>0</v>
      </c>
      <c r="T16" s="508">
        <f t="shared" si="13"/>
        <v>2913.462894703996</v>
      </c>
      <c r="U16" s="508">
        <f t="shared" si="13"/>
        <v>14252.744354715776</v>
      </c>
      <c r="V16" s="510">
        <f t="shared" si="13"/>
        <v>2004.8336030786932</v>
      </c>
    </row>
    <row r="18" spans="3:20">
      <c r="G18" s="654" t="s">
        <v>121</v>
      </c>
      <c r="H18" s="654"/>
      <c r="I18" s="654"/>
      <c r="J18" s="654"/>
      <c r="K18" s="654"/>
      <c r="L18" s="654"/>
      <c r="M18" s="654"/>
      <c r="N18" s="654"/>
      <c r="O18" s="654"/>
      <c r="P18" s="654"/>
      <c r="Q18" s="654"/>
      <c r="R18" s="654"/>
      <c r="S18" s="268" t="s">
        <v>19</v>
      </c>
      <c r="T18" s="268" t="s">
        <v>152</v>
      </c>
    </row>
    <row r="19" spans="3:20">
      <c r="G19" s="267">
        <f>$F$4</f>
        <v>954.1429559899467</v>
      </c>
      <c r="H19" s="267">
        <f>$F$5</f>
        <v>927.72969513066221</v>
      </c>
      <c r="I19" s="267">
        <f>$F$6</f>
        <v>995.78938701137895</v>
      </c>
      <c r="J19" s="267">
        <f>$F$7</f>
        <v>976.61756484327532</v>
      </c>
      <c r="K19" s="267">
        <f>$F$8</f>
        <v>1127.7479983394551</v>
      </c>
      <c r="L19" s="267">
        <f>$F$9</f>
        <v>1394.6926538253092</v>
      </c>
      <c r="M19" s="267">
        <f>$F$10</f>
        <v>1391.9437240871607</v>
      </c>
      <c r="N19" s="267">
        <f>$F$11</f>
        <v>1444.989417865675</v>
      </c>
      <c r="O19" s="267">
        <f>$F$12</f>
        <v>1215.1876722590941</v>
      </c>
      <c r="P19" s="267">
        <f>$F$13</f>
        <v>1249.9195050090707</v>
      </c>
      <c r="Q19" s="267">
        <f>$F$14</f>
        <v>1094.8459667575562</v>
      </c>
      <c r="R19" s="267">
        <f>$F$15</f>
        <v>1016.3888322347112</v>
      </c>
      <c r="S19" s="267">
        <f>SUM(G19:R19)</f>
        <v>13789.995373353297</v>
      </c>
    </row>
    <row r="21" spans="3:20">
      <c r="F21" s="384"/>
      <c r="G21" s="384"/>
      <c r="H21" s="384"/>
      <c r="I21" s="384"/>
      <c r="J21" s="384"/>
      <c r="K21" s="384"/>
      <c r="L21" s="384"/>
      <c r="M21" s="384"/>
      <c r="N21" s="384"/>
      <c r="O21" s="384"/>
      <c r="P21" s="384"/>
      <c r="Q21" s="384"/>
      <c r="R21" s="384"/>
      <c r="S21" s="384"/>
    </row>
    <row r="22" spans="3:20">
      <c r="F22" s="511"/>
      <c r="G22" s="512" t="s">
        <v>34</v>
      </c>
      <c r="H22" s="512" t="s">
        <v>35</v>
      </c>
      <c r="I22" s="512" t="s">
        <v>36</v>
      </c>
      <c r="J22" s="512" t="s">
        <v>37</v>
      </c>
      <c r="K22" s="512" t="s">
        <v>33</v>
      </c>
      <c r="L22" s="512" t="s">
        <v>38</v>
      </c>
      <c r="M22" s="512" t="s">
        <v>39</v>
      </c>
      <c r="N22" s="512" t="s">
        <v>40</v>
      </c>
      <c r="O22" s="512" t="s">
        <v>41</v>
      </c>
      <c r="P22" s="512" t="s">
        <v>42</v>
      </c>
      <c r="Q22" s="512" t="s">
        <v>43</v>
      </c>
      <c r="R22" s="512" t="s">
        <v>44</v>
      </c>
      <c r="S22" s="513"/>
      <c r="T22" s="514"/>
    </row>
    <row r="23" spans="3:20" ht="13.5" customHeight="1" thickBot="1">
      <c r="C23" s="651"/>
      <c r="D23" s="652"/>
      <c r="F23" s="515"/>
      <c r="G23" s="653" t="s">
        <v>21</v>
      </c>
      <c r="H23" s="653"/>
      <c r="I23" s="653"/>
      <c r="J23" s="653"/>
      <c r="K23" s="653"/>
      <c r="L23" s="653"/>
      <c r="M23" s="653"/>
      <c r="N23" s="653"/>
      <c r="O23" s="653"/>
      <c r="P23" s="653"/>
      <c r="Q23" s="653"/>
      <c r="R23" s="653"/>
      <c r="S23" s="653"/>
      <c r="T23" s="516"/>
    </row>
    <row r="24" spans="3:20" ht="13.5" thickBot="1">
      <c r="D24" s="518">
        <f t="shared" ref="D24:D36" si="14">D4/F4</f>
        <v>6.6873555483718275E-2</v>
      </c>
      <c r="F24" s="519" t="s">
        <v>18</v>
      </c>
      <c r="G24" s="462">
        <f>$G$4</f>
        <v>380.6429559899467</v>
      </c>
      <c r="H24" s="462">
        <f>$G$5</f>
        <v>409.72969513066221</v>
      </c>
      <c r="I24" s="462">
        <f>$G$6</f>
        <v>422.28938701137895</v>
      </c>
      <c r="J24" s="462">
        <f>$G$7</f>
        <v>421.61756484327532</v>
      </c>
      <c r="K24" s="462">
        <f>$G$8</f>
        <v>554.24799833945508</v>
      </c>
      <c r="L24" s="462">
        <f>$G$9</f>
        <v>749.69265382530921</v>
      </c>
      <c r="M24" s="462">
        <f>$G$10</f>
        <v>725.44372408716072</v>
      </c>
      <c r="N24" s="462">
        <f>$G$11</f>
        <v>778.48941786567502</v>
      </c>
      <c r="O24" s="462">
        <f>$G$12</f>
        <v>660.18767225909414</v>
      </c>
      <c r="P24" s="462">
        <f>$G$13</f>
        <v>676.41950500907069</v>
      </c>
      <c r="Q24" s="462">
        <f>$G$14</f>
        <v>539.8459667575562</v>
      </c>
      <c r="R24" s="462">
        <f>$G$15</f>
        <v>442.88883223471123</v>
      </c>
      <c r="S24" s="462">
        <f>SUM(G24:R24)</f>
        <v>6761.4953733532948</v>
      </c>
      <c r="T24" s="520">
        <f>'[30]In Plant Usage'!C39-1</f>
        <v>2.9128539280818044E-2</v>
      </c>
    </row>
    <row r="25" spans="3:20" ht="13.5" thickBot="1">
      <c r="D25" s="518">
        <f t="shared" si="14"/>
        <v>0.13354470605806856</v>
      </c>
      <c r="F25" s="515"/>
      <c r="G25" s="462"/>
      <c r="H25" s="462"/>
      <c r="I25" s="462"/>
      <c r="J25" s="462"/>
      <c r="K25" s="462"/>
      <c r="L25" s="462"/>
      <c r="M25" s="462"/>
      <c r="N25" s="462"/>
      <c r="O25" s="462"/>
      <c r="P25" s="462"/>
      <c r="Q25" s="462"/>
      <c r="R25" s="462"/>
      <c r="S25" s="462"/>
      <c r="T25" s="520"/>
    </row>
    <row r="26" spans="3:20" ht="13.5" thickBot="1">
      <c r="D26" s="518">
        <f t="shared" si="14"/>
        <v>0.18764931669567961</v>
      </c>
      <c r="F26" s="519" t="s">
        <v>17</v>
      </c>
      <c r="G26" s="462">
        <f>$I$4</f>
        <v>356.5</v>
      </c>
      <c r="H26" s="462">
        <f>$I$5</f>
        <v>322</v>
      </c>
      <c r="I26" s="462">
        <f>$I$6</f>
        <v>356.5</v>
      </c>
      <c r="J26" s="462">
        <f>$I$7</f>
        <v>345</v>
      </c>
      <c r="K26" s="462">
        <f>$I$8</f>
        <v>356.5</v>
      </c>
      <c r="L26" s="462">
        <f>$I$9</f>
        <v>345</v>
      </c>
      <c r="M26" s="462">
        <f>$I$10</f>
        <v>356.5</v>
      </c>
      <c r="N26" s="462">
        <f>$I$11</f>
        <v>356.5</v>
      </c>
      <c r="O26" s="462">
        <f>$I$12</f>
        <v>345</v>
      </c>
      <c r="P26" s="462">
        <f>$I$13</f>
        <v>356.5</v>
      </c>
      <c r="Q26" s="462">
        <f>$I$14</f>
        <v>345</v>
      </c>
      <c r="R26" s="462">
        <f>$I$15</f>
        <v>356.5</v>
      </c>
      <c r="S26" s="462">
        <f>SUM(G26:R26)</f>
        <v>4197.5</v>
      </c>
      <c r="T26" s="520">
        <f>'[30]In Plant Usage'!E39-1</f>
        <v>4.3676856004453368E-2</v>
      </c>
    </row>
    <row r="27" spans="3:20" ht="13.5" thickBot="1">
      <c r="D27" s="518">
        <f t="shared" si="14"/>
        <v>0.11243210870404567</v>
      </c>
      <c r="F27" s="515"/>
      <c r="G27" s="462"/>
      <c r="H27" s="462"/>
      <c r="I27" s="462"/>
      <c r="J27" s="462"/>
      <c r="K27" s="462"/>
      <c r="L27" s="462"/>
      <c r="M27" s="462"/>
      <c r="N27" s="462"/>
      <c r="O27" s="462"/>
      <c r="P27" s="462"/>
      <c r="Q27" s="462"/>
      <c r="R27" s="462"/>
      <c r="S27" s="462"/>
      <c r="T27" s="520"/>
    </row>
    <row r="28" spans="3:20" ht="13.5" thickBot="1">
      <c r="D28" s="518">
        <f t="shared" si="14"/>
        <v>0.19673377647829024</v>
      </c>
      <c r="F28" s="519" t="s">
        <v>45</v>
      </c>
      <c r="G28" s="462">
        <f>$K$4</f>
        <v>217</v>
      </c>
      <c r="H28" s="462">
        <f>$K$5</f>
        <v>196</v>
      </c>
      <c r="I28" s="462">
        <f>$K$6</f>
        <v>217</v>
      </c>
      <c r="J28" s="462">
        <f>$K$7</f>
        <v>210</v>
      </c>
      <c r="K28" s="462">
        <f>$K$8</f>
        <v>217</v>
      </c>
      <c r="L28" s="462">
        <f>$K$9</f>
        <v>300</v>
      </c>
      <c r="M28" s="462">
        <f>$K$10</f>
        <v>310</v>
      </c>
      <c r="N28" s="462">
        <f>$K$11</f>
        <v>310</v>
      </c>
      <c r="O28" s="462">
        <f>$K$12</f>
        <v>210</v>
      </c>
      <c r="P28" s="462">
        <f>$K$13</f>
        <v>217</v>
      </c>
      <c r="Q28" s="462">
        <f>$K$14</f>
        <v>210</v>
      </c>
      <c r="R28" s="462">
        <f>$K$15</f>
        <v>217</v>
      </c>
      <c r="S28" s="462">
        <f>SUM(G28:R28)</f>
        <v>2831</v>
      </c>
      <c r="T28" s="521">
        <f>'[30]In Plant Usage'!C39-1</f>
        <v>2.9128539280818044E-2</v>
      </c>
    </row>
    <row r="29" spans="3:20" ht="13.5" thickBot="1">
      <c r="D29" s="518">
        <f t="shared" si="14"/>
        <v>0.20202898349230797</v>
      </c>
      <c r="F29" s="515"/>
      <c r="G29" s="462"/>
      <c r="H29" s="462"/>
      <c r="I29" s="462"/>
      <c r="J29" s="462"/>
      <c r="K29" s="462"/>
      <c r="L29" s="462"/>
      <c r="M29" s="462"/>
      <c r="N29" s="462"/>
      <c r="O29" s="462"/>
      <c r="P29" s="462"/>
      <c r="Q29" s="462"/>
      <c r="R29" s="462"/>
      <c r="S29" s="462"/>
      <c r="T29" s="520"/>
    </row>
    <row r="30" spans="3:20" ht="13.5" thickBot="1">
      <c r="D30" s="518">
        <f t="shared" si="14"/>
        <v>0.12522109749590671</v>
      </c>
      <c r="F30" s="519" t="s">
        <v>108</v>
      </c>
      <c r="G30" s="462">
        <f>$M$4</f>
        <v>0</v>
      </c>
      <c r="H30" s="462">
        <f>$M$5</f>
        <v>0</v>
      </c>
      <c r="I30" s="462">
        <f>$M$6</f>
        <v>0</v>
      </c>
      <c r="J30" s="462">
        <f>$M$7</f>
        <v>0</v>
      </c>
      <c r="K30" s="462">
        <f>$M$8</f>
        <v>0</v>
      </c>
      <c r="L30" s="462">
        <f>$M$9</f>
        <v>0</v>
      </c>
      <c r="M30" s="462">
        <f>$M$10</f>
        <v>0</v>
      </c>
      <c r="N30" s="462">
        <f>$M$11</f>
        <v>0</v>
      </c>
      <c r="O30" s="462">
        <f>$M$12</f>
        <v>0</v>
      </c>
      <c r="P30" s="462">
        <f>$M$13</f>
        <v>0</v>
      </c>
      <c r="Q30" s="462">
        <f>$M$14</f>
        <v>0</v>
      </c>
      <c r="R30" s="462">
        <f>$M$15</f>
        <v>0</v>
      </c>
      <c r="S30" s="462">
        <f>SUM(G30:R30)</f>
        <v>0</v>
      </c>
      <c r="T30" s="520">
        <f>'[30]In Plant Usage'!G39-1</f>
        <v>7.7188200641842952E-2</v>
      </c>
    </row>
    <row r="31" spans="3:20" ht="13.5" thickBot="1">
      <c r="D31" s="518">
        <f t="shared" si="14"/>
        <v>0.14850105838336194</v>
      </c>
      <c r="F31" s="522"/>
      <c r="G31" s="384"/>
      <c r="H31" s="384"/>
      <c r="I31" s="384"/>
      <c r="J31" s="384"/>
      <c r="K31" s="384"/>
      <c r="L31" s="384"/>
      <c r="M31" s="384"/>
      <c r="N31" s="384"/>
      <c r="O31" s="384"/>
      <c r="P31" s="384"/>
      <c r="Q31" s="384"/>
      <c r="R31" s="384"/>
      <c r="S31" s="384"/>
      <c r="T31" s="516"/>
    </row>
    <row r="32" spans="3:20" ht="13.5" thickBot="1">
      <c r="D32" s="518">
        <f t="shared" si="14"/>
        <v>-9.1595476689594835E-2</v>
      </c>
      <c r="F32" s="523"/>
      <c r="G32" s="386"/>
      <c r="H32" s="386"/>
      <c r="I32" s="386"/>
      <c r="J32" s="386"/>
      <c r="K32" s="386"/>
      <c r="L32" s="386"/>
      <c r="M32" s="386"/>
      <c r="N32" s="386"/>
      <c r="O32" s="386"/>
      <c r="P32" s="386"/>
      <c r="Q32" s="386"/>
      <c r="R32" s="386"/>
      <c r="S32" s="386"/>
      <c r="T32" s="516"/>
    </row>
    <row r="33" spans="4:20" ht="13.5" thickBot="1">
      <c r="D33" s="518">
        <f t="shared" si="14"/>
        <v>0.10180240497867414</v>
      </c>
      <c r="F33" s="523"/>
      <c r="G33" s="649" t="s">
        <v>153</v>
      </c>
      <c r="H33" s="649"/>
      <c r="I33" s="649"/>
      <c r="J33" s="649"/>
      <c r="K33" s="649"/>
      <c r="L33" s="649"/>
      <c r="M33" s="649"/>
      <c r="N33" s="649"/>
      <c r="O33" s="649"/>
      <c r="P33" s="649"/>
      <c r="Q33" s="649"/>
      <c r="R33" s="649"/>
      <c r="S33" s="649"/>
      <c r="T33" s="650"/>
    </row>
    <row r="34" spans="4:20" ht="13.5" thickBot="1">
      <c r="D34" s="518">
        <f t="shared" si="14"/>
        <v>0.1140632014161946</v>
      </c>
      <c r="F34" s="523"/>
      <c r="G34" s="386"/>
      <c r="H34" s="386"/>
      <c r="I34" s="386"/>
      <c r="J34" s="386"/>
      <c r="K34" s="386"/>
      <c r="L34" s="386"/>
      <c r="M34" s="386"/>
      <c r="N34" s="386"/>
      <c r="O34" s="386"/>
      <c r="P34" s="386"/>
      <c r="Q34" s="386"/>
      <c r="R34" s="386"/>
      <c r="S34" s="387" t="s">
        <v>19</v>
      </c>
      <c r="T34" s="516"/>
    </row>
    <row r="35" spans="4:20" ht="13.5" thickBot="1">
      <c r="D35" s="518">
        <f t="shared" si="14"/>
        <v>0.14098833388395435</v>
      </c>
      <c r="F35" s="524" t="s">
        <v>18</v>
      </c>
      <c r="G35" s="388">
        <f t="shared" ref="G35:S35" si="15">G24/G19</f>
        <v>0.39893702888056254</v>
      </c>
      <c r="H35" s="388">
        <f t="shared" si="15"/>
        <v>0.44164770975985146</v>
      </c>
      <c r="I35" s="388">
        <f t="shared" si="15"/>
        <v>0.42407500272600657</v>
      </c>
      <c r="J35" s="388">
        <f t="shared" si="15"/>
        <v>0.43171204371174221</v>
      </c>
      <c r="K35" s="388">
        <f t="shared" si="15"/>
        <v>0.49146440441974076</v>
      </c>
      <c r="L35" s="388">
        <f t="shared" si="15"/>
        <v>0.53753251784117539</v>
      </c>
      <c r="M35" s="388">
        <f t="shared" si="15"/>
        <v>0.52117317067750568</v>
      </c>
      <c r="N35" s="388">
        <f t="shared" si="15"/>
        <v>0.53875094740523755</v>
      </c>
      <c r="O35" s="388">
        <f t="shared" si="15"/>
        <v>0.54328042271180432</v>
      </c>
      <c r="P35" s="388">
        <f t="shared" si="15"/>
        <v>0.54117045321583479</v>
      </c>
      <c r="Q35" s="388">
        <f t="shared" si="15"/>
        <v>0.49307937659608719</v>
      </c>
      <c r="R35" s="388">
        <f t="shared" si="15"/>
        <v>0.43574744053507702</v>
      </c>
      <c r="S35" s="388">
        <f t="shared" si="15"/>
        <v>0.49031890078938511</v>
      </c>
      <c r="T35" s="516"/>
    </row>
    <row r="36" spans="4:20">
      <c r="D36" s="518">
        <f t="shared" si="14"/>
        <v>0.12044964546247679</v>
      </c>
      <c r="F36" s="523"/>
      <c r="G36" s="386"/>
      <c r="H36" s="389"/>
      <c r="I36" s="389"/>
      <c r="J36" s="389"/>
      <c r="K36" s="389"/>
      <c r="L36" s="389"/>
      <c r="M36" s="389"/>
      <c r="N36" s="389"/>
      <c r="O36" s="389"/>
      <c r="P36" s="389"/>
      <c r="Q36" s="389"/>
      <c r="R36" s="389"/>
      <c r="S36" s="386"/>
      <c r="T36" s="516"/>
    </row>
    <row r="37" spans="4:20">
      <c r="F37" s="525" t="s">
        <v>17</v>
      </c>
      <c r="G37" s="388">
        <f t="shared" ref="G37:S37" si="16">G26/G19</f>
        <v>0.3736337388039746</v>
      </c>
      <c r="H37" s="388">
        <f t="shared" si="16"/>
        <v>0.34708385609522746</v>
      </c>
      <c r="I37" s="388">
        <f t="shared" si="16"/>
        <v>0.35800743073788782</v>
      </c>
      <c r="J37" s="388">
        <f t="shared" si="16"/>
        <v>0.35326008093594402</v>
      </c>
      <c r="K37" s="388">
        <f t="shared" si="16"/>
        <v>0.31611672157691789</v>
      </c>
      <c r="L37" s="388">
        <f t="shared" si="16"/>
        <v>0.24736632766634808</v>
      </c>
      <c r="M37" s="388">
        <f t="shared" si="16"/>
        <v>0.25611667614924116</v>
      </c>
      <c r="N37" s="388">
        <f t="shared" si="16"/>
        <v>0.2467146095274311</v>
      </c>
      <c r="O37" s="388">
        <f t="shared" si="16"/>
        <v>0.28390676426022976</v>
      </c>
      <c r="P37" s="388">
        <f t="shared" si="16"/>
        <v>0.28521836691988645</v>
      </c>
      <c r="Q37" s="388">
        <f t="shared" si="16"/>
        <v>0.31511281995378365</v>
      </c>
      <c r="R37" s="388">
        <f t="shared" si="16"/>
        <v>0.35075159101873588</v>
      </c>
      <c r="S37" s="388">
        <f t="shared" si="16"/>
        <v>0.30438733925255113</v>
      </c>
      <c r="T37" s="516"/>
    </row>
    <row r="38" spans="4:20">
      <c r="F38" s="523"/>
      <c r="G38" s="386"/>
      <c r="H38" s="389"/>
      <c r="I38" s="389"/>
      <c r="J38" s="389"/>
      <c r="K38" s="389"/>
      <c r="L38" s="389"/>
      <c r="M38" s="389"/>
      <c r="N38" s="389"/>
      <c r="O38" s="389"/>
      <c r="P38" s="389"/>
      <c r="Q38" s="389"/>
      <c r="R38" s="389"/>
      <c r="S38" s="386"/>
      <c r="T38" s="516"/>
    </row>
    <row r="39" spans="4:20">
      <c r="F39" s="525" t="s">
        <v>45</v>
      </c>
      <c r="G39" s="388">
        <f t="shared" ref="G39:S39" si="17">G28/G19</f>
        <v>0.2274292323154628</v>
      </c>
      <c r="H39" s="388">
        <f t="shared" si="17"/>
        <v>0.21126843414492105</v>
      </c>
      <c r="I39" s="388">
        <f t="shared" si="17"/>
        <v>0.21791756653610561</v>
      </c>
      <c r="J39" s="388">
        <f t="shared" si="17"/>
        <v>0.21502787535231374</v>
      </c>
      <c r="K39" s="388">
        <f t="shared" si="17"/>
        <v>0.19241887400334134</v>
      </c>
      <c r="L39" s="388">
        <f t="shared" si="17"/>
        <v>0.21510115449247658</v>
      </c>
      <c r="M39" s="388">
        <f t="shared" si="17"/>
        <v>0.22271015317325316</v>
      </c>
      <c r="N39" s="388">
        <f t="shared" si="17"/>
        <v>0.21453444306733141</v>
      </c>
      <c r="O39" s="388">
        <f t="shared" si="17"/>
        <v>0.17281281302796594</v>
      </c>
      <c r="P39" s="388">
        <f t="shared" si="17"/>
        <v>0.17361117986427871</v>
      </c>
      <c r="Q39" s="388">
        <f t="shared" si="17"/>
        <v>0.19180780345012918</v>
      </c>
      <c r="R39" s="388">
        <f t="shared" si="17"/>
        <v>0.21350096844618707</v>
      </c>
      <c r="S39" s="388">
        <f t="shared" si="17"/>
        <v>0.20529375995806365</v>
      </c>
      <c r="T39" s="516"/>
    </row>
    <row r="40" spans="4:20">
      <c r="F40" s="523"/>
      <c r="G40" s="386"/>
      <c r="H40" s="386"/>
      <c r="I40" s="386"/>
      <c r="J40" s="386"/>
      <c r="K40" s="386"/>
      <c r="L40" s="386"/>
      <c r="M40" s="386"/>
      <c r="N40" s="386"/>
      <c r="O40" s="386"/>
      <c r="P40" s="386"/>
      <c r="Q40" s="386"/>
      <c r="R40" s="386"/>
      <c r="S40" s="386"/>
      <c r="T40" s="516"/>
    </row>
    <row r="41" spans="4:20">
      <c r="F41" s="526" t="s">
        <v>108</v>
      </c>
      <c r="G41" s="527">
        <f t="shared" ref="G41:S41" si="18">G30/G19</f>
        <v>0</v>
      </c>
      <c r="H41" s="527">
        <f t="shared" si="18"/>
        <v>0</v>
      </c>
      <c r="I41" s="527">
        <f t="shared" si="18"/>
        <v>0</v>
      </c>
      <c r="J41" s="527">
        <f t="shared" si="18"/>
        <v>0</v>
      </c>
      <c r="K41" s="527">
        <f t="shared" si="18"/>
        <v>0</v>
      </c>
      <c r="L41" s="527">
        <f t="shared" si="18"/>
        <v>0</v>
      </c>
      <c r="M41" s="527">
        <f t="shared" si="18"/>
        <v>0</v>
      </c>
      <c r="N41" s="527">
        <f t="shared" si="18"/>
        <v>0</v>
      </c>
      <c r="O41" s="527">
        <f t="shared" si="18"/>
        <v>0</v>
      </c>
      <c r="P41" s="527">
        <f t="shared" si="18"/>
        <v>0</v>
      </c>
      <c r="Q41" s="527">
        <f t="shared" si="18"/>
        <v>0</v>
      </c>
      <c r="R41" s="527">
        <f t="shared" si="18"/>
        <v>0</v>
      </c>
      <c r="S41" s="528">
        <f t="shared" si="18"/>
        <v>0</v>
      </c>
      <c r="T41" s="529"/>
    </row>
    <row r="43" spans="4:20">
      <c r="F43" s="530"/>
      <c r="G43" s="655" t="s">
        <v>20</v>
      </c>
      <c r="H43" s="655"/>
      <c r="I43" s="655"/>
      <c r="J43" s="655"/>
      <c r="K43" s="655"/>
      <c r="L43" s="655"/>
      <c r="M43" s="655"/>
      <c r="N43" s="655"/>
      <c r="O43" s="655"/>
      <c r="P43" s="655"/>
      <c r="Q43" s="655"/>
      <c r="R43" s="655"/>
      <c r="S43" s="531"/>
      <c r="T43" s="514"/>
    </row>
    <row r="44" spans="4:20">
      <c r="F44" s="523"/>
      <c r="G44" s="386"/>
      <c r="H44" s="386"/>
      <c r="I44" s="386"/>
      <c r="J44" s="386"/>
      <c r="K44" s="386"/>
      <c r="L44" s="386"/>
      <c r="M44" s="386"/>
      <c r="N44" s="386"/>
      <c r="O44" s="386"/>
      <c r="P44" s="386"/>
      <c r="Q44" s="386"/>
      <c r="R44" s="386"/>
      <c r="S44" s="387" t="s">
        <v>19</v>
      </c>
      <c r="T44" s="516"/>
    </row>
    <row r="45" spans="4:20">
      <c r="F45" s="524" t="s">
        <v>18</v>
      </c>
      <c r="G45" s="390">
        <f>$Q$4</f>
        <v>391.73052928546656</v>
      </c>
      <c r="H45" s="390">
        <f>$Q$5</f>
        <v>421.6645226497933</v>
      </c>
      <c r="I45" s="390">
        <f>$Q$6</f>
        <v>434.59006000881249</v>
      </c>
      <c r="J45" s="390">
        <f>$Q$7</f>
        <v>433.89866864229549</v>
      </c>
      <c r="K45" s="390">
        <f>$Q$8</f>
        <v>570.39243293040067</v>
      </c>
      <c r="L45" s="390">
        <f>$Q$9</f>
        <v>771.53010574080042</v>
      </c>
      <c r="M45" s="390">
        <f>$Q$10</f>
        <v>746.57484010025655</v>
      </c>
      <c r="N45" s="390">
        <f>$Q$11</f>
        <v>801.16567745367649</v>
      </c>
      <c r="O45" s="390">
        <f>$Q$12</f>
        <v>679.41797480320497</v>
      </c>
      <c r="P45" s="390">
        <f>$Q$13</f>
        <v>696.12261713103885</v>
      </c>
      <c r="Q45" s="390">
        <f>$Q$14</f>
        <v>555.57089120584487</v>
      </c>
      <c r="R45" s="390">
        <f>$Q$15</f>
        <v>455.78953698149564</v>
      </c>
      <c r="S45" s="390">
        <f>SUM(G45:R45)</f>
        <v>6958.4478569330877</v>
      </c>
      <c r="T45" s="516"/>
    </row>
    <row r="46" spans="4:20">
      <c r="F46" s="523"/>
      <c r="G46" s="386"/>
      <c r="H46" s="386"/>
      <c r="I46" s="386"/>
      <c r="J46" s="386"/>
      <c r="K46" s="386"/>
      <c r="L46" s="386"/>
      <c r="M46" s="386"/>
      <c r="N46" s="386"/>
      <c r="O46" s="386"/>
      <c r="P46" s="386"/>
      <c r="Q46" s="386"/>
      <c r="R46" s="386"/>
      <c r="S46" s="386"/>
      <c r="T46" s="516"/>
    </row>
    <row r="47" spans="4:20">
      <c r="F47" s="524" t="s">
        <v>17</v>
      </c>
      <c r="G47" s="390">
        <f>$R$4</f>
        <v>372.07079916558763</v>
      </c>
      <c r="H47" s="390">
        <f>$R$5</f>
        <v>336.063947633434</v>
      </c>
      <c r="I47" s="390">
        <f>$R$6</f>
        <v>372.07079916558763</v>
      </c>
      <c r="J47" s="390">
        <f>$R$7</f>
        <v>360.06851532153644</v>
      </c>
      <c r="K47" s="390">
        <f>$R$8</f>
        <v>372.07079916558763</v>
      </c>
      <c r="L47" s="390">
        <f>$R$9</f>
        <v>360.06851532153644</v>
      </c>
      <c r="M47" s="390">
        <f>$R$10</f>
        <v>372.07079916558763</v>
      </c>
      <c r="N47" s="390">
        <f>$R$11</f>
        <v>372.07079916558763</v>
      </c>
      <c r="O47" s="390">
        <f>$R$12</f>
        <v>360.06851532153644</v>
      </c>
      <c r="P47" s="390">
        <f>$R$13</f>
        <v>372.07079916558763</v>
      </c>
      <c r="Q47" s="390">
        <f>$R$14</f>
        <v>360.06851532153644</v>
      </c>
      <c r="R47" s="390">
        <f>$R$15</f>
        <v>372.07079916558763</v>
      </c>
      <c r="S47" s="390">
        <f>SUM(G47:R47)</f>
        <v>4380.8336030786932</v>
      </c>
      <c r="T47" s="516"/>
    </row>
    <row r="48" spans="4:20">
      <c r="F48" s="523"/>
      <c r="G48" s="386"/>
      <c r="H48" s="386"/>
      <c r="I48" s="386"/>
      <c r="J48" s="386"/>
      <c r="K48" s="386"/>
      <c r="L48" s="386"/>
      <c r="M48" s="386"/>
      <c r="N48" s="386"/>
      <c r="O48" s="386"/>
      <c r="P48" s="386"/>
      <c r="Q48" s="386"/>
      <c r="R48" s="386"/>
      <c r="S48" s="386"/>
      <c r="T48" s="516"/>
    </row>
    <row r="49" spans="6:20">
      <c r="F49" s="524" t="s">
        <v>45</v>
      </c>
      <c r="G49" s="390">
        <f>$T$4</f>
        <v>223.32089302393751</v>
      </c>
      <c r="H49" s="390">
        <f>$T$5</f>
        <v>201.70919369904033</v>
      </c>
      <c r="I49" s="390">
        <f>$T$6</f>
        <v>223.32089302393751</v>
      </c>
      <c r="J49" s="390">
        <f>$T$7</f>
        <v>216.1169932489718</v>
      </c>
      <c r="K49" s="390">
        <f>$T$8</f>
        <v>223.32089302393751</v>
      </c>
      <c r="L49" s="390">
        <f>$T$9</f>
        <v>308.73856178424541</v>
      </c>
      <c r="M49" s="390">
        <f>$T$10</f>
        <v>319.02984717705357</v>
      </c>
      <c r="N49" s="390">
        <f>$T$11</f>
        <v>319.02984717705357</v>
      </c>
      <c r="O49" s="390">
        <f>$T$12</f>
        <v>216.1169932489718</v>
      </c>
      <c r="P49" s="390">
        <f>$T$13</f>
        <v>223.32089302393751</v>
      </c>
      <c r="Q49" s="390">
        <f>$T$14</f>
        <v>216.1169932489718</v>
      </c>
      <c r="R49" s="390">
        <f>$T$15</f>
        <v>223.32089302393751</v>
      </c>
      <c r="S49" s="390">
        <f>SUM(G49:R49)</f>
        <v>2913.462894703996</v>
      </c>
      <c r="T49" s="516"/>
    </row>
    <row r="50" spans="6:20">
      <c r="F50" s="523"/>
      <c r="G50" s="386"/>
      <c r="H50" s="386"/>
      <c r="I50" s="386"/>
      <c r="J50" s="386"/>
      <c r="K50" s="386"/>
      <c r="L50" s="386"/>
      <c r="M50" s="386"/>
      <c r="N50" s="386"/>
      <c r="O50" s="386"/>
      <c r="P50" s="386"/>
      <c r="Q50" s="386"/>
      <c r="R50" s="386"/>
      <c r="S50" s="386"/>
      <c r="T50" s="516"/>
    </row>
    <row r="51" spans="6:20">
      <c r="F51" s="524" t="s">
        <v>108</v>
      </c>
      <c r="G51" s="390">
        <f>$S$4</f>
        <v>0</v>
      </c>
      <c r="H51" s="390">
        <f>$S$5</f>
        <v>0</v>
      </c>
      <c r="I51" s="390">
        <f>$S$6</f>
        <v>0</v>
      </c>
      <c r="J51" s="390">
        <f>$S$7</f>
        <v>0</v>
      </c>
      <c r="K51" s="390">
        <f>$S$8</f>
        <v>0</v>
      </c>
      <c r="L51" s="390">
        <f>$S$9</f>
        <v>0</v>
      </c>
      <c r="M51" s="390">
        <f>$S$10</f>
        <v>0</v>
      </c>
      <c r="N51" s="390">
        <f>$S$11</f>
        <v>0</v>
      </c>
      <c r="O51" s="390">
        <f>$S$12</f>
        <v>0</v>
      </c>
      <c r="P51" s="390">
        <f>$S$13</f>
        <v>0</v>
      </c>
      <c r="Q51" s="390">
        <f>$S$14</f>
        <v>0</v>
      </c>
      <c r="R51" s="390">
        <f>$S$15</f>
        <v>0</v>
      </c>
      <c r="S51" s="390">
        <f>SUM(G51:R51)</f>
        <v>0</v>
      </c>
      <c r="T51" s="516"/>
    </row>
    <row r="52" spans="6:20">
      <c r="F52" s="523"/>
      <c r="G52" s="386"/>
      <c r="H52" s="386"/>
      <c r="I52" s="386"/>
      <c r="J52" s="386"/>
      <c r="K52" s="386"/>
      <c r="L52" s="386"/>
      <c r="M52" s="386"/>
      <c r="N52" s="386"/>
      <c r="O52" s="386"/>
      <c r="P52" s="386"/>
      <c r="Q52" s="386"/>
      <c r="R52" s="386"/>
      <c r="S52" s="386"/>
      <c r="T52" s="516"/>
    </row>
    <row r="53" spans="6:20">
      <c r="F53" s="523"/>
      <c r="G53" s="649" t="s">
        <v>153</v>
      </c>
      <c r="H53" s="649"/>
      <c r="I53" s="649"/>
      <c r="J53" s="649"/>
      <c r="K53" s="649"/>
      <c r="L53" s="649"/>
      <c r="M53" s="649"/>
      <c r="N53" s="649"/>
      <c r="O53" s="649"/>
      <c r="P53" s="649"/>
      <c r="Q53" s="649"/>
      <c r="R53" s="649"/>
      <c r="S53" s="649"/>
      <c r="T53" s="650"/>
    </row>
    <row r="54" spans="6:20">
      <c r="F54" s="523"/>
      <c r="G54" s="386"/>
      <c r="H54" s="386"/>
      <c r="I54" s="386"/>
      <c r="J54" s="386"/>
      <c r="K54" s="386"/>
      <c r="L54" s="386"/>
      <c r="M54" s="386"/>
      <c r="N54" s="386"/>
      <c r="O54" s="386"/>
      <c r="P54" s="386"/>
      <c r="Q54" s="386"/>
      <c r="R54" s="386"/>
      <c r="S54" s="387" t="s">
        <v>19</v>
      </c>
      <c r="T54" s="516"/>
    </row>
    <row r="55" spans="6:20">
      <c r="F55" s="524" t="s">
        <v>18</v>
      </c>
      <c r="G55" s="388">
        <f t="shared" ref="G55:S55" si="19">G45/G$19</f>
        <v>0.41055748179688289</v>
      </c>
      <c r="H55" s="388">
        <f t="shared" si="19"/>
        <v>0.45451226242187465</v>
      </c>
      <c r="I55" s="388">
        <f t="shared" si="19"/>
        <v>0.43642768810092408</v>
      </c>
      <c r="J55" s="388">
        <f t="shared" si="19"/>
        <v>0.44428718493500191</v>
      </c>
      <c r="K55" s="388">
        <f t="shared" si="19"/>
        <v>0.50578004462900505</v>
      </c>
      <c r="L55" s="388">
        <f t="shared" si="19"/>
        <v>0.55319005490182904</v>
      </c>
      <c r="M55" s="388">
        <f t="shared" si="19"/>
        <v>0.53635418385169398</v>
      </c>
      <c r="N55" s="388">
        <f t="shared" si="19"/>
        <v>0.55444397553930891</v>
      </c>
      <c r="O55" s="388">
        <f t="shared" si="19"/>
        <v>0.55910538784526453</v>
      </c>
      <c r="P55" s="388">
        <f t="shared" si="19"/>
        <v>0.55693395801995027</v>
      </c>
      <c r="Q55" s="388">
        <f t="shared" si="19"/>
        <v>0.50744205858582758</v>
      </c>
      <c r="R55" s="388">
        <f t="shared" si="19"/>
        <v>0.44844012697321894</v>
      </c>
      <c r="S55" s="388">
        <f t="shared" si="19"/>
        <v>0.50460117415115635</v>
      </c>
      <c r="T55" s="516"/>
    </row>
    <row r="56" spans="6:20">
      <c r="F56" s="523"/>
      <c r="G56" s="386"/>
      <c r="H56" s="389"/>
      <c r="I56" s="389"/>
      <c r="J56" s="389"/>
      <c r="K56" s="389"/>
      <c r="L56" s="389"/>
      <c r="M56" s="389"/>
      <c r="N56" s="389"/>
      <c r="O56" s="389"/>
      <c r="P56" s="389"/>
      <c r="Q56" s="389"/>
      <c r="R56" s="389"/>
      <c r="S56" s="389"/>
      <c r="T56" s="516"/>
    </row>
    <row r="57" spans="6:20">
      <c r="F57" s="525" t="s">
        <v>17</v>
      </c>
      <c r="G57" s="388">
        <f t="shared" ref="G57:S57" si="20">G47/G$19</f>
        <v>0.38995288581212134</v>
      </c>
      <c r="H57" s="388">
        <f t="shared" si="20"/>
        <v>0.36224338769936915</v>
      </c>
      <c r="I57" s="388">
        <f t="shared" si="20"/>
        <v>0.37364406973875086</v>
      </c>
      <c r="J57" s="388">
        <f t="shared" si="20"/>
        <v>0.36868937062310481</v>
      </c>
      <c r="K57" s="388">
        <f t="shared" si="20"/>
        <v>0.32992370610583283</v>
      </c>
      <c r="L57" s="388">
        <f t="shared" si="20"/>
        <v>0.25817051114018158</v>
      </c>
      <c r="M57" s="388">
        <f t="shared" si="20"/>
        <v>0.26730304733375077</v>
      </c>
      <c r="N57" s="388">
        <f t="shared" si="20"/>
        <v>0.25749032800195565</v>
      </c>
      <c r="O57" s="388">
        <f t="shared" si="20"/>
        <v>0.29630691912151413</v>
      </c>
      <c r="P57" s="388">
        <f t="shared" si="20"/>
        <v>0.29767580846167169</v>
      </c>
      <c r="Q57" s="388">
        <f t="shared" si="20"/>
        <v>0.32887595721606233</v>
      </c>
      <c r="R57" s="388">
        <f t="shared" si="20"/>
        <v>0.36607131775299412</v>
      </c>
      <c r="S57" s="388">
        <f t="shared" si="20"/>
        <v>0.31768202123866346</v>
      </c>
      <c r="T57" s="516"/>
    </row>
    <row r="58" spans="6:20">
      <c r="F58" s="523"/>
      <c r="G58" s="386"/>
      <c r="H58" s="389"/>
      <c r="I58" s="389"/>
      <c r="J58" s="389"/>
      <c r="K58" s="389"/>
      <c r="L58" s="389"/>
      <c r="M58" s="389"/>
      <c r="N58" s="389"/>
      <c r="O58" s="389"/>
      <c r="P58" s="389"/>
      <c r="Q58" s="389"/>
      <c r="R58" s="389"/>
      <c r="S58" s="389"/>
      <c r="T58" s="516"/>
    </row>
    <row r="59" spans="6:20">
      <c r="F59" s="525" t="s">
        <v>45</v>
      </c>
      <c r="G59" s="388">
        <f t="shared" ref="G59:S59" si="21">G49/G$19</f>
        <v>0.23405391364257006</v>
      </c>
      <c r="H59" s="388">
        <f t="shared" si="21"/>
        <v>0.21742237502770831</v>
      </c>
      <c r="I59" s="388">
        <f t="shared" si="21"/>
        <v>0.22426518693293285</v>
      </c>
      <c r="J59" s="388">
        <f t="shared" si="21"/>
        <v>0.22129132326598447</v>
      </c>
      <c r="K59" s="388">
        <f t="shared" si="21"/>
        <v>0.19802375473311845</v>
      </c>
      <c r="L59" s="388">
        <f t="shared" si="21"/>
        <v>0.22136673692045999</v>
      </c>
      <c r="M59" s="388">
        <f t="shared" si="21"/>
        <v>0.22919737461819725</v>
      </c>
      <c r="N59" s="388">
        <f t="shared" si="21"/>
        <v>0.22078351801930657</v>
      </c>
      <c r="O59" s="388">
        <f t="shared" si="21"/>
        <v>0.17784659784047974</v>
      </c>
      <c r="P59" s="388">
        <f t="shared" si="21"/>
        <v>0.17866821993654453</v>
      </c>
      <c r="Q59" s="388">
        <f t="shared" si="21"/>
        <v>0.19739488458729371</v>
      </c>
      <c r="R59" s="388">
        <f t="shared" si="21"/>
        <v>0.21971993979206453</v>
      </c>
      <c r="S59" s="388">
        <f t="shared" si="21"/>
        <v>0.21127366730910893</v>
      </c>
      <c r="T59" s="516"/>
    </row>
    <row r="60" spans="6:20">
      <c r="F60" s="523"/>
      <c r="G60" s="386"/>
      <c r="H60" s="386"/>
      <c r="I60" s="386"/>
      <c r="J60" s="386"/>
      <c r="K60" s="386"/>
      <c r="L60" s="386"/>
      <c r="M60" s="386"/>
      <c r="N60" s="386"/>
      <c r="O60" s="386"/>
      <c r="P60" s="386"/>
      <c r="Q60" s="386"/>
      <c r="R60" s="386"/>
      <c r="S60" s="386"/>
      <c r="T60" s="516"/>
    </row>
    <row r="61" spans="6:20">
      <c r="F61" s="526" t="s">
        <v>108</v>
      </c>
      <c r="G61" s="532">
        <v>25.574999999999999</v>
      </c>
      <c r="H61" s="532">
        <v>23.1</v>
      </c>
      <c r="I61" s="532">
        <v>25.574999999999999</v>
      </c>
      <c r="J61" s="532">
        <v>24.75</v>
      </c>
      <c r="K61" s="532">
        <v>25.574999999999999</v>
      </c>
      <c r="L61" s="532">
        <v>24.75</v>
      </c>
      <c r="M61" s="532">
        <v>25.574999999999999</v>
      </c>
      <c r="N61" s="532">
        <v>25.574999999999999</v>
      </c>
      <c r="O61" s="532">
        <v>24.75</v>
      </c>
      <c r="P61" s="532">
        <v>25.574999999999999</v>
      </c>
      <c r="Q61" s="532">
        <v>24.75</v>
      </c>
      <c r="R61" s="532">
        <v>25.574999999999999</v>
      </c>
      <c r="S61" s="532"/>
      <c r="T61" s="529"/>
    </row>
    <row r="63" spans="6:20">
      <c r="G63" s="268"/>
      <c r="M63" s="268" t="s">
        <v>464</v>
      </c>
    </row>
    <row r="64" spans="6:20">
      <c r="G64" s="269">
        <f>$O4</f>
        <v>186</v>
      </c>
      <c r="H64" s="269">
        <f>$O5</f>
        <v>168</v>
      </c>
      <c r="I64" s="269">
        <f>$O6</f>
        <v>0</v>
      </c>
      <c r="J64" s="269">
        <f>$O7</f>
        <v>0</v>
      </c>
      <c r="K64" s="269">
        <f>$O8</f>
        <v>372</v>
      </c>
      <c r="L64" s="269">
        <f>$O9</f>
        <v>360</v>
      </c>
      <c r="M64" s="269">
        <f>$O10</f>
        <v>372</v>
      </c>
      <c r="N64" s="269">
        <f>$O11</f>
        <v>372</v>
      </c>
      <c r="O64" s="269">
        <f>$O12</f>
        <v>360</v>
      </c>
      <c r="P64" s="269">
        <f>$O13</f>
        <v>186</v>
      </c>
      <c r="Q64" s="269">
        <f>$O14</f>
        <v>0</v>
      </c>
      <c r="R64" s="269">
        <f>$O15</f>
        <v>0</v>
      </c>
      <c r="S64" s="267">
        <f>SUM(G64:R64)</f>
        <v>2376</v>
      </c>
    </row>
    <row r="66" spans="7:19">
      <c r="M66" s="463" t="s">
        <v>536</v>
      </c>
    </row>
    <row r="67" spans="7:19">
      <c r="G67" s="267">
        <f>V4</f>
        <v>186.07079916558763</v>
      </c>
      <c r="H67" s="267">
        <f>V5</f>
        <v>168.063947633434</v>
      </c>
      <c r="I67" s="267">
        <f>V6</f>
        <v>372.07079916558763</v>
      </c>
      <c r="J67" s="267">
        <f>V7</f>
        <v>360.06851532153644</v>
      </c>
      <c r="K67" s="267">
        <f>V8</f>
        <v>7.0799165587629886E-2</v>
      </c>
      <c r="L67" s="267">
        <f>V9</f>
        <v>6.8515321536438023E-2</v>
      </c>
      <c r="M67" s="267">
        <f>V10</f>
        <v>7.0799165587629886E-2</v>
      </c>
      <c r="N67" s="267">
        <f>V11</f>
        <v>7.0799165587629886E-2</v>
      </c>
      <c r="O67" s="267">
        <f>V12</f>
        <v>6.8515321536438023E-2</v>
      </c>
      <c r="P67" s="267">
        <f>V13</f>
        <v>186.07079916558763</v>
      </c>
      <c r="Q67" s="267">
        <f>V14</f>
        <v>360.06851532153644</v>
      </c>
      <c r="R67" s="267">
        <f>V15</f>
        <v>372.07079916558763</v>
      </c>
      <c r="S67" s="267"/>
    </row>
    <row r="68" spans="7:19">
      <c r="G68" s="267"/>
    </row>
    <row r="69" spans="7:19">
      <c r="G69" s="267"/>
    </row>
    <row r="70" spans="7:19">
      <c r="G70" s="267"/>
    </row>
    <row r="71" spans="7:19">
      <c r="G71" s="267"/>
    </row>
    <row r="72" spans="7:19">
      <c r="G72" s="267"/>
    </row>
    <row r="73" spans="7:19">
      <c r="G73" s="267"/>
    </row>
    <row r="74" spans="7:19">
      <c r="G74" s="267"/>
    </row>
    <row r="75" spans="7:19">
      <c r="G75" s="267"/>
    </row>
    <row r="76" spans="7:19">
      <c r="G76" s="267"/>
    </row>
    <row r="77" spans="7:19">
      <c r="G77" s="267"/>
    </row>
    <row r="78" spans="7:19">
      <c r="G78" s="267"/>
    </row>
    <row r="79" spans="7:19">
      <c r="G79" s="267"/>
    </row>
    <row r="80" spans="7:19">
      <c r="G80" s="267"/>
    </row>
    <row r="81" spans="7:7">
      <c r="G81" s="267"/>
    </row>
  </sheetData>
  <mergeCells count="10">
    <mergeCell ref="G53:T53"/>
    <mergeCell ref="G18:R18"/>
    <mergeCell ref="O2:P2"/>
    <mergeCell ref="A1:V1"/>
    <mergeCell ref="G2:L2"/>
    <mergeCell ref="Q2:R2"/>
    <mergeCell ref="C23:D23"/>
    <mergeCell ref="G23:S23"/>
    <mergeCell ref="G33:T33"/>
    <mergeCell ref="G43:R43"/>
  </mergeCells>
  <phoneticPr fontId="1" type="noConversion"/>
  <pageMargins left="0.75" right="0.75" top="1" bottom="1" header="0.5" footer="0.5"/>
  <pageSetup scale="49" orientation="landscape" horizontalDpi="4294967293" verticalDpi="300"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dimension ref="A1:AV998"/>
  <sheetViews>
    <sheetView zoomScaleNormal="100" workbookViewId="0">
      <selection activeCell="E14" sqref="E14"/>
    </sheetView>
  </sheetViews>
  <sheetFormatPr defaultColWidth="21" defaultRowHeight="12.75"/>
  <cols>
    <col min="1" max="1" width="40.140625" style="180" bestFit="1" customWidth="1"/>
    <col min="2" max="2" width="18.85546875" bestFit="1" customWidth="1"/>
    <col min="3" max="3" width="13" style="5" customWidth="1"/>
    <col min="4" max="4" width="14.140625" style="14" customWidth="1"/>
    <col min="5" max="5" width="12" style="5" customWidth="1"/>
    <col min="6" max="6" width="12" style="14" customWidth="1"/>
    <col min="7" max="7" width="12.5703125" style="5" customWidth="1"/>
    <col min="8" max="8" width="13.7109375" style="14" customWidth="1"/>
    <col min="9" max="9" width="13" style="5" customWidth="1"/>
    <col min="10" max="10" width="12.42578125" style="14" customWidth="1"/>
    <col min="11" max="11" width="12.5703125" style="5" customWidth="1"/>
    <col min="12" max="12" width="12" style="14" customWidth="1"/>
    <col min="13" max="13" width="12.85546875" style="5" bestFit="1" customWidth="1"/>
    <col min="14" max="14" width="12" style="14" customWidth="1"/>
    <col min="15" max="15" width="14.28515625" style="1" bestFit="1" customWidth="1"/>
    <col min="16" max="17" width="17.7109375" customWidth="1"/>
    <col min="18" max="18" width="16.42578125" customWidth="1"/>
    <col min="19" max="19" width="13.85546875" customWidth="1"/>
    <col min="29" max="31" width="16.42578125" customWidth="1"/>
    <col min="32" max="32" width="19" customWidth="1"/>
  </cols>
  <sheetData>
    <row r="1" spans="1:48" ht="58.5" customHeight="1" thickBot="1">
      <c r="A1" s="583" t="s">
        <v>544</v>
      </c>
      <c r="B1" s="584"/>
      <c r="C1" s="584"/>
      <c r="D1" s="584"/>
      <c r="E1" s="584"/>
      <c r="F1" s="584"/>
      <c r="G1" s="584"/>
      <c r="H1" s="584"/>
      <c r="I1" s="584"/>
      <c r="J1" s="584"/>
      <c r="K1" s="584"/>
      <c r="L1" s="584"/>
      <c r="M1" s="584"/>
      <c r="N1" s="584"/>
      <c r="O1" s="657"/>
    </row>
    <row r="2" spans="1:48" ht="49.5" customHeight="1" thickBot="1">
      <c r="A2" s="580" t="s">
        <v>46</v>
      </c>
      <c r="B2" s="656"/>
      <c r="C2" s="656"/>
      <c r="D2" s="656"/>
      <c r="E2" s="656"/>
      <c r="F2" s="656"/>
      <c r="G2" s="656"/>
      <c r="H2" s="656"/>
      <c r="I2" s="656"/>
      <c r="J2" s="656"/>
      <c r="K2" s="656"/>
      <c r="L2" s="656"/>
      <c r="M2" s="656"/>
      <c r="N2" s="656"/>
      <c r="O2" s="657"/>
      <c r="V2" s="8"/>
      <c r="W2" s="9"/>
      <c r="X2" s="9"/>
      <c r="Y2" s="9"/>
      <c r="Z2" s="9"/>
      <c r="AA2" s="9"/>
      <c r="AB2" s="9"/>
      <c r="AC2" s="9"/>
      <c r="AD2" s="9"/>
      <c r="AE2" s="9"/>
      <c r="AF2" s="9"/>
      <c r="AG2" s="9"/>
      <c r="AH2" s="9"/>
      <c r="AI2" s="9"/>
      <c r="AJ2" s="9"/>
      <c r="AK2" s="9"/>
      <c r="AL2" s="9"/>
      <c r="AM2" s="9"/>
      <c r="AN2" s="8"/>
      <c r="AU2" s="8" t="s">
        <v>47</v>
      </c>
      <c r="AV2" s="8" t="s">
        <v>48</v>
      </c>
    </row>
    <row r="3" spans="1:48" ht="15.75">
      <c r="A3" s="10" t="s">
        <v>1</v>
      </c>
      <c r="B3" s="11"/>
      <c r="C3" s="12"/>
      <c r="D3" s="13"/>
      <c r="O3" s="2"/>
      <c r="V3" s="15"/>
      <c r="AB3" s="16"/>
      <c r="AN3" s="15"/>
    </row>
    <row r="4" spans="1:48" ht="15.75">
      <c r="A4" s="17" t="s">
        <v>500</v>
      </c>
      <c r="B4" s="3"/>
      <c r="F4" s="18"/>
      <c r="O4" s="2"/>
    </row>
    <row r="5" spans="1:48">
      <c r="A5" s="19" t="s">
        <v>49</v>
      </c>
      <c r="B5" s="3"/>
      <c r="C5" s="20" t="s">
        <v>50</v>
      </c>
      <c r="D5" s="21" t="s">
        <v>50</v>
      </c>
      <c r="E5" s="20" t="s">
        <v>50</v>
      </c>
      <c r="F5" s="21" t="s">
        <v>50</v>
      </c>
      <c r="G5" s="20" t="s">
        <v>51</v>
      </c>
      <c r="H5" s="21" t="s">
        <v>51</v>
      </c>
      <c r="I5" s="20" t="s">
        <v>51</v>
      </c>
      <c r="J5" s="21" t="s">
        <v>51</v>
      </c>
      <c r="K5" s="20" t="s">
        <v>51</v>
      </c>
      <c r="L5" s="21" t="s">
        <v>51</v>
      </c>
      <c r="M5" s="20" t="s">
        <v>51</v>
      </c>
      <c r="N5" s="21" t="s">
        <v>50</v>
      </c>
      <c r="O5" s="2"/>
    </row>
    <row r="6" spans="1:48">
      <c r="A6" s="4"/>
      <c r="B6" s="3"/>
      <c r="C6" s="22" t="s">
        <v>2</v>
      </c>
      <c r="D6" s="23" t="s">
        <v>3</v>
      </c>
      <c r="E6" s="22" t="s">
        <v>4</v>
      </c>
      <c r="F6" s="23" t="s">
        <v>5</v>
      </c>
      <c r="G6" s="22" t="s">
        <v>6</v>
      </c>
      <c r="H6" s="23" t="s">
        <v>7</v>
      </c>
      <c r="I6" s="22" t="s">
        <v>8</v>
      </c>
      <c r="J6" s="23" t="s">
        <v>52</v>
      </c>
      <c r="K6" s="22" t="s">
        <v>9</v>
      </c>
      <c r="L6" s="23" t="s">
        <v>10</v>
      </c>
      <c r="M6" s="22" t="s">
        <v>11</v>
      </c>
      <c r="N6" s="23" t="s">
        <v>12</v>
      </c>
      <c r="O6" s="24" t="s">
        <v>13</v>
      </c>
      <c r="Q6" s="15"/>
      <c r="S6" s="15"/>
      <c r="V6" s="8"/>
      <c r="W6" s="9"/>
      <c r="X6" s="9"/>
      <c r="Y6" s="9"/>
      <c r="Z6" s="9"/>
      <c r="AA6" s="9"/>
      <c r="AB6" s="9"/>
      <c r="AC6" s="9"/>
      <c r="AD6" s="9"/>
      <c r="AE6" s="9"/>
      <c r="AF6" s="9"/>
      <c r="AG6" s="9"/>
      <c r="AH6" s="9"/>
      <c r="AI6" s="9"/>
      <c r="AJ6" s="9"/>
      <c r="AK6" s="9"/>
      <c r="AL6" s="9"/>
      <c r="AM6" s="9"/>
      <c r="AN6" s="8"/>
    </row>
    <row r="7" spans="1:48" ht="13.5" thickBot="1">
      <c r="A7" s="19" t="s">
        <v>53</v>
      </c>
      <c r="B7" s="3"/>
      <c r="C7" s="25">
        <f>'Pumpage 2013'!G47</f>
        <v>372.07079916558763</v>
      </c>
      <c r="D7" s="26">
        <f>'Pumpage 2013'!H47</f>
        <v>336.063947633434</v>
      </c>
      <c r="E7" s="25">
        <f>'Pumpage 2013'!I47</f>
        <v>372.07079916558763</v>
      </c>
      <c r="F7" s="26">
        <f>'Pumpage 2013'!J47</f>
        <v>360.06851532153644</v>
      </c>
      <c r="G7" s="25">
        <f>'Pumpage 2013'!K47</f>
        <v>372.07079916558763</v>
      </c>
      <c r="H7" s="26">
        <f>'Pumpage 2013'!L47</f>
        <v>360.06851532153644</v>
      </c>
      <c r="I7" s="25">
        <f>'Pumpage 2013'!M47</f>
        <v>372.07079916558763</v>
      </c>
      <c r="J7" s="26">
        <f>'Pumpage 2013'!N47</f>
        <v>372.07079916558763</v>
      </c>
      <c r="K7" s="25">
        <f>'Pumpage 2013'!O47</f>
        <v>360.06851532153644</v>
      </c>
      <c r="L7" s="26">
        <f>'Pumpage 2013'!P47</f>
        <v>372.07079916558763</v>
      </c>
      <c r="M7" s="25">
        <f>'Pumpage 2013'!Q47</f>
        <v>360.06851532153644</v>
      </c>
      <c r="N7" s="26">
        <f>'Pumpage 2013'!R47</f>
        <v>372.07079916558763</v>
      </c>
      <c r="O7" s="27">
        <f>SUM(C7:N7)</f>
        <v>4380.8336030786932</v>
      </c>
      <c r="P7" s="15"/>
      <c r="Q7" s="15"/>
      <c r="R7" s="15"/>
      <c r="S7" s="15"/>
      <c r="V7" s="15"/>
      <c r="Z7" s="8"/>
      <c r="AA7" s="8"/>
      <c r="AN7" s="15"/>
    </row>
    <row r="8" spans="1:48">
      <c r="A8" s="28" t="s">
        <v>54</v>
      </c>
      <c r="B8" s="29" t="s">
        <v>55</v>
      </c>
      <c r="C8" s="30">
        <f>AVERAGE('Lex WTPs 2007-2010'!G23,'2011 Actual Costs'!C8)</f>
        <v>7.2970204046750222</v>
      </c>
      <c r="D8" s="31">
        <f>AVERAGE('Lex WTPs 2007-2010'!L23,'2011 Actual Costs'!D8)</f>
        <v>7.5425309443508901</v>
      </c>
      <c r="E8" s="30">
        <f>AVERAGE('Lex WTPs 2007-2010'!Q23,'2011 Actual Costs'!E8)</f>
        <v>17.795563605073347</v>
      </c>
      <c r="F8" s="31">
        <f>AVERAGE('Lex WTPs 2007-2010'!V23,'2011 Actual Costs'!F8)</f>
        <v>4.5166823437373491</v>
      </c>
      <c r="G8" s="30">
        <f>AVERAGE('Lex WTPs 2007-2010'!AA23,'2011 Actual Costs'!G8)</f>
        <v>4.3446493664447399</v>
      </c>
      <c r="H8" s="31">
        <f>AVERAGE('Lex WTPs 2007-2010'!AF23,'2011 Actual Costs'!H8)</f>
        <v>10.73087857028238</v>
      </c>
      <c r="I8" s="30">
        <f>AVERAGE('Lex WTPs 2007-2010'!AK23,'2011 Actual Costs'!I8)</f>
        <v>7.8250187215329881</v>
      </c>
      <c r="J8" s="31">
        <f>AVERAGE('Lex WTPs 2007-2010'!AP23,'2011 Actual Costs'!J8)</f>
        <v>13.656680864197151</v>
      </c>
      <c r="K8" s="30">
        <f>AVERAGE('Lex WTPs 2007-2010'!AU23,'2011 Actual Costs'!K8)</f>
        <v>8.5692114828909762</v>
      </c>
      <c r="L8" s="31">
        <f>AVERAGE('Lex WTPs 2007-2010'!AZ23,'2011 Actual Costs'!L8)</f>
        <v>9.4595267968382792</v>
      </c>
      <c r="M8" s="30">
        <f>AVERAGE('Lex WTPs 2007-2010'!BE23,'2011 Actual Costs'!M8)</f>
        <v>14.335172916278498</v>
      </c>
      <c r="N8" s="31">
        <f>AVERAGE('Lex WTPs 2007-2010'!BJ23,'2011 Actual Costs'!N8)</f>
        <v>16.276413512829475</v>
      </c>
      <c r="O8" s="32">
        <f>O9/O$7</f>
        <v>10.224795334950198</v>
      </c>
    </row>
    <row r="9" spans="1:48">
      <c r="A9" s="34" t="s">
        <v>56</v>
      </c>
      <c r="B9" s="35" t="s">
        <v>57</v>
      </c>
      <c r="C9" s="36">
        <f t="shared" ref="C9:N9" si="0">C$7*C8</f>
        <v>2715.0082134950353</v>
      </c>
      <c r="D9" s="37">
        <f t="shared" si="0"/>
        <v>2534.772724305893</v>
      </c>
      <c r="E9" s="36">
        <f t="shared" si="0"/>
        <v>6621.2095721416863</v>
      </c>
      <c r="F9" s="37">
        <f t="shared" si="0"/>
        <v>1626.3151056885049</v>
      </c>
      <c r="G9" s="36">
        <f t="shared" si="0"/>
        <v>1616.5171618673583</v>
      </c>
      <c r="H9" s="37">
        <f t="shared" si="0"/>
        <v>3863.8515148972683</v>
      </c>
      <c r="I9" s="36">
        <f t="shared" si="0"/>
        <v>2911.4609692064637</v>
      </c>
      <c r="J9" s="37">
        <f t="shared" si="0"/>
        <v>5081.2521630912215</v>
      </c>
      <c r="K9" s="36">
        <f t="shared" si="0"/>
        <v>3085.5032561208154</v>
      </c>
      <c r="L9" s="37">
        <f t="shared" si="0"/>
        <v>3519.6136950279097</v>
      </c>
      <c r="M9" s="36">
        <f t="shared" si="0"/>
        <v>5161.6444288418988</v>
      </c>
      <c r="N9" s="37">
        <f t="shared" si="0"/>
        <v>6055.9781832680319</v>
      </c>
      <c r="O9" s="38">
        <f>SUM(C9:N9)</f>
        <v>44793.126987952084</v>
      </c>
      <c r="P9" s="40"/>
      <c r="Q9" s="39"/>
      <c r="R9" s="39"/>
      <c r="S9" s="41"/>
      <c r="T9" s="8"/>
    </row>
    <row r="10" spans="1:48" ht="15.75">
      <c r="A10" s="42"/>
      <c r="B10" s="35" t="s">
        <v>58</v>
      </c>
      <c r="C10" s="43">
        <f>'Price Changes'!F3</f>
        <v>0.56176199999999998</v>
      </c>
      <c r="D10" s="44">
        <f t="shared" ref="D10:N10" si="1">C10</f>
        <v>0.56176199999999998</v>
      </c>
      <c r="E10" s="43">
        <f t="shared" si="1"/>
        <v>0.56176199999999998</v>
      </c>
      <c r="F10" s="44">
        <f t="shared" si="1"/>
        <v>0.56176199999999998</v>
      </c>
      <c r="G10" s="43">
        <f t="shared" si="1"/>
        <v>0.56176199999999998</v>
      </c>
      <c r="H10" s="44">
        <f t="shared" si="1"/>
        <v>0.56176199999999998</v>
      </c>
      <c r="I10" s="43">
        <f t="shared" si="1"/>
        <v>0.56176199999999998</v>
      </c>
      <c r="J10" s="44">
        <f t="shared" si="1"/>
        <v>0.56176199999999998</v>
      </c>
      <c r="K10" s="43">
        <f t="shared" si="1"/>
        <v>0.56176199999999998</v>
      </c>
      <c r="L10" s="44">
        <f t="shared" si="1"/>
        <v>0.56176199999999998</v>
      </c>
      <c r="M10" s="43">
        <f t="shared" si="1"/>
        <v>0.56176199999999998</v>
      </c>
      <c r="N10" s="44">
        <f t="shared" si="1"/>
        <v>0.56176199999999998</v>
      </c>
      <c r="O10" s="45">
        <f>IF(O9=0,0,+O11/O9)</f>
        <v>0.56176200000000009</v>
      </c>
      <c r="P10" s="46"/>
      <c r="Q10" s="47"/>
      <c r="R10" s="47"/>
      <c r="S10" s="41"/>
      <c r="T10" s="8"/>
    </row>
    <row r="11" spans="1:48">
      <c r="A11" s="42"/>
      <c r="B11" s="35" t="s">
        <v>15</v>
      </c>
      <c r="C11" s="48">
        <f t="shared" ref="C11:N11" si="2">C9*C10</f>
        <v>1525.1884440293979</v>
      </c>
      <c r="D11" s="49">
        <f t="shared" si="2"/>
        <v>1423.938995151527</v>
      </c>
      <c r="E11" s="48">
        <f t="shared" si="2"/>
        <v>3719.5439316654579</v>
      </c>
      <c r="F11" s="49">
        <f t="shared" si="2"/>
        <v>913.60202640178591</v>
      </c>
      <c r="G11" s="48">
        <f t="shared" si="2"/>
        <v>908.0979138849309</v>
      </c>
      <c r="H11" s="49">
        <f t="shared" si="2"/>
        <v>2170.5649547117191</v>
      </c>
      <c r="I11" s="48">
        <f t="shared" si="2"/>
        <v>1635.5481369833615</v>
      </c>
      <c r="J11" s="49">
        <f t="shared" si="2"/>
        <v>2854.4543776424507</v>
      </c>
      <c r="K11" s="48">
        <f t="shared" si="2"/>
        <v>1733.3184801649415</v>
      </c>
      <c r="L11" s="49">
        <f t="shared" si="2"/>
        <v>1977.1852285462685</v>
      </c>
      <c r="M11" s="48">
        <f t="shared" si="2"/>
        <v>2899.6156976350826</v>
      </c>
      <c r="N11" s="49">
        <f t="shared" si="2"/>
        <v>3402.0184161890161</v>
      </c>
      <c r="O11" s="50">
        <f>SUM(C11:N11)</f>
        <v>25163.076603005942</v>
      </c>
      <c r="P11" s="40"/>
      <c r="Q11" s="40"/>
      <c r="R11" s="40"/>
      <c r="S11" s="41"/>
      <c r="T11" s="8"/>
    </row>
    <row r="12" spans="1:48" ht="16.5" thickBot="1">
      <c r="A12" s="51"/>
      <c r="B12" s="52" t="s">
        <v>59</v>
      </c>
      <c r="C12" s="53">
        <f t="shared" ref="C12:O12" si="3">C11/C$7</f>
        <v>4.09918877657105</v>
      </c>
      <c r="D12" s="54">
        <f t="shared" si="3"/>
        <v>4.2371072683604449</v>
      </c>
      <c r="E12" s="53">
        <f t="shared" si="3"/>
        <v>9.9968714019132143</v>
      </c>
      <c r="F12" s="54">
        <f t="shared" si="3"/>
        <v>2.5373005067825809</v>
      </c>
      <c r="G12" s="53">
        <f t="shared" si="3"/>
        <v>2.4406589173927298</v>
      </c>
      <c r="H12" s="54">
        <f t="shared" si="3"/>
        <v>6.0281998073989707</v>
      </c>
      <c r="I12" s="53">
        <f t="shared" si="3"/>
        <v>4.3957981670458146</v>
      </c>
      <c r="J12" s="54">
        <f t="shared" si="3"/>
        <v>7.6718043556331192</v>
      </c>
      <c r="K12" s="53">
        <f t="shared" si="3"/>
        <v>4.8138573810518004</v>
      </c>
      <c r="L12" s="54">
        <f t="shared" si="3"/>
        <v>5.3140026924454649</v>
      </c>
      <c r="M12" s="53">
        <f t="shared" si="3"/>
        <v>8.0529554077944407</v>
      </c>
      <c r="N12" s="54">
        <f t="shared" si="3"/>
        <v>9.1434706077941108</v>
      </c>
      <c r="O12" s="55">
        <f t="shared" si="3"/>
        <v>5.7439014769522929</v>
      </c>
      <c r="P12" s="56"/>
      <c r="Q12" s="57"/>
      <c r="R12" s="57"/>
      <c r="S12" s="41"/>
      <c r="T12" s="8"/>
    </row>
    <row r="13" spans="1:48">
      <c r="A13" s="28" t="s">
        <v>60</v>
      </c>
      <c r="B13" s="29" t="s">
        <v>55</v>
      </c>
      <c r="C13" s="30">
        <f>AVERAGE('Lex WTPs 2007-2010'!G18,'2011 Actual Costs'!C13)</f>
        <v>0.53937402059112316</v>
      </c>
      <c r="D13" s="31">
        <f>AVERAGE('Lex WTPs 2007-2010'!L18,'2011 Actual Costs'!D13)</f>
        <v>2.7485965009007489</v>
      </c>
      <c r="E13" s="30">
        <f>AVERAGE('Lex WTPs 2007-2010'!Q18,'2011 Actual Costs'!E13)</f>
        <v>1.6839609393156219</v>
      </c>
      <c r="F13" s="31">
        <f>AVERAGE('Lex WTPs 2007-2010'!V18,'2011 Actual Costs'!F13)</f>
        <v>0.42434015106509376</v>
      </c>
      <c r="G13" s="30">
        <f>AVERAGE('Lex WTPs 2007-2010'!AA18,'2011 Actual Costs'!G13)</f>
        <v>1.0580544307169417</v>
      </c>
      <c r="H13" s="31">
        <f>AVERAGE('Lex WTPs 2007-2010'!AF18,'2011 Actual Costs'!H13)</f>
        <v>1.5592814174688758</v>
      </c>
      <c r="I13" s="30">
        <f>AVERAGE('Lex WTPs 2007-2010'!AK18,'2011 Actual Costs'!I13)</f>
        <v>1.1408275214355568</v>
      </c>
      <c r="J13" s="31">
        <f>AVERAGE('Lex WTPs 2007-2010'!AP18,'2011 Actual Costs'!J13)</f>
        <v>0</v>
      </c>
      <c r="K13" s="30">
        <f>AVERAGE('Lex WTPs 2007-2010'!AU18,'2011 Actual Costs'!K13)</f>
        <v>1.3936501122323106</v>
      </c>
      <c r="L13" s="31">
        <f>AVERAGE('Lex WTPs 2007-2010'!AZ18,'2011 Actual Costs'!L13)</f>
        <v>3.8039741369835043</v>
      </c>
      <c r="M13" s="30">
        <f>AVERAGE('Lex WTPs 2007-2010'!BE18,'2011 Actual Costs'!M13)</f>
        <v>1.1989957607178188</v>
      </c>
      <c r="N13" s="31">
        <f>AVERAGE('Lex WTPs 2007-2010'!BJ18,'2011 Actual Costs'!N13)</f>
        <v>0.41921690282552193</v>
      </c>
      <c r="O13" s="32">
        <f>O14/O$7</f>
        <v>1.3212503336374253</v>
      </c>
      <c r="P13" s="58"/>
      <c r="Q13" s="58"/>
      <c r="R13" s="58"/>
      <c r="S13" s="41"/>
    </row>
    <row r="14" spans="1:48">
      <c r="A14" s="34" t="s">
        <v>56</v>
      </c>
      <c r="B14" s="35" t="s">
        <v>57</v>
      </c>
      <c r="C14" s="36">
        <f t="shared" ref="C14:N14" si="4">C$7*C13</f>
        <v>200.68532289049531</v>
      </c>
      <c r="D14" s="37">
        <f t="shared" si="4"/>
        <v>923.70419054414924</v>
      </c>
      <c r="E14" s="36">
        <f t="shared" si="4"/>
        <v>626.55269245479701</v>
      </c>
      <c r="F14" s="37">
        <f t="shared" si="4"/>
        <v>152.79152818532481</v>
      </c>
      <c r="G14" s="36">
        <f t="shared" si="4"/>
        <v>393.67115759754336</v>
      </c>
      <c r="H14" s="37">
        <f t="shared" si="4"/>
        <v>561.44814495647893</v>
      </c>
      <c r="I14" s="36">
        <f t="shared" si="4"/>
        <v>424.46860761062413</v>
      </c>
      <c r="J14" s="37">
        <f t="shared" si="4"/>
        <v>0</v>
      </c>
      <c r="K14" s="36">
        <f t="shared" si="4"/>
        <v>501.80952678918072</v>
      </c>
      <c r="L14" s="37">
        <f t="shared" si="4"/>
        <v>1415.3476971526788</v>
      </c>
      <c r="M14" s="36">
        <f t="shared" si="4"/>
        <v>431.72062343848114</v>
      </c>
      <c r="N14" s="37">
        <f t="shared" si="4"/>
        <v>155.97836805801444</v>
      </c>
      <c r="O14" s="38">
        <f>SUM(C14:N14)</f>
        <v>5788.1778596777676</v>
      </c>
      <c r="P14" s="57"/>
      <c r="Q14" s="57"/>
      <c r="R14" s="57"/>
      <c r="S14" s="41"/>
      <c r="T14" s="8"/>
    </row>
    <row r="15" spans="1:48" ht="15.75">
      <c r="A15" s="42"/>
      <c r="B15" s="35" t="s">
        <v>58</v>
      </c>
      <c r="C15" s="43">
        <f>'Price Changes'!D4</f>
        <v>0.86860000000000004</v>
      </c>
      <c r="D15" s="44">
        <f t="shared" ref="D15:N15" si="5">C15</f>
        <v>0.86860000000000004</v>
      </c>
      <c r="E15" s="43">
        <f t="shared" si="5"/>
        <v>0.86860000000000004</v>
      </c>
      <c r="F15" s="44">
        <f t="shared" si="5"/>
        <v>0.86860000000000004</v>
      </c>
      <c r="G15" s="43">
        <f t="shared" si="5"/>
        <v>0.86860000000000004</v>
      </c>
      <c r="H15" s="44">
        <f t="shared" si="5"/>
        <v>0.86860000000000004</v>
      </c>
      <c r="I15" s="43">
        <f t="shared" si="5"/>
        <v>0.86860000000000004</v>
      </c>
      <c r="J15" s="44">
        <f t="shared" si="5"/>
        <v>0.86860000000000004</v>
      </c>
      <c r="K15" s="43">
        <f t="shared" si="5"/>
        <v>0.86860000000000004</v>
      </c>
      <c r="L15" s="44">
        <f t="shared" si="5"/>
        <v>0.86860000000000004</v>
      </c>
      <c r="M15" s="43">
        <f t="shared" si="5"/>
        <v>0.86860000000000004</v>
      </c>
      <c r="N15" s="44">
        <f t="shared" si="5"/>
        <v>0.86860000000000004</v>
      </c>
      <c r="O15" s="45">
        <f>IF(O14=0,0,+O16/O14)</f>
        <v>0.86859999999999993</v>
      </c>
      <c r="P15" s="46"/>
      <c r="Q15" s="47"/>
      <c r="R15" s="47"/>
      <c r="S15" s="41"/>
      <c r="T15" s="8"/>
    </row>
    <row r="16" spans="1:48">
      <c r="A16" s="42"/>
      <c r="B16" s="35" t="s">
        <v>15</v>
      </c>
      <c r="C16" s="48">
        <f t="shared" ref="C16:N16" si="6">C14*C15</f>
        <v>174.31527146268425</v>
      </c>
      <c r="D16" s="49">
        <f t="shared" si="6"/>
        <v>802.32945990664803</v>
      </c>
      <c r="E16" s="48">
        <f t="shared" si="6"/>
        <v>544.22366866623668</v>
      </c>
      <c r="F16" s="49">
        <f t="shared" si="6"/>
        <v>132.71472138177313</v>
      </c>
      <c r="G16" s="48">
        <f t="shared" si="6"/>
        <v>341.94276748922618</v>
      </c>
      <c r="H16" s="49">
        <f t="shared" si="6"/>
        <v>487.67385870919765</v>
      </c>
      <c r="I16" s="48">
        <f t="shared" si="6"/>
        <v>368.69343257058813</v>
      </c>
      <c r="J16" s="49">
        <f t="shared" si="6"/>
        <v>0</v>
      </c>
      <c r="K16" s="48">
        <f t="shared" si="6"/>
        <v>435.87175496908242</v>
      </c>
      <c r="L16" s="49">
        <f t="shared" si="6"/>
        <v>1229.371009746817</v>
      </c>
      <c r="M16" s="48">
        <f t="shared" si="6"/>
        <v>374.99253351866474</v>
      </c>
      <c r="N16" s="49">
        <f t="shared" si="6"/>
        <v>135.48281049519136</v>
      </c>
      <c r="O16" s="50">
        <f>SUM(C16:N16)</f>
        <v>5027.6112889161086</v>
      </c>
      <c r="P16" s="59"/>
      <c r="Q16" s="40"/>
      <c r="R16" s="40"/>
      <c r="S16" s="41"/>
      <c r="T16" s="8"/>
    </row>
    <row r="17" spans="1:40" ht="16.5" thickBot="1">
      <c r="A17" s="51"/>
      <c r="B17" s="52" t="s">
        <v>59</v>
      </c>
      <c r="C17" s="53">
        <f t="shared" ref="C17:O17" si="7">C16/C$7</f>
        <v>0.46850027428544966</v>
      </c>
      <c r="D17" s="54">
        <f t="shared" si="7"/>
        <v>2.3874309206823905</v>
      </c>
      <c r="E17" s="53">
        <f t="shared" si="7"/>
        <v>1.462688471889549</v>
      </c>
      <c r="F17" s="54">
        <f t="shared" si="7"/>
        <v>0.36858185521514047</v>
      </c>
      <c r="G17" s="53">
        <f t="shared" si="7"/>
        <v>0.91902607852073559</v>
      </c>
      <c r="H17" s="54">
        <f t="shared" si="7"/>
        <v>1.3543918392134655</v>
      </c>
      <c r="I17" s="53">
        <f t="shared" si="7"/>
        <v>0.99092278511892462</v>
      </c>
      <c r="J17" s="54">
        <f t="shared" si="7"/>
        <v>0</v>
      </c>
      <c r="K17" s="53">
        <f t="shared" si="7"/>
        <v>1.2105244874849852</v>
      </c>
      <c r="L17" s="54">
        <f t="shared" si="7"/>
        <v>3.3041319353838721</v>
      </c>
      <c r="M17" s="53">
        <f t="shared" si="7"/>
        <v>1.0414477177594974</v>
      </c>
      <c r="N17" s="54">
        <f t="shared" si="7"/>
        <v>0.36413180179424842</v>
      </c>
      <c r="O17" s="55">
        <f t="shared" si="7"/>
        <v>1.1476380397974677</v>
      </c>
      <c r="P17" s="56"/>
      <c r="Q17" s="57"/>
      <c r="R17" s="57"/>
      <c r="S17" s="41"/>
      <c r="T17" s="8"/>
    </row>
    <row r="18" spans="1:40">
      <c r="A18" s="28" t="s">
        <v>61</v>
      </c>
      <c r="B18" s="29" t="s">
        <v>55</v>
      </c>
      <c r="C18" s="30">
        <f>AVERAGE('Lex WTPs 2007-2010'!G16,'2011 Actual Costs'!C18)</f>
        <v>59.063629317695316</v>
      </c>
      <c r="D18" s="31">
        <f>AVERAGE('Lex WTPs 2007-2010'!L16,'2011 Actual Costs'!D18)</f>
        <v>65.315875304263884</v>
      </c>
      <c r="E18" s="30">
        <f>AVERAGE('Lex WTPs 2007-2010'!Q16,'2011 Actual Costs'!E18)</f>
        <v>68.438538254169885</v>
      </c>
      <c r="F18" s="31">
        <f>AVERAGE('Lex WTPs 2007-2010'!V16,'2011 Actual Costs'!F18)</f>
        <v>68.641965365174173</v>
      </c>
      <c r="G18" s="30">
        <f>AVERAGE('Lex WTPs 2007-2010'!AA16,'2011 Actual Costs'!G18)</f>
        <v>66.008242578693029</v>
      </c>
      <c r="H18" s="31">
        <f>AVERAGE('Lex WTPs 2007-2010'!AF16,'2011 Actual Costs'!H18)</f>
        <v>74.020416933561364</v>
      </c>
      <c r="I18" s="30">
        <f>AVERAGE('Lex WTPs 2007-2010'!AK16,'2011 Actual Costs'!I18)</f>
        <v>83.028586980584407</v>
      </c>
      <c r="J18" s="31">
        <f>AVERAGE('Lex WTPs 2007-2010'!AP16,'2011 Actual Costs'!J18)</f>
        <v>73.822406925060449</v>
      </c>
      <c r="K18" s="30">
        <f>AVERAGE('Lex WTPs 2007-2010'!AU16,'2011 Actual Costs'!K18)</f>
        <v>70.119414342101891</v>
      </c>
      <c r="L18" s="31">
        <f>AVERAGE('Lex WTPs 2007-2010'!AZ16,'2011 Actual Costs'!L18)</f>
        <v>70.995053125790932</v>
      </c>
      <c r="M18" s="30">
        <f>AVERAGE('Lex WTPs 2007-2010'!BE16,'2011 Actual Costs'!M18)</f>
        <v>64.441590093565097</v>
      </c>
      <c r="N18" s="31">
        <f>AVERAGE('Lex WTPs 2007-2010'!BJ16,'2011 Actual Costs'!N18)</f>
        <v>61.88696376755729</v>
      </c>
      <c r="O18" s="32">
        <f>O19/O$7</f>
        <v>68.838608657500146</v>
      </c>
      <c r="V18" s="15"/>
      <c r="AN18" s="15"/>
    </row>
    <row r="19" spans="1:40" ht="15.75">
      <c r="A19" s="34" t="s">
        <v>56</v>
      </c>
      <c r="B19" s="35" t="s">
        <v>57</v>
      </c>
      <c r="C19" s="36">
        <f t="shared" ref="C19:N19" si="8">C$7*C18</f>
        <v>21975.851761854927</v>
      </c>
      <c r="D19" s="37">
        <f t="shared" si="8"/>
        <v>21950.310897884043</v>
      </c>
      <c r="E19" s="36">
        <f t="shared" si="8"/>
        <v>25463.98162195363</v>
      </c>
      <c r="F19" s="37">
        <f t="shared" si="8"/>
        <v>24715.810557790592</v>
      </c>
      <c r="G19" s="36">
        <f t="shared" si="8"/>
        <v>24559.739567770284</v>
      </c>
      <c r="H19" s="37">
        <f t="shared" si="8"/>
        <v>26652.421628748554</v>
      </c>
      <c r="I19" s="36">
        <f t="shared" si="8"/>
        <v>30892.512711455543</v>
      </c>
      <c r="J19" s="37">
        <f t="shared" si="8"/>
        <v>27467.161940934453</v>
      </c>
      <c r="K19" s="36">
        <f t="shared" si="8"/>
        <v>25247.793417376277</v>
      </c>
      <c r="L19" s="37">
        <f t="shared" si="8"/>
        <v>26415.186153316383</v>
      </c>
      <c r="M19" s="36">
        <f t="shared" si="8"/>
        <v>23203.387669949014</v>
      </c>
      <c r="N19" s="37">
        <f t="shared" si="8"/>
        <v>23026.332066926807</v>
      </c>
      <c r="O19" s="38">
        <f>SUM(C19:N19)</f>
        <v>301570.4899959605</v>
      </c>
      <c r="P19" s="60"/>
      <c r="Q19" s="60"/>
      <c r="R19" s="57"/>
      <c r="S19" s="41"/>
      <c r="T19" s="8"/>
      <c r="V19" s="15"/>
      <c r="X19" s="16"/>
      <c r="AE19" s="16"/>
      <c r="AG19" s="8"/>
      <c r="AH19" s="16"/>
      <c r="AN19" s="15"/>
    </row>
    <row r="20" spans="1:40" ht="15.75">
      <c r="A20" s="42"/>
      <c r="B20" s="35" t="s">
        <v>58</v>
      </c>
      <c r="C20" s="43">
        <f>'Price Changes'!D5</f>
        <v>0.21000000000000002</v>
      </c>
      <c r="D20" s="44">
        <f t="shared" ref="D20:N20" si="9">C20</f>
        <v>0.21000000000000002</v>
      </c>
      <c r="E20" s="43">
        <f t="shared" si="9"/>
        <v>0.21000000000000002</v>
      </c>
      <c r="F20" s="44">
        <f t="shared" si="9"/>
        <v>0.21000000000000002</v>
      </c>
      <c r="G20" s="43">
        <f t="shared" si="9"/>
        <v>0.21000000000000002</v>
      </c>
      <c r="H20" s="44">
        <f t="shared" si="9"/>
        <v>0.21000000000000002</v>
      </c>
      <c r="I20" s="43">
        <f t="shared" si="9"/>
        <v>0.21000000000000002</v>
      </c>
      <c r="J20" s="44">
        <f t="shared" si="9"/>
        <v>0.21000000000000002</v>
      </c>
      <c r="K20" s="43">
        <f t="shared" si="9"/>
        <v>0.21000000000000002</v>
      </c>
      <c r="L20" s="44">
        <f t="shared" si="9"/>
        <v>0.21000000000000002</v>
      </c>
      <c r="M20" s="43">
        <f t="shared" si="9"/>
        <v>0.21000000000000002</v>
      </c>
      <c r="N20" s="44">
        <f t="shared" si="9"/>
        <v>0.21000000000000002</v>
      </c>
      <c r="O20" s="45">
        <f>IF(O19=0,0,+O21/O19)</f>
        <v>0.21000000000000002</v>
      </c>
      <c r="P20" s="46"/>
      <c r="Q20" s="47"/>
      <c r="R20" s="47"/>
      <c r="S20" s="41"/>
      <c r="T20" s="61"/>
      <c r="U20" s="40"/>
      <c r="V20" s="62"/>
      <c r="W20" s="40"/>
      <c r="X20" s="40"/>
      <c r="Y20" s="40"/>
      <c r="Z20" s="40"/>
      <c r="AA20" s="40"/>
      <c r="AN20" s="15"/>
    </row>
    <row r="21" spans="1:40" ht="15.75">
      <c r="A21" s="42"/>
      <c r="B21" s="35" t="s">
        <v>15</v>
      </c>
      <c r="C21" s="48">
        <f t="shared" ref="C21:N21" si="10">C19*C20</f>
        <v>4614.9288699895351</v>
      </c>
      <c r="D21" s="49">
        <f t="shared" si="10"/>
        <v>4609.5652885556492</v>
      </c>
      <c r="E21" s="48">
        <f t="shared" si="10"/>
        <v>5347.4361406102626</v>
      </c>
      <c r="F21" s="49">
        <f t="shared" si="10"/>
        <v>5190.3202171360244</v>
      </c>
      <c r="G21" s="48">
        <f t="shared" si="10"/>
        <v>5157.5453092317603</v>
      </c>
      <c r="H21" s="49">
        <f t="shared" si="10"/>
        <v>5597.008542037197</v>
      </c>
      <c r="I21" s="48">
        <f t="shared" si="10"/>
        <v>6487.4276694056643</v>
      </c>
      <c r="J21" s="49">
        <f t="shared" si="10"/>
        <v>5768.1040075962355</v>
      </c>
      <c r="K21" s="48">
        <f t="shared" si="10"/>
        <v>5302.0366176490188</v>
      </c>
      <c r="L21" s="49">
        <f t="shared" si="10"/>
        <v>5547.1890921964414</v>
      </c>
      <c r="M21" s="48">
        <f t="shared" si="10"/>
        <v>4872.7114106892932</v>
      </c>
      <c r="N21" s="49">
        <f t="shared" si="10"/>
        <v>4835.5297340546304</v>
      </c>
      <c r="O21" s="50">
        <f>SUM(C21:N21)</f>
        <v>63329.802899151713</v>
      </c>
      <c r="P21" s="40"/>
      <c r="Q21" s="40"/>
      <c r="R21" s="40"/>
      <c r="S21" s="41"/>
      <c r="T21" s="8"/>
      <c r="V21" s="15"/>
      <c r="X21" s="16"/>
      <c r="Y21" s="8"/>
      <c r="AH21" s="8"/>
      <c r="AN21" s="15"/>
    </row>
    <row r="22" spans="1:40" ht="16.5" thickBot="1">
      <c r="A22" s="51"/>
      <c r="B22" s="52" t="s">
        <v>59</v>
      </c>
      <c r="C22" s="53">
        <f t="shared" ref="C22:O22" si="11">C21/C$7</f>
        <v>12.403362156716017</v>
      </c>
      <c r="D22" s="54">
        <f t="shared" si="11"/>
        <v>13.716333813895416</v>
      </c>
      <c r="E22" s="53">
        <f t="shared" si="11"/>
        <v>14.372093033375677</v>
      </c>
      <c r="F22" s="54">
        <f t="shared" si="11"/>
        <v>14.414812726686577</v>
      </c>
      <c r="G22" s="53">
        <f t="shared" si="11"/>
        <v>13.861730941525538</v>
      </c>
      <c r="H22" s="54">
        <f t="shared" si="11"/>
        <v>15.544287556047887</v>
      </c>
      <c r="I22" s="53">
        <f t="shared" si="11"/>
        <v>17.436003265922725</v>
      </c>
      <c r="J22" s="54">
        <f t="shared" si="11"/>
        <v>15.502705454262696</v>
      </c>
      <c r="K22" s="53">
        <f t="shared" si="11"/>
        <v>14.7250770118414</v>
      </c>
      <c r="L22" s="54">
        <f t="shared" si="11"/>
        <v>14.908961156416099</v>
      </c>
      <c r="M22" s="53">
        <f t="shared" si="11"/>
        <v>13.53273391964867</v>
      </c>
      <c r="N22" s="54">
        <f t="shared" si="11"/>
        <v>12.996262391187033</v>
      </c>
      <c r="O22" s="55">
        <f t="shared" si="11"/>
        <v>14.456107818075033</v>
      </c>
      <c r="P22" s="56"/>
      <c r="Q22" s="57"/>
      <c r="R22" s="57"/>
      <c r="S22" s="41"/>
      <c r="T22" s="8"/>
      <c r="V22" s="15"/>
      <c r="X22" s="63"/>
      <c r="Y22" s="8"/>
      <c r="AN22" s="15"/>
    </row>
    <row r="23" spans="1:40">
      <c r="A23" s="28" t="s">
        <v>62</v>
      </c>
      <c r="B23" s="29" t="s">
        <v>55</v>
      </c>
      <c r="C23" s="30">
        <f>AVERAGE('Lex WTPs 2007-2010'!G19,'2011 Actual Costs'!C23)</f>
        <v>0</v>
      </c>
      <c r="D23" s="31">
        <f>AVERAGE('Lex WTPs 2007-2010'!L19,'2011 Actual Costs'!D23)</f>
        <v>0</v>
      </c>
      <c r="E23" s="30">
        <f>AVERAGE('Lex WTPs 2007-2010'!Q19,'2011 Actual Costs'!E23)</f>
        <v>5.427366074787952</v>
      </c>
      <c r="F23" s="31">
        <f>AVERAGE('Lex WTPs 2007-2010'!V19,'2011 Actual Costs'!F23)</f>
        <v>0</v>
      </c>
      <c r="G23" s="30">
        <f>AVERAGE('Lex WTPs 2007-2010'!AA19,'2011 Actual Costs'!G23)</f>
        <v>4.9800444983561301</v>
      </c>
      <c r="H23" s="31">
        <f>AVERAGE('Lex WTPs 2007-2010'!AF19,'2011 Actual Costs'!H23)</f>
        <v>10.000966268575523</v>
      </c>
      <c r="I23" s="30">
        <f>AVERAGE('Lex WTPs 2007-2010'!AK19,'2011 Actual Costs'!I23)</f>
        <v>5.1109167471650396</v>
      </c>
      <c r="J23" s="31">
        <f>AVERAGE('Lex WTPs 2007-2010'!AP19,'2011 Actual Costs'!J23)</f>
        <v>0</v>
      </c>
      <c r="K23" s="30">
        <f>AVERAGE('Lex WTPs 2007-2010'!AU19,'2011 Actual Costs'!K23)</f>
        <v>2.4446731857951618</v>
      </c>
      <c r="L23" s="31">
        <f>AVERAGE('Lex WTPs 2007-2010'!AZ19,'2011 Actual Costs'!L23)</f>
        <v>0</v>
      </c>
      <c r="M23" s="30">
        <f>AVERAGE('Lex WTPs 2007-2010'!BE19,'2011 Actual Costs'!M23)</f>
        <v>8.7287728275720511</v>
      </c>
      <c r="N23" s="31">
        <f>AVERAGE('Lex WTPs 2007-2010'!BJ19,'2011 Actual Costs'!N23)</f>
        <v>0</v>
      </c>
      <c r="O23" s="32">
        <f>O24/O$7</f>
        <v>3.0583575764051094</v>
      </c>
    </row>
    <row r="24" spans="1:40">
      <c r="A24" s="34" t="s">
        <v>56</v>
      </c>
      <c r="B24" s="35" t="s">
        <v>57</v>
      </c>
      <c r="C24" s="36">
        <f t="shared" ref="C24:N24" si="12">C$7*C23</f>
        <v>0</v>
      </c>
      <c r="D24" s="37">
        <f t="shared" si="12"/>
        <v>0</v>
      </c>
      <c r="E24" s="36">
        <f t="shared" si="12"/>
        <v>2019.3644328105518</v>
      </c>
      <c r="F24" s="37">
        <f t="shared" si="12"/>
        <v>0</v>
      </c>
      <c r="G24" s="36">
        <f t="shared" si="12"/>
        <v>1852.9291363835532</v>
      </c>
      <c r="H24" s="37">
        <f t="shared" si="12"/>
        <v>3601.0330761067548</v>
      </c>
      <c r="I24" s="36">
        <f t="shared" si="12"/>
        <v>1901.6228785864819</v>
      </c>
      <c r="J24" s="37">
        <f t="shared" si="12"/>
        <v>0</v>
      </c>
      <c r="K24" s="36">
        <f t="shared" si="12"/>
        <v>880.2498444556345</v>
      </c>
      <c r="L24" s="37">
        <f t="shared" si="12"/>
        <v>0</v>
      </c>
      <c r="M24" s="36">
        <f t="shared" si="12"/>
        <v>3142.956272602838</v>
      </c>
      <c r="N24" s="37">
        <f t="shared" si="12"/>
        <v>0</v>
      </c>
      <c r="O24" s="38">
        <f>SUM(C24:N24)</f>
        <v>13398.155640945815</v>
      </c>
      <c r="P24" s="60"/>
      <c r="Q24" s="57"/>
      <c r="R24" s="57"/>
      <c r="S24" s="41"/>
      <c r="T24" s="8"/>
    </row>
    <row r="25" spans="1:40" ht="15.75">
      <c r="A25" s="42"/>
      <c r="B25" s="35" t="s">
        <v>58</v>
      </c>
      <c r="C25" s="43">
        <f>'Price Changes'!D6</f>
        <v>0.72719999999999996</v>
      </c>
      <c r="D25" s="44">
        <f t="shared" ref="D25:N25" si="13">C25</f>
        <v>0.72719999999999996</v>
      </c>
      <c r="E25" s="43">
        <f t="shared" si="13"/>
        <v>0.72719999999999996</v>
      </c>
      <c r="F25" s="44">
        <f t="shared" si="13"/>
        <v>0.72719999999999996</v>
      </c>
      <c r="G25" s="43">
        <f t="shared" si="13"/>
        <v>0.72719999999999996</v>
      </c>
      <c r="H25" s="44">
        <f t="shared" si="13"/>
        <v>0.72719999999999996</v>
      </c>
      <c r="I25" s="43">
        <f t="shared" si="13"/>
        <v>0.72719999999999996</v>
      </c>
      <c r="J25" s="44">
        <f t="shared" si="13"/>
        <v>0.72719999999999996</v>
      </c>
      <c r="K25" s="43">
        <f t="shared" si="13"/>
        <v>0.72719999999999996</v>
      </c>
      <c r="L25" s="44">
        <f t="shared" si="13"/>
        <v>0.72719999999999996</v>
      </c>
      <c r="M25" s="43">
        <f t="shared" si="13"/>
        <v>0.72719999999999996</v>
      </c>
      <c r="N25" s="44">
        <f t="shared" si="13"/>
        <v>0.72719999999999996</v>
      </c>
      <c r="O25" s="45">
        <f>IF(O24=0,0,+O26/O24)</f>
        <v>0.72719999999999996</v>
      </c>
      <c r="P25" s="46"/>
      <c r="Q25" s="47"/>
      <c r="R25" s="47"/>
      <c r="S25" s="41"/>
      <c r="T25" s="8"/>
    </row>
    <row r="26" spans="1:40">
      <c r="A26" s="42"/>
      <c r="B26" s="35" t="s">
        <v>15</v>
      </c>
      <c r="C26" s="48">
        <f t="shared" ref="C26:N26" si="14">C24*C25</f>
        <v>0</v>
      </c>
      <c r="D26" s="49">
        <f t="shared" si="14"/>
        <v>0</v>
      </c>
      <c r="E26" s="48">
        <f t="shared" si="14"/>
        <v>1468.4818155398332</v>
      </c>
      <c r="F26" s="49">
        <f t="shared" si="14"/>
        <v>0</v>
      </c>
      <c r="G26" s="48">
        <f t="shared" si="14"/>
        <v>1347.4500679781197</v>
      </c>
      <c r="H26" s="49">
        <f t="shared" si="14"/>
        <v>2618.6712529448318</v>
      </c>
      <c r="I26" s="48">
        <f t="shared" si="14"/>
        <v>1382.8601573080896</v>
      </c>
      <c r="J26" s="49">
        <f t="shared" si="14"/>
        <v>0</v>
      </c>
      <c r="K26" s="48">
        <f t="shared" si="14"/>
        <v>640.11768688813743</v>
      </c>
      <c r="L26" s="49">
        <f t="shared" si="14"/>
        <v>0</v>
      </c>
      <c r="M26" s="48">
        <f t="shared" si="14"/>
        <v>2285.5578014367838</v>
      </c>
      <c r="N26" s="49">
        <f t="shared" si="14"/>
        <v>0</v>
      </c>
      <c r="O26" s="50">
        <f>SUM(C26:N26)</f>
        <v>9743.1387820957971</v>
      </c>
      <c r="P26" s="40"/>
      <c r="Q26" s="40"/>
      <c r="R26" s="40"/>
      <c r="S26" s="41"/>
      <c r="T26" s="8"/>
    </row>
    <row r="27" spans="1:40" ht="16.5" thickBot="1">
      <c r="A27" s="51"/>
      <c r="B27" s="52" t="s">
        <v>59</v>
      </c>
      <c r="C27" s="53">
        <f t="shared" ref="C27:O27" si="15">C26/C$7</f>
        <v>0</v>
      </c>
      <c r="D27" s="54">
        <f t="shared" si="15"/>
        <v>0</v>
      </c>
      <c r="E27" s="53">
        <f t="shared" si="15"/>
        <v>3.9467806095857987</v>
      </c>
      <c r="F27" s="54">
        <f t="shared" si="15"/>
        <v>0</v>
      </c>
      <c r="G27" s="53">
        <f t="shared" si="15"/>
        <v>3.621488359204577</v>
      </c>
      <c r="H27" s="54">
        <f t="shared" si="15"/>
        <v>7.2727026705081199</v>
      </c>
      <c r="I27" s="53">
        <f t="shared" si="15"/>
        <v>3.7166586585384169</v>
      </c>
      <c r="J27" s="54">
        <f t="shared" si="15"/>
        <v>0</v>
      </c>
      <c r="K27" s="53">
        <f t="shared" si="15"/>
        <v>1.7777663407102418</v>
      </c>
      <c r="L27" s="54">
        <f t="shared" si="15"/>
        <v>0</v>
      </c>
      <c r="M27" s="53">
        <f t="shared" si="15"/>
        <v>6.3475636002103952</v>
      </c>
      <c r="N27" s="54">
        <f t="shared" si="15"/>
        <v>0</v>
      </c>
      <c r="O27" s="55">
        <f t="shared" si="15"/>
        <v>2.2240376295617956</v>
      </c>
      <c r="P27" s="56"/>
      <c r="Q27" s="57"/>
      <c r="R27" s="57"/>
      <c r="S27" s="41"/>
    </row>
    <row r="28" spans="1:40">
      <c r="A28" s="181" t="s">
        <v>63</v>
      </c>
      <c r="B28" s="29" t="s">
        <v>55</v>
      </c>
      <c r="C28" s="30">
        <f>AVERAGE('Lex WTPs 2007-2010'!G21,'2011 Actual Costs'!C28)</f>
        <v>24.798903244892273</v>
      </c>
      <c r="D28" s="31">
        <f>AVERAGE('Lex WTPs 2007-2010'!L21,'2011 Actual Costs'!D28)</f>
        <v>25.42454398576713</v>
      </c>
      <c r="E28" s="30">
        <f>AVERAGE('Lex WTPs 2007-2010'!Q21,'2011 Actual Costs'!E28)</f>
        <v>24.187423732420235</v>
      </c>
      <c r="F28" s="31">
        <f>AVERAGE('Lex WTPs 2007-2010'!V21,'2011 Actual Costs'!F28)</f>
        <v>23.945183080040096</v>
      </c>
      <c r="G28" s="30">
        <f>AVERAGE('Lex WTPs 2007-2010'!AA21,'2011 Actual Costs'!G28)</f>
        <v>24.766914103037493</v>
      </c>
      <c r="H28" s="31">
        <f>AVERAGE('Lex WTPs 2007-2010'!AF21,'2011 Actual Costs'!H28)</f>
        <v>25.473809378108751</v>
      </c>
      <c r="I28" s="30">
        <f>AVERAGE('Lex WTPs 2007-2010'!AK21,'2011 Actual Costs'!I28)</f>
        <v>25.930584130611191</v>
      </c>
      <c r="J28" s="31">
        <f>AVERAGE('Lex WTPs 2007-2010'!AP21,'2011 Actual Costs'!J28)</f>
        <v>26.419424541776799</v>
      </c>
      <c r="K28" s="30">
        <f>AVERAGE('Lex WTPs 2007-2010'!AU21,'2011 Actual Costs'!K28)</f>
        <v>26.038602726998995</v>
      </c>
      <c r="L28" s="31">
        <f>AVERAGE('Lex WTPs 2007-2010'!AZ21,'2011 Actual Costs'!L28)</f>
        <v>28.185086427882101</v>
      </c>
      <c r="M28" s="30">
        <f>AVERAGE('Lex WTPs 2007-2010'!BE21,'2011 Actual Costs'!M28)</f>
        <v>26.129959356602278</v>
      </c>
      <c r="N28" s="31">
        <f>AVERAGE('Lex WTPs 2007-2010'!BJ21,'2011 Actual Costs'!N28)</f>
        <v>25.970370893931086</v>
      </c>
      <c r="O28" s="32">
        <f>O29/O$7</f>
        <v>25.609681608671426</v>
      </c>
    </row>
    <row r="29" spans="1:40">
      <c r="A29" s="34" t="s">
        <v>64</v>
      </c>
      <c r="B29" s="35" t="s">
        <v>57</v>
      </c>
      <c r="C29" s="36">
        <f t="shared" ref="C29:N29" si="16">C$7*C28</f>
        <v>9226.947748757153</v>
      </c>
      <c r="D29" s="37">
        <f t="shared" si="16"/>
        <v>8544.2726186367836</v>
      </c>
      <c r="E29" s="36">
        <f t="shared" si="16"/>
        <v>8999.4340778782971</v>
      </c>
      <c r="F29" s="37">
        <f t="shared" si="16"/>
        <v>8621.9065207324129</v>
      </c>
      <c r="G29" s="36">
        <f t="shared" si="16"/>
        <v>9215.0455231826236</v>
      </c>
      <c r="H29" s="37">
        <f t="shared" si="16"/>
        <v>9172.3167223594501</v>
      </c>
      <c r="I29" s="36">
        <f t="shared" si="16"/>
        <v>9648.0131603070095</v>
      </c>
      <c r="J29" s="37">
        <f t="shared" si="16"/>
        <v>9829.8964027538332</v>
      </c>
      <c r="K29" s="36">
        <f t="shared" si="16"/>
        <v>9375.6810249578375</v>
      </c>
      <c r="L29" s="37">
        <f t="shared" si="16"/>
        <v>10486.847631773251</v>
      </c>
      <c r="M29" s="36">
        <f t="shared" si="16"/>
        <v>9408.575670943872</v>
      </c>
      <c r="N29" s="37">
        <f t="shared" si="16"/>
        <v>9662.8166531316565</v>
      </c>
      <c r="O29" s="38">
        <f>SUM(C29:N29)</f>
        <v>112191.75375541419</v>
      </c>
    </row>
    <row r="30" spans="1:40">
      <c r="A30" s="34"/>
      <c r="B30" s="35" t="s">
        <v>58</v>
      </c>
      <c r="C30" s="43">
        <f>'Price Changes'!D7</f>
        <v>0.3528</v>
      </c>
      <c r="D30" s="44">
        <f t="shared" ref="D30:N30" si="17">C30</f>
        <v>0.3528</v>
      </c>
      <c r="E30" s="43">
        <f t="shared" si="17"/>
        <v>0.3528</v>
      </c>
      <c r="F30" s="44">
        <f t="shared" si="17"/>
        <v>0.3528</v>
      </c>
      <c r="G30" s="43">
        <f t="shared" si="17"/>
        <v>0.3528</v>
      </c>
      <c r="H30" s="44">
        <f t="shared" si="17"/>
        <v>0.3528</v>
      </c>
      <c r="I30" s="43">
        <f t="shared" si="17"/>
        <v>0.3528</v>
      </c>
      <c r="J30" s="44">
        <f t="shared" si="17"/>
        <v>0.3528</v>
      </c>
      <c r="K30" s="43">
        <f t="shared" si="17"/>
        <v>0.3528</v>
      </c>
      <c r="L30" s="44">
        <f t="shared" si="17"/>
        <v>0.3528</v>
      </c>
      <c r="M30" s="43">
        <f t="shared" si="17"/>
        <v>0.3528</v>
      </c>
      <c r="N30" s="44">
        <f t="shared" si="17"/>
        <v>0.3528</v>
      </c>
      <c r="O30" s="45">
        <f>IF(O29=0,0,+O31/O29)</f>
        <v>0.3528</v>
      </c>
    </row>
    <row r="31" spans="1:40">
      <c r="A31" s="42"/>
      <c r="B31" s="35" t="s">
        <v>15</v>
      </c>
      <c r="C31" s="48">
        <f t="shared" ref="C31:N31" si="18">C29*C30</f>
        <v>3255.2671657615238</v>
      </c>
      <c r="D31" s="49">
        <f t="shared" si="18"/>
        <v>3014.4193798550573</v>
      </c>
      <c r="E31" s="48">
        <f t="shared" si="18"/>
        <v>3175.0003426754633</v>
      </c>
      <c r="F31" s="49">
        <f t="shared" si="18"/>
        <v>3041.8086205143954</v>
      </c>
      <c r="G31" s="48">
        <f t="shared" si="18"/>
        <v>3251.0680605788298</v>
      </c>
      <c r="H31" s="49">
        <f t="shared" si="18"/>
        <v>3235.9933396484139</v>
      </c>
      <c r="I31" s="48">
        <f t="shared" si="18"/>
        <v>3403.8190429563128</v>
      </c>
      <c r="J31" s="49">
        <f t="shared" si="18"/>
        <v>3467.9874508915523</v>
      </c>
      <c r="K31" s="48">
        <f t="shared" si="18"/>
        <v>3307.7402656051249</v>
      </c>
      <c r="L31" s="49">
        <f t="shared" si="18"/>
        <v>3699.759844489603</v>
      </c>
      <c r="M31" s="48">
        <f t="shared" si="18"/>
        <v>3319.3454967089979</v>
      </c>
      <c r="N31" s="49">
        <f t="shared" si="18"/>
        <v>3409.0417152248483</v>
      </c>
      <c r="O31" s="50">
        <f>SUM(C31:N31)</f>
        <v>39581.250724910125</v>
      </c>
    </row>
    <row r="32" spans="1:40" ht="13.5" thickBot="1">
      <c r="A32" s="51"/>
      <c r="B32" s="52" t="s">
        <v>59</v>
      </c>
      <c r="C32" s="53">
        <f t="shared" ref="C32:O32" si="19">C31/C$7</f>
        <v>8.7490530647979945</v>
      </c>
      <c r="D32" s="54">
        <f t="shared" si="19"/>
        <v>8.9697791181786428</v>
      </c>
      <c r="E32" s="53">
        <f t="shared" si="19"/>
        <v>8.5333230927978594</v>
      </c>
      <c r="F32" s="54">
        <f t="shared" si="19"/>
        <v>8.4478605906381468</v>
      </c>
      <c r="G32" s="53">
        <f t="shared" si="19"/>
        <v>8.7377672955516292</v>
      </c>
      <c r="H32" s="54">
        <f t="shared" si="19"/>
        <v>8.9871599485967675</v>
      </c>
      <c r="I32" s="53">
        <f t="shared" si="19"/>
        <v>9.148310081279627</v>
      </c>
      <c r="J32" s="54">
        <f t="shared" si="19"/>
        <v>9.3207729783388551</v>
      </c>
      <c r="K32" s="53">
        <f t="shared" si="19"/>
        <v>9.1864190420852445</v>
      </c>
      <c r="L32" s="54">
        <f t="shared" si="19"/>
        <v>9.9436984917568054</v>
      </c>
      <c r="M32" s="53">
        <f t="shared" si="19"/>
        <v>9.2186496610092838</v>
      </c>
      <c r="N32" s="54">
        <f t="shared" si="19"/>
        <v>9.1623468513788886</v>
      </c>
      <c r="O32" s="55">
        <f t="shared" si="19"/>
        <v>9.0350956715392794</v>
      </c>
    </row>
    <row r="33" spans="1:40">
      <c r="A33" s="28" t="s">
        <v>65</v>
      </c>
      <c r="B33" s="29" t="s">
        <v>55</v>
      </c>
      <c r="C33" s="30">
        <f>AVERAGE('Lex WTPs 2007-2010'!G13,'2011 Actual Costs'!C33)</f>
        <v>0</v>
      </c>
      <c r="D33" s="31">
        <f>AVERAGE('Lex WTPs 2007-2010'!L13,'2011 Actual Costs'!D33)</f>
        <v>0</v>
      </c>
      <c r="E33" s="30">
        <f>AVERAGE('Lex WTPs 2007-2010'!Q13,'2011 Actual Costs'!E33)</f>
        <v>0</v>
      </c>
      <c r="F33" s="31">
        <f>AVERAGE('Lex WTPs 2007-2010'!V13,'2011 Actual Costs'!F33)</f>
        <v>0</v>
      </c>
      <c r="G33" s="30">
        <f>AVERAGE('Lex WTPs 2007-2010'!AA13,'2011 Actual Costs'!G33)</f>
        <v>9.6372271713940787</v>
      </c>
      <c r="H33" s="31">
        <f>AVERAGE('Lex WTPs 2007-2010'!AF13,'2011 Actual Costs'!H33)</f>
        <v>0</v>
      </c>
      <c r="I33" s="30">
        <f>AVERAGE('Lex WTPs 2007-2010'!AK13,'2011 Actual Costs'!I33)</f>
        <v>5.3057424086953215</v>
      </c>
      <c r="J33" s="31">
        <f>AVERAGE('Lex WTPs 2007-2010'!AP13,'2011 Actual Costs'!J33)</f>
        <v>0</v>
      </c>
      <c r="K33" s="30">
        <f>AVERAGE('Lex WTPs 2007-2010'!AU13,'2011 Actual Costs'!K33)</f>
        <v>21.315769021527942</v>
      </c>
      <c r="L33" s="31">
        <f>AVERAGE('Lex WTPs 2007-2010'!AZ13,'2011 Actual Costs'!L33)</f>
        <v>0</v>
      </c>
      <c r="M33" s="30">
        <f>AVERAGE('Lex WTPs 2007-2010'!BE13,'2011 Actual Costs'!M33)</f>
        <v>11.426609086718036</v>
      </c>
      <c r="N33" s="31">
        <f>AVERAGE('Lex WTPs 2007-2010'!BJ13,'2011 Actual Costs'!N33)</f>
        <v>2.6833887657058391</v>
      </c>
      <c r="O33" s="32">
        <f>O34/O$7</f>
        <v>4.1881875396357042</v>
      </c>
      <c r="V33" s="8"/>
      <c r="W33" s="9"/>
      <c r="X33" s="9"/>
      <c r="Y33" s="9"/>
      <c r="Z33" s="9"/>
      <c r="AA33" s="9"/>
      <c r="AB33" s="9"/>
      <c r="AC33" s="9"/>
      <c r="AD33" s="9"/>
      <c r="AE33" s="9"/>
      <c r="AF33" s="9"/>
      <c r="AG33" s="9"/>
      <c r="AH33" s="9"/>
      <c r="AI33" s="9"/>
      <c r="AJ33" s="9"/>
      <c r="AK33" s="9"/>
      <c r="AL33" s="9"/>
      <c r="AM33" s="9"/>
      <c r="AN33" s="8"/>
    </row>
    <row r="34" spans="1:40">
      <c r="A34" s="34" t="s">
        <v>64</v>
      </c>
      <c r="B34" s="35" t="s">
        <v>57</v>
      </c>
      <c r="C34" s="65">
        <f t="shared" ref="C34:N34" si="20">C$7*C33</f>
        <v>0</v>
      </c>
      <c r="D34" s="66">
        <f t="shared" si="20"/>
        <v>0</v>
      </c>
      <c r="E34" s="65">
        <f t="shared" si="20"/>
        <v>0</v>
      </c>
      <c r="F34" s="66">
        <f t="shared" si="20"/>
        <v>0</v>
      </c>
      <c r="G34" s="65">
        <f t="shared" si="20"/>
        <v>3585.7308154009106</v>
      </c>
      <c r="H34" s="66">
        <f t="shared" si="20"/>
        <v>0</v>
      </c>
      <c r="I34" s="65">
        <f t="shared" si="20"/>
        <v>1974.1118181700181</v>
      </c>
      <c r="J34" s="66">
        <f t="shared" si="20"/>
        <v>0</v>
      </c>
      <c r="K34" s="65">
        <f t="shared" si="20"/>
        <v>7675.1373045183655</v>
      </c>
      <c r="L34" s="66">
        <f t="shared" si="20"/>
        <v>0</v>
      </c>
      <c r="M34" s="65">
        <f t="shared" si="20"/>
        <v>4114.3621690141408</v>
      </c>
      <c r="N34" s="66">
        <f t="shared" si="20"/>
        <v>998.41060252813134</v>
      </c>
      <c r="O34" s="67">
        <f>SUM(C34:N34)</f>
        <v>18347.752709631568</v>
      </c>
      <c r="P34" s="57"/>
      <c r="Q34" s="57"/>
      <c r="R34" s="57"/>
      <c r="S34" s="41"/>
      <c r="T34" s="8"/>
    </row>
    <row r="35" spans="1:40" ht="15.75">
      <c r="A35" s="42"/>
      <c r="B35" s="35" t="s">
        <v>58</v>
      </c>
      <c r="C35" s="43">
        <f>'Price Changes'!D8</f>
        <v>0</v>
      </c>
      <c r="D35" s="44">
        <f t="shared" ref="D35:N35" si="21">C35</f>
        <v>0</v>
      </c>
      <c r="E35" s="43">
        <f t="shared" si="21"/>
        <v>0</v>
      </c>
      <c r="F35" s="44">
        <f t="shared" si="21"/>
        <v>0</v>
      </c>
      <c r="G35" s="43">
        <f t="shared" si="21"/>
        <v>0</v>
      </c>
      <c r="H35" s="44">
        <f t="shared" si="21"/>
        <v>0</v>
      </c>
      <c r="I35" s="43">
        <f t="shared" si="21"/>
        <v>0</v>
      </c>
      <c r="J35" s="44">
        <f t="shared" si="21"/>
        <v>0</v>
      </c>
      <c r="K35" s="43">
        <f t="shared" si="21"/>
        <v>0</v>
      </c>
      <c r="L35" s="44">
        <f t="shared" si="21"/>
        <v>0</v>
      </c>
      <c r="M35" s="43">
        <f t="shared" si="21"/>
        <v>0</v>
      </c>
      <c r="N35" s="44">
        <f t="shared" si="21"/>
        <v>0</v>
      </c>
      <c r="O35" s="45">
        <f>IF(O34=0,0,+O36/O34)</f>
        <v>0</v>
      </c>
      <c r="P35" s="46"/>
      <c r="Q35" s="68"/>
      <c r="R35" s="47"/>
      <c r="S35" s="41"/>
      <c r="T35" s="8"/>
    </row>
    <row r="36" spans="1:40">
      <c r="A36" s="42"/>
      <c r="B36" s="35" t="s">
        <v>15</v>
      </c>
      <c r="C36" s="48">
        <f t="shared" ref="C36:N36" si="22">C34*C35</f>
        <v>0</v>
      </c>
      <c r="D36" s="49">
        <f t="shared" si="22"/>
        <v>0</v>
      </c>
      <c r="E36" s="48">
        <f t="shared" si="22"/>
        <v>0</v>
      </c>
      <c r="F36" s="49">
        <f t="shared" si="22"/>
        <v>0</v>
      </c>
      <c r="G36" s="48">
        <f t="shared" si="22"/>
        <v>0</v>
      </c>
      <c r="H36" s="49">
        <f t="shared" si="22"/>
        <v>0</v>
      </c>
      <c r="I36" s="48">
        <f t="shared" si="22"/>
        <v>0</v>
      </c>
      <c r="J36" s="49">
        <f t="shared" si="22"/>
        <v>0</v>
      </c>
      <c r="K36" s="48">
        <f t="shared" si="22"/>
        <v>0</v>
      </c>
      <c r="L36" s="49">
        <f t="shared" si="22"/>
        <v>0</v>
      </c>
      <c r="M36" s="48">
        <f t="shared" si="22"/>
        <v>0</v>
      </c>
      <c r="N36" s="49">
        <f t="shared" si="22"/>
        <v>0</v>
      </c>
      <c r="O36" s="50">
        <f>SUM(C36:N36)</f>
        <v>0</v>
      </c>
      <c r="P36" s="40"/>
      <c r="Q36" s="40"/>
      <c r="R36" s="40"/>
      <c r="S36" s="41"/>
    </row>
    <row r="37" spans="1:40" ht="16.5" thickBot="1">
      <c r="A37" s="51"/>
      <c r="B37" s="52" t="s">
        <v>59</v>
      </c>
      <c r="C37" s="53">
        <f t="shared" ref="C37:O37" si="23">C36/C$7</f>
        <v>0</v>
      </c>
      <c r="D37" s="54">
        <f t="shared" si="23"/>
        <v>0</v>
      </c>
      <c r="E37" s="53">
        <f t="shared" si="23"/>
        <v>0</v>
      </c>
      <c r="F37" s="54">
        <f t="shared" si="23"/>
        <v>0</v>
      </c>
      <c r="G37" s="53">
        <f t="shared" si="23"/>
        <v>0</v>
      </c>
      <c r="H37" s="54">
        <f t="shared" si="23"/>
        <v>0</v>
      </c>
      <c r="I37" s="53">
        <f t="shared" si="23"/>
        <v>0</v>
      </c>
      <c r="J37" s="54">
        <f t="shared" si="23"/>
        <v>0</v>
      </c>
      <c r="K37" s="53">
        <f t="shared" si="23"/>
        <v>0</v>
      </c>
      <c r="L37" s="54">
        <f t="shared" si="23"/>
        <v>0</v>
      </c>
      <c r="M37" s="53">
        <f t="shared" si="23"/>
        <v>0</v>
      </c>
      <c r="N37" s="54">
        <f t="shared" si="23"/>
        <v>0</v>
      </c>
      <c r="O37" s="55">
        <f t="shared" si="23"/>
        <v>0</v>
      </c>
      <c r="P37" s="56"/>
      <c r="Q37" s="57"/>
      <c r="R37" s="57"/>
      <c r="S37" s="41"/>
    </row>
    <row r="38" spans="1:40">
      <c r="A38" s="34" t="s">
        <v>66</v>
      </c>
      <c r="B38" s="35" t="s">
        <v>55</v>
      </c>
      <c r="C38" s="30">
        <f>AVERAGE('Lex WTPs 2007-2010'!G17,'2011 Actual Costs'!C38)</f>
        <v>38.633870327695895</v>
      </c>
      <c r="D38" s="31">
        <f>AVERAGE('Lex WTPs 2007-2010'!L17,'2011 Actual Costs'!D38)</f>
        <v>38.366796628274841</v>
      </c>
      <c r="E38" s="30">
        <f>AVERAGE('Lex WTPs 2007-2010'!Q17,'2011 Actual Costs'!E38)</f>
        <v>38.482903498656768</v>
      </c>
      <c r="F38" s="31">
        <f>AVERAGE('Lex WTPs 2007-2010'!V17,'2011 Actual Costs'!F38)</f>
        <v>37.688704940013153</v>
      </c>
      <c r="G38" s="30">
        <f>AVERAGE('Lex WTPs 2007-2010'!AA17,'2011 Actual Costs'!G38)</f>
        <v>41.940974310239056</v>
      </c>
      <c r="H38" s="31">
        <f>AVERAGE('Lex WTPs 2007-2010'!AF17,'2011 Actual Costs'!H38)</f>
        <v>41.399478389001885</v>
      </c>
      <c r="I38" s="30">
        <f>AVERAGE('Lex WTPs 2007-2010'!AK17,'2011 Actual Costs'!I38)</f>
        <v>38.862020340102973</v>
      </c>
      <c r="J38" s="31">
        <f>AVERAGE('Lex WTPs 2007-2010'!AP17,'2011 Actual Costs'!J38)</f>
        <v>38.572780408699188</v>
      </c>
      <c r="K38" s="30">
        <f>AVERAGE('Lex WTPs 2007-2010'!AU17,'2011 Actual Costs'!K38)</f>
        <v>37.326004517295488</v>
      </c>
      <c r="L38" s="31">
        <f>AVERAGE('Lex WTPs 2007-2010'!AZ17,'2011 Actual Costs'!L38)</f>
        <v>41.882668630780991</v>
      </c>
      <c r="M38" s="30">
        <f>AVERAGE('Lex WTPs 2007-2010'!BE17,'2011 Actual Costs'!M38)</f>
        <v>39.739526153606739</v>
      </c>
      <c r="N38" s="31">
        <f>AVERAGE('Lex WTPs 2007-2010'!BJ17,'2011 Actual Costs'!N38)</f>
        <v>36.097171570812108</v>
      </c>
      <c r="O38" s="32">
        <f>O39/O$7</f>
        <v>39.089111745988511</v>
      </c>
    </row>
    <row r="39" spans="1:40">
      <c r="A39" s="34" t="s">
        <v>64</v>
      </c>
      <c r="B39" s="35" t="s">
        <v>57</v>
      </c>
      <c r="C39" s="36">
        <f t="shared" ref="C39:N39" si="24">C$7*C38</f>
        <v>14374.535007685494</v>
      </c>
      <c r="D39" s="37">
        <f t="shared" si="24"/>
        <v>12893.697132947169</v>
      </c>
      <c r="E39" s="36">
        <f t="shared" si="24"/>
        <v>14318.364658957411</v>
      </c>
      <c r="F39" s="37">
        <f t="shared" si="24"/>
        <v>13570.516032141992</v>
      </c>
      <c r="G39" s="36">
        <f t="shared" si="24"/>
        <v>15605.011829394027</v>
      </c>
      <c r="H39" s="37">
        <f t="shared" si="24"/>
        <v>14906.648718613942</v>
      </c>
      <c r="I39" s="36">
        <f t="shared" si="24"/>
        <v>14459.422965131434</v>
      </c>
      <c r="J39" s="37">
        <f t="shared" si="24"/>
        <v>14351.805232703429</v>
      </c>
      <c r="K39" s="36">
        <f t="shared" si="24"/>
        <v>13439.919029427549</v>
      </c>
      <c r="L39" s="37">
        <f t="shared" si="24"/>
        <v>15583.317988642171</v>
      </c>
      <c r="M39" s="36">
        <f t="shared" si="24"/>
        <v>14308.952181710547</v>
      </c>
      <c r="N39" s="37">
        <f t="shared" si="24"/>
        <v>13430.703473969392</v>
      </c>
      <c r="O39" s="38">
        <f>SUM(C39:N39)</f>
        <v>171242.89425132453</v>
      </c>
      <c r="P39" s="57"/>
      <c r="Q39" s="57"/>
      <c r="R39" s="57"/>
      <c r="S39" s="41"/>
      <c r="T39" s="8"/>
    </row>
    <row r="40" spans="1:40" ht="15.75">
      <c r="A40" s="42"/>
      <c r="B40" s="35" t="s">
        <v>58</v>
      </c>
      <c r="C40" s="43">
        <f>'Price Changes'!D9</f>
        <v>0.2185</v>
      </c>
      <c r="D40" s="44">
        <f t="shared" ref="D40:N40" si="25">C40</f>
        <v>0.2185</v>
      </c>
      <c r="E40" s="43">
        <f t="shared" si="25"/>
        <v>0.2185</v>
      </c>
      <c r="F40" s="44">
        <f t="shared" si="25"/>
        <v>0.2185</v>
      </c>
      <c r="G40" s="43">
        <f t="shared" si="25"/>
        <v>0.2185</v>
      </c>
      <c r="H40" s="44">
        <f t="shared" si="25"/>
        <v>0.2185</v>
      </c>
      <c r="I40" s="43">
        <f t="shared" si="25"/>
        <v>0.2185</v>
      </c>
      <c r="J40" s="44">
        <f t="shared" si="25"/>
        <v>0.2185</v>
      </c>
      <c r="K40" s="43">
        <f t="shared" si="25"/>
        <v>0.2185</v>
      </c>
      <c r="L40" s="44">
        <f t="shared" si="25"/>
        <v>0.2185</v>
      </c>
      <c r="M40" s="43">
        <f t="shared" si="25"/>
        <v>0.2185</v>
      </c>
      <c r="N40" s="44">
        <f t="shared" si="25"/>
        <v>0.2185</v>
      </c>
      <c r="O40" s="45">
        <f>IF(O39=0,0,+O41/O39)</f>
        <v>0.21850000000000003</v>
      </c>
      <c r="P40" s="46"/>
      <c r="Q40" s="47"/>
      <c r="R40" s="47"/>
      <c r="S40" s="41"/>
      <c r="T40" s="8"/>
    </row>
    <row r="41" spans="1:40">
      <c r="A41" s="42"/>
      <c r="B41" s="35" t="s">
        <v>15</v>
      </c>
      <c r="C41" s="48">
        <f t="shared" ref="C41:N41" si="26">C39*C40</f>
        <v>3140.8358991792802</v>
      </c>
      <c r="D41" s="49">
        <f t="shared" si="26"/>
        <v>2817.2728235489562</v>
      </c>
      <c r="E41" s="48">
        <f t="shared" si="26"/>
        <v>3128.5626779821941</v>
      </c>
      <c r="F41" s="49">
        <f t="shared" si="26"/>
        <v>2965.1577530230252</v>
      </c>
      <c r="G41" s="48">
        <f t="shared" si="26"/>
        <v>3409.6950847225949</v>
      </c>
      <c r="H41" s="49">
        <f t="shared" si="26"/>
        <v>3257.1027450171464</v>
      </c>
      <c r="I41" s="48">
        <f t="shared" si="26"/>
        <v>3159.3839178812186</v>
      </c>
      <c r="J41" s="49">
        <f t="shared" si="26"/>
        <v>3135.8694433456994</v>
      </c>
      <c r="K41" s="48">
        <f t="shared" si="26"/>
        <v>2936.6223079299193</v>
      </c>
      <c r="L41" s="49">
        <f t="shared" si="26"/>
        <v>3404.9549805183146</v>
      </c>
      <c r="M41" s="48">
        <f t="shared" si="26"/>
        <v>3126.5060517037546</v>
      </c>
      <c r="N41" s="49">
        <f t="shared" si="26"/>
        <v>2934.6087090623123</v>
      </c>
      <c r="O41" s="50">
        <f>SUM(C41:N41)</f>
        <v>37416.572393914415</v>
      </c>
      <c r="P41" s="40"/>
      <c r="Q41" s="40"/>
      <c r="R41" s="40"/>
      <c r="S41" s="41"/>
    </row>
    <row r="42" spans="1:40" ht="16.5" thickBot="1">
      <c r="A42" s="51"/>
      <c r="B42" s="52" t="s">
        <v>59</v>
      </c>
      <c r="C42" s="53">
        <f t="shared" ref="C42:O42" si="27">C41/C$7</f>
        <v>8.4415006666015522</v>
      </c>
      <c r="D42" s="54">
        <f t="shared" si="27"/>
        <v>8.383145063278052</v>
      </c>
      <c r="E42" s="53">
        <f t="shared" si="27"/>
        <v>8.4085144144565032</v>
      </c>
      <c r="F42" s="54">
        <f t="shared" si="27"/>
        <v>8.2349820293928744</v>
      </c>
      <c r="G42" s="53">
        <f t="shared" si="27"/>
        <v>9.1641028867872336</v>
      </c>
      <c r="H42" s="54">
        <f t="shared" si="27"/>
        <v>9.0457860279969129</v>
      </c>
      <c r="I42" s="53">
        <f t="shared" si="27"/>
        <v>8.4913514443124996</v>
      </c>
      <c r="J42" s="54">
        <f t="shared" si="27"/>
        <v>8.4281525193007738</v>
      </c>
      <c r="K42" s="53">
        <f t="shared" si="27"/>
        <v>8.1557319870290641</v>
      </c>
      <c r="L42" s="54">
        <f t="shared" si="27"/>
        <v>9.1513630958256478</v>
      </c>
      <c r="M42" s="53">
        <f t="shared" si="27"/>
        <v>8.6830864645630736</v>
      </c>
      <c r="N42" s="54">
        <f t="shared" si="27"/>
        <v>7.8872319882224469</v>
      </c>
      <c r="O42" s="55">
        <f t="shared" si="27"/>
        <v>8.5409709164984911</v>
      </c>
      <c r="P42" s="56"/>
      <c r="Q42" s="57"/>
      <c r="R42" s="57"/>
      <c r="S42" s="41"/>
    </row>
    <row r="43" spans="1:40">
      <c r="A43" s="69" t="s">
        <v>67</v>
      </c>
      <c r="B43" s="29" t="s">
        <v>55</v>
      </c>
      <c r="C43" s="30">
        <f>AVERAGE('Lex WTPs 2007-2010'!G14,'2011 Actual Costs'!C43)</f>
        <v>554.82783604593442</v>
      </c>
      <c r="D43" s="31">
        <f>AVERAGE('Lex WTPs 2007-2010'!L14,'2011 Actual Costs'!D43)</f>
        <v>492.42343786594813</v>
      </c>
      <c r="E43" s="30">
        <f>AVERAGE('Lex WTPs 2007-2010'!Q14,'2011 Actual Costs'!E43)</f>
        <v>457.91468586879989</v>
      </c>
      <c r="F43" s="31">
        <f>AVERAGE('Lex WTPs 2007-2010'!V14,'2011 Actual Costs'!F43)</f>
        <v>474.4316687811056</v>
      </c>
      <c r="G43" s="30">
        <f>AVERAGE('Lex WTPs 2007-2010'!AA14,'2011 Actual Costs'!G43)</f>
        <v>480.29308566845947</v>
      </c>
      <c r="H43" s="31">
        <f>AVERAGE('Lex WTPs 2007-2010'!AF14,'2011 Actual Costs'!H43)</f>
        <v>442.85801877576966</v>
      </c>
      <c r="I43" s="30">
        <f>AVERAGE('Lex WTPs 2007-2010'!AK14,'2011 Actual Costs'!I43)</f>
        <v>445.25231240605365</v>
      </c>
      <c r="J43" s="31">
        <f>AVERAGE('Lex WTPs 2007-2010'!AP14,'2011 Actual Costs'!J43)</f>
        <v>451.09770529521842</v>
      </c>
      <c r="K43" s="30">
        <f>AVERAGE('Lex WTPs 2007-2010'!AU14,'2011 Actual Costs'!K43)</f>
        <v>397.34769652243489</v>
      </c>
      <c r="L43" s="31">
        <f>AVERAGE('Lex WTPs 2007-2010'!AZ14,'2011 Actual Costs'!L43)</f>
        <v>439.84307774962099</v>
      </c>
      <c r="M43" s="30">
        <f>AVERAGE('Lex WTPs 2007-2010'!BE14,'2011 Actual Costs'!M43)</f>
        <v>428.60495708900157</v>
      </c>
      <c r="N43" s="31">
        <f>AVERAGE('Lex WTPs 2007-2010'!BJ14,'2011 Actual Costs'!N43)</f>
        <v>532.34705491660065</v>
      </c>
      <c r="O43" s="32">
        <f>O44/O$7</f>
        <v>466.55883559388286</v>
      </c>
    </row>
    <row r="44" spans="1:40">
      <c r="A44" s="34" t="s">
        <v>64</v>
      </c>
      <c r="B44" s="35" t="s">
        <v>57</v>
      </c>
      <c r="C44" s="36">
        <f t="shared" ref="C44:N44" si="28">C$7*C43</f>
        <v>206435.23635692443</v>
      </c>
      <c r="D44" s="37">
        <f t="shared" si="28"/>
        <v>165485.76443645754</v>
      </c>
      <c r="E44" s="36">
        <f t="shared" si="28"/>
        <v>170376.6831208634</v>
      </c>
      <c r="F44" s="37">
        <f t="shared" si="28"/>
        <v>170827.90659953162</v>
      </c>
      <c r="G44" s="36">
        <f t="shared" si="28"/>
        <v>178703.03221836977</v>
      </c>
      <c r="H44" s="37">
        <f t="shared" si="28"/>
        <v>159459.2293188285</v>
      </c>
      <c r="I44" s="36">
        <f t="shared" si="28"/>
        <v>165665.38370724628</v>
      </c>
      <c r="J44" s="37">
        <f t="shared" si="28"/>
        <v>167840.28371095465</v>
      </c>
      <c r="K44" s="36">
        <f t="shared" si="28"/>
        <v>143072.39515326556</v>
      </c>
      <c r="L44" s="37">
        <f t="shared" si="28"/>
        <v>163652.76544575318</v>
      </c>
      <c r="M44" s="36">
        <f t="shared" si="28"/>
        <v>154327.15055848763</v>
      </c>
      <c r="N44" s="37">
        <f t="shared" si="28"/>
        <v>198070.79415626658</v>
      </c>
      <c r="O44" s="38">
        <f>SUM(C44:N44)</f>
        <v>2043916.6247829495</v>
      </c>
    </row>
    <row r="45" spans="1:40">
      <c r="A45" s="42"/>
      <c r="B45" s="35" t="s">
        <v>58</v>
      </c>
      <c r="C45" s="43">
        <f>'Price Changes'!D10</f>
        <v>0.15654999999999999</v>
      </c>
      <c r="D45" s="44">
        <f t="shared" ref="D45:N45" si="29">C45</f>
        <v>0.15654999999999999</v>
      </c>
      <c r="E45" s="43">
        <f t="shared" si="29"/>
        <v>0.15654999999999999</v>
      </c>
      <c r="F45" s="44">
        <f t="shared" si="29"/>
        <v>0.15654999999999999</v>
      </c>
      <c r="G45" s="43">
        <f t="shared" si="29"/>
        <v>0.15654999999999999</v>
      </c>
      <c r="H45" s="44">
        <f t="shared" si="29"/>
        <v>0.15654999999999999</v>
      </c>
      <c r="I45" s="43">
        <f t="shared" si="29"/>
        <v>0.15654999999999999</v>
      </c>
      <c r="J45" s="44">
        <f t="shared" si="29"/>
        <v>0.15654999999999999</v>
      </c>
      <c r="K45" s="43">
        <f t="shared" si="29"/>
        <v>0.15654999999999999</v>
      </c>
      <c r="L45" s="44">
        <f t="shared" si="29"/>
        <v>0.15654999999999999</v>
      </c>
      <c r="M45" s="43">
        <f t="shared" si="29"/>
        <v>0.15654999999999999</v>
      </c>
      <c r="N45" s="44">
        <f t="shared" si="29"/>
        <v>0.15654999999999999</v>
      </c>
      <c r="O45" s="45">
        <f>IF(O44=0,0,+O46/O44)</f>
        <v>0.15654999999999997</v>
      </c>
    </row>
    <row r="46" spans="1:40">
      <c r="A46" s="42"/>
      <c r="B46" s="35" t="s">
        <v>15</v>
      </c>
      <c r="C46" s="48">
        <f t="shared" ref="C46:N46" si="30">C44*C45</f>
        <v>32317.436251676518</v>
      </c>
      <c r="D46" s="49">
        <f t="shared" si="30"/>
        <v>25906.796422527426</v>
      </c>
      <c r="E46" s="48">
        <f t="shared" si="30"/>
        <v>26672.469742571164</v>
      </c>
      <c r="F46" s="49">
        <f t="shared" si="30"/>
        <v>26743.108778156675</v>
      </c>
      <c r="G46" s="48">
        <f t="shared" si="30"/>
        <v>27975.959693785786</v>
      </c>
      <c r="H46" s="49">
        <f t="shared" si="30"/>
        <v>24963.3423498626</v>
      </c>
      <c r="I46" s="48">
        <f t="shared" si="30"/>
        <v>25934.915819369406</v>
      </c>
      <c r="J46" s="49">
        <f t="shared" si="30"/>
        <v>26275.396414949952</v>
      </c>
      <c r="K46" s="48">
        <f t="shared" si="30"/>
        <v>22397.983461243723</v>
      </c>
      <c r="L46" s="49">
        <f t="shared" si="30"/>
        <v>25619.840430532659</v>
      </c>
      <c r="M46" s="48">
        <f t="shared" si="30"/>
        <v>24159.915419931236</v>
      </c>
      <c r="N46" s="49">
        <f t="shared" si="30"/>
        <v>31007.982825163534</v>
      </c>
      <c r="O46" s="50">
        <f>SUM(C46:N46)</f>
        <v>319975.14760977065</v>
      </c>
    </row>
    <row r="47" spans="1:40" ht="13.5" thickBot="1">
      <c r="A47" s="51"/>
      <c r="B47" s="52" t="s">
        <v>59</v>
      </c>
      <c r="C47" s="53">
        <f t="shared" ref="C47:O47" si="31">C46/C$7</f>
        <v>86.858297732991019</v>
      </c>
      <c r="D47" s="54">
        <f t="shared" si="31"/>
        <v>77.088889197914185</v>
      </c>
      <c r="E47" s="53">
        <f t="shared" si="31"/>
        <v>71.686544072760626</v>
      </c>
      <c r="F47" s="54">
        <f t="shared" si="31"/>
        <v>74.272277747682082</v>
      </c>
      <c r="G47" s="53">
        <f t="shared" si="31"/>
        <v>75.189882561397326</v>
      </c>
      <c r="H47" s="54">
        <f t="shared" si="31"/>
        <v>69.329422839346734</v>
      </c>
      <c r="I47" s="53">
        <f t="shared" si="31"/>
        <v>69.704249507167702</v>
      </c>
      <c r="J47" s="54">
        <f t="shared" si="31"/>
        <v>70.61934576396645</v>
      </c>
      <c r="K47" s="53">
        <f t="shared" si="31"/>
        <v>62.204781890587178</v>
      </c>
      <c r="L47" s="54">
        <f t="shared" si="31"/>
        <v>68.857433821703168</v>
      </c>
      <c r="M47" s="53">
        <f t="shared" si="31"/>
        <v>67.098106032283184</v>
      </c>
      <c r="N47" s="54">
        <f t="shared" si="31"/>
        <v>83.338931447193843</v>
      </c>
      <c r="O47" s="55">
        <f t="shared" si="31"/>
        <v>73.03978571222234</v>
      </c>
    </row>
    <row r="48" spans="1:40">
      <c r="A48" s="28" t="s">
        <v>68</v>
      </c>
      <c r="B48" s="29" t="s">
        <v>55</v>
      </c>
      <c r="C48" s="30">
        <f>AVERAGE('Lex WTPs 2007-2010'!G20,'2011 Actual Costs'!C48)</f>
        <v>20.856480289569781</v>
      </c>
      <c r="D48" s="31">
        <f>AVERAGE('Lex WTPs 2007-2010'!L20,'2011 Actual Costs'!D48)</f>
        <v>23.061484794549557</v>
      </c>
      <c r="E48" s="30">
        <f>AVERAGE('Lex WTPs 2007-2010'!Q20,'2011 Actual Costs'!E48)</f>
        <v>24.197768636830538</v>
      </c>
      <c r="F48" s="31">
        <f>AVERAGE('Lex WTPs 2007-2010'!V20,'2011 Actual Costs'!F48)</f>
        <v>23.030519738357246</v>
      </c>
      <c r="G48" s="30">
        <f>AVERAGE('Lex WTPs 2007-2010'!AA20,'2011 Actual Costs'!G48)</f>
        <v>23.163916564840441</v>
      </c>
      <c r="H48" s="31">
        <f>AVERAGE('Lex WTPs 2007-2010'!AF20,'2011 Actual Costs'!H48)</f>
        <v>21.170401903241007</v>
      </c>
      <c r="I48" s="30">
        <f>AVERAGE('Lex WTPs 2007-2010'!AK20,'2011 Actual Costs'!I48)</f>
        <v>21.443715806454808</v>
      </c>
      <c r="J48" s="31">
        <f>AVERAGE('Lex WTPs 2007-2010'!AP20,'2011 Actual Costs'!J48)</f>
        <v>19.06396662990376</v>
      </c>
      <c r="K48" s="30">
        <f>AVERAGE('Lex WTPs 2007-2010'!AU20,'2011 Actual Costs'!K48)</f>
        <v>21.918264370012054</v>
      </c>
      <c r="L48" s="31">
        <f>AVERAGE('Lex WTPs 2007-2010'!AZ20,'2011 Actual Costs'!L48)</f>
        <v>22.759165083914528</v>
      </c>
      <c r="M48" s="30">
        <f>AVERAGE('Lex WTPs 2007-2010'!BE20,'2011 Actual Costs'!M48)</f>
        <v>27.867402705304094</v>
      </c>
      <c r="N48" s="31">
        <f>AVERAGE('Lex WTPs 2007-2010'!BJ20,'2011 Actual Costs'!N48)</f>
        <v>25.631215004847068</v>
      </c>
      <c r="O48" s="32">
        <f>O49/O$7</f>
        <v>22.838143299347969</v>
      </c>
      <c r="V48" s="15"/>
      <c r="Y48" s="8"/>
      <c r="AN48" s="15"/>
    </row>
    <row r="49" spans="1:40">
      <c r="A49" s="34" t="s">
        <v>64</v>
      </c>
      <c r="B49" s="35" t="s">
        <v>57</v>
      </c>
      <c r="C49" s="36">
        <f t="shared" ref="C49:N49" si="32">C$7*C48</f>
        <v>7760.0872891215549</v>
      </c>
      <c r="D49" s="37">
        <f t="shared" si="32"/>
        <v>7750.1336183447365</v>
      </c>
      <c r="E49" s="36">
        <f t="shared" si="32"/>
        <v>9003.283114729531</v>
      </c>
      <c r="F49" s="37">
        <f t="shared" si="32"/>
        <v>8292.5650492736331</v>
      </c>
      <c r="G49" s="36">
        <f t="shared" si="32"/>
        <v>8618.6169480851768</v>
      </c>
      <c r="H49" s="37">
        <f t="shared" si="32"/>
        <v>7622.7951820602184</v>
      </c>
      <c r="I49" s="36">
        <f t="shared" si="32"/>
        <v>7978.5804771873836</v>
      </c>
      <c r="J49" s="37">
        <f t="shared" si="32"/>
        <v>7093.1452992543864</v>
      </c>
      <c r="K49" s="36">
        <f t="shared" si="32"/>
        <v>7892.0769101351716</v>
      </c>
      <c r="L49" s="37">
        <f t="shared" si="32"/>
        <v>8468.0207411136162</v>
      </c>
      <c r="M49" s="36">
        <f t="shared" si="32"/>
        <v>10034.174317966213</v>
      </c>
      <c r="N49" s="37">
        <f t="shared" si="32"/>
        <v>9536.6266504384494</v>
      </c>
      <c r="O49" s="38">
        <f>SUM(C49:N49)</f>
        <v>100050.10559771008</v>
      </c>
      <c r="P49" s="57"/>
      <c r="Q49" s="57"/>
      <c r="R49" s="57"/>
      <c r="S49" s="41"/>
      <c r="V49" s="15"/>
      <c r="Y49" s="8"/>
      <c r="AN49" s="15"/>
    </row>
    <row r="50" spans="1:40" ht="15.75">
      <c r="A50" s="42"/>
      <c r="B50" s="35" t="s">
        <v>58</v>
      </c>
      <c r="C50" s="43">
        <f>'Price Changes'!D11</f>
        <v>0.35090000000000005</v>
      </c>
      <c r="D50" s="44">
        <f t="shared" ref="D50:N50" si="33">C50</f>
        <v>0.35090000000000005</v>
      </c>
      <c r="E50" s="43">
        <f t="shared" si="33"/>
        <v>0.35090000000000005</v>
      </c>
      <c r="F50" s="44">
        <f t="shared" si="33"/>
        <v>0.35090000000000005</v>
      </c>
      <c r="G50" s="43">
        <f t="shared" si="33"/>
        <v>0.35090000000000005</v>
      </c>
      <c r="H50" s="44">
        <f t="shared" si="33"/>
        <v>0.35090000000000005</v>
      </c>
      <c r="I50" s="43">
        <f t="shared" si="33"/>
        <v>0.35090000000000005</v>
      </c>
      <c r="J50" s="44">
        <f t="shared" si="33"/>
        <v>0.35090000000000005</v>
      </c>
      <c r="K50" s="43">
        <f t="shared" si="33"/>
        <v>0.35090000000000005</v>
      </c>
      <c r="L50" s="44">
        <f t="shared" si="33"/>
        <v>0.35090000000000005</v>
      </c>
      <c r="M50" s="43">
        <f t="shared" si="33"/>
        <v>0.35090000000000005</v>
      </c>
      <c r="N50" s="44">
        <f t="shared" si="33"/>
        <v>0.35090000000000005</v>
      </c>
      <c r="O50" s="45">
        <f>IF(O49=0,0,+O51/O49)</f>
        <v>0.35089999999999999</v>
      </c>
      <c r="P50" s="46"/>
      <c r="Q50" s="46"/>
      <c r="R50" s="47"/>
      <c r="S50" s="41"/>
      <c r="V50" s="15"/>
      <c r="Y50" s="8"/>
      <c r="AN50" s="15"/>
    </row>
    <row r="51" spans="1:40">
      <c r="A51" s="42"/>
      <c r="B51" s="35" t="s">
        <v>15</v>
      </c>
      <c r="C51" s="48">
        <f t="shared" ref="C51:N51" si="34">C49*C50</f>
        <v>2723.014629752754</v>
      </c>
      <c r="D51" s="49">
        <f t="shared" si="34"/>
        <v>2719.5218866771684</v>
      </c>
      <c r="E51" s="48">
        <f t="shared" si="34"/>
        <v>3159.2520449585927</v>
      </c>
      <c r="F51" s="49">
        <f t="shared" si="34"/>
        <v>2909.8610757901183</v>
      </c>
      <c r="G51" s="48">
        <f t="shared" si="34"/>
        <v>3024.2726870830888</v>
      </c>
      <c r="H51" s="49">
        <f t="shared" si="34"/>
        <v>2674.8388293849312</v>
      </c>
      <c r="I51" s="48">
        <f t="shared" si="34"/>
        <v>2799.6838894450534</v>
      </c>
      <c r="J51" s="49">
        <f t="shared" si="34"/>
        <v>2488.9846855083647</v>
      </c>
      <c r="K51" s="48">
        <f t="shared" si="34"/>
        <v>2769.3297877664322</v>
      </c>
      <c r="L51" s="49">
        <f t="shared" si="34"/>
        <v>2971.4284780567682</v>
      </c>
      <c r="M51" s="48">
        <f t="shared" si="34"/>
        <v>3520.9917681743445</v>
      </c>
      <c r="N51" s="49">
        <f t="shared" si="34"/>
        <v>3346.4022916388521</v>
      </c>
      <c r="O51" s="50">
        <f>SUM(C51:N51)</f>
        <v>35107.582054236467</v>
      </c>
      <c r="P51" s="40"/>
      <c r="Q51" s="40"/>
      <c r="R51" s="40"/>
      <c r="S51" s="41"/>
      <c r="V51" s="15"/>
      <c r="AN51" s="15"/>
    </row>
    <row r="52" spans="1:40" ht="16.5" thickBot="1">
      <c r="A52" s="51"/>
      <c r="B52" s="52" t="s">
        <v>59</v>
      </c>
      <c r="C52" s="53">
        <f t="shared" ref="C52:O52" si="35">C51/C$7</f>
        <v>7.3185389336100375</v>
      </c>
      <c r="D52" s="54">
        <f t="shared" si="35"/>
        <v>8.0922750144074396</v>
      </c>
      <c r="E52" s="53">
        <f t="shared" si="35"/>
        <v>8.4909970146638365</v>
      </c>
      <c r="F52" s="54">
        <f t="shared" si="35"/>
        <v>8.0814093761895585</v>
      </c>
      <c r="G52" s="53">
        <f t="shared" si="35"/>
        <v>8.1282183226025122</v>
      </c>
      <c r="H52" s="54">
        <f t="shared" si="35"/>
        <v>7.4286940278472704</v>
      </c>
      <c r="I52" s="53">
        <f t="shared" si="35"/>
        <v>7.5245998764849933</v>
      </c>
      <c r="J52" s="54">
        <f t="shared" si="35"/>
        <v>6.689545890433231</v>
      </c>
      <c r="K52" s="53">
        <f t="shared" si="35"/>
        <v>7.6911189674372311</v>
      </c>
      <c r="L52" s="54">
        <f t="shared" si="35"/>
        <v>7.9861910279456083</v>
      </c>
      <c r="M52" s="53">
        <f t="shared" si="35"/>
        <v>9.7786716092912069</v>
      </c>
      <c r="N52" s="54">
        <f t="shared" si="35"/>
        <v>8.9939933452008365</v>
      </c>
      <c r="O52" s="55">
        <f t="shared" si="35"/>
        <v>8.0139044837412019</v>
      </c>
      <c r="P52" s="56"/>
      <c r="Q52" s="56"/>
      <c r="R52" s="57"/>
      <c r="S52" s="41"/>
      <c r="V52" s="15"/>
      <c r="AE52" s="16"/>
      <c r="AG52" s="8"/>
      <c r="AN52" s="15"/>
    </row>
    <row r="53" spans="1:40">
      <c r="A53" s="28" t="s">
        <v>69</v>
      </c>
      <c r="B53" s="29" t="s">
        <v>55</v>
      </c>
      <c r="C53" s="30">
        <f>AVERAGE('Lex WTPs 2007-2010'!G26,'2011 Actual Costs'!C53)</f>
        <v>-2.4873393677311787E-2</v>
      </c>
      <c r="D53" s="31">
        <f>AVERAGE('Lex WTPs 2007-2010'!L26,'2011 Actual Costs'!D53)</f>
        <v>1.1754472576815478E-3</v>
      </c>
      <c r="E53" s="30">
        <f>AVERAGE('Lex WTPs 2007-2010'!Q26,'2011 Actual Costs'!E53)</f>
        <v>2.618897967735177E-3</v>
      </c>
      <c r="F53" s="31">
        <f>AVERAGE('Lex WTPs 2007-2010'!V26,'2011 Actual Costs'!F53)</f>
        <v>5.4860653938994955E-3</v>
      </c>
      <c r="G53" s="30">
        <f>AVERAGE('Lex WTPs 2007-2010'!AA26,'2011 Actual Costs'!G53)</f>
        <v>4.3269813247486027E-3</v>
      </c>
      <c r="H53" s="31">
        <f>AVERAGE('Lex WTPs 2007-2010'!AF26,'2011 Actual Costs'!H53)</f>
        <v>5.4253472222222229E-3</v>
      </c>
      <c r="I53" s="30">
        <f>AVERAGE('Lex WTPs 2007-2010'!AK26,'2011 Actual Costs'!I53)</f>
        <v>2.0333138135207236E-3</v>
      </c>
      <c r="J53" s="31">
        <f>AVERAGE('Lex WTPs 2007-2010'!AP26,'2011 Actual Costs'!J53)</f>
        <v>5.6820335577170032E-3</v>
      </c>
      <c r="K53" s="30">
        <f>AVERAGE('Lex WTPs 2007-2010'!AU26,'2011 Actual Costs'!K53)</f>
        <v>6.4333504889346367E-3</v>
      </c>
      <c r="L53" s="31">
        <f>AVERAGE('Lex WTPs 2007-2010'!AZ26,'2011 Actual Costs'!L53)</f>
        <v>8.7696220292905367E-4</v>
      </c>
      <c r="M53" s="30">
        <f>AVERAGE('Lex WTPs 2007-2010'!BE26,'2011 Actual Costs'!M53)</f>
        <v>3.251851232451617E-3</v>
      </c>
      <c r="N53" s="31">
        <f>AVERAGE('Lex WTPs 2007-2010'!BJ26,'2011 Actual Costs'!N53)</f>
        <v>9.7817277325955108E-3</v>
      </c>
      <c r="O53" s="32">
        <f>O54/O$7</f>
        <v>1.8209675723843432E-3</v>
      </c>
    </row>
    <row r="54" spans="1:40">
      <c r="A54" s="103" t="s">
        <v>106</v>
      </c>
      <c r="B54" s="35" t="s">
        <v>57</v>
      </c>
      <c r="C54" s="65">
        <f t="shared" ref="C54:N54" si="36">C$7*C53</f>
        <v>-9.2546634634776712</v>
      </c>
      <c r="D54" s="66">
        <f t="shared" si="36"/>
        <v>0.39502544565135528</v>
      </c>
      <c r="E54" s="65">
        <f t="shared" si="36"/>
        <v>0.97441545978836064</v>
      </c>
      <c r="F54" s="66">
        <f t="shared" si="36"/>
        <v>1.9753594213382513</v>
      </c>
      <c r="G54" s="65">
        <f t="shared" si="36"/>
        <v>1.6099433994737857</v>
      </c>
      <c r="H54" s="66">
        <f t="shared" si="36"/>
        <v>1.9534967194093775</v>
      </c>
      <c r="I54" s="65">
        <f t="shared" si="36"/>
        <v>0.75653669555108427</v>
      </c>
      <c r="J54" s="66">
        <f t="shared" si="36"/>
        <v>2.1141187667054524</v>
      </c>
      <c r="K54" s="65">
        <f t="shared" si="36"/>
        <v>2.3164469590937751</v>
      </c>
      <c r="L54" s="66">
        <f t="shared" si="36"/>
        <v>0.32629202768182725</v>
      </c>
      <c r="M54" s="65">
        <f t="shared" si="36"/>
        <v>1.1708892453153623</v>
      </c>
      <c r="N54" s="66">
        <f t="shared" si="36"/>
        <v>3.6394952546870032</v>
      </c>
      <c r="O54" s="67">
        <f>SUM(C54:N54)</f>
        <v>7.9773559312179634</v>
      </c>
      <c r="P54" s="60"/>
      <c r="Q54" s="57"/>
      <c r="R54" s="57"/>
      <c r="S54" s="41"/>
      <c r="T54" s="8"/>
    </row>
    <row r="55" spans="1:40" ht="15.75">
      <c r="A55" s="42"/>
      <c r="B55" s="35" t="s">
        <v>58</v>
      </c>
      <c r="C55" s="43">
        <f>'Price Changes'!D12</f>
        <v>0</v>
      </c>
      <c r="D55" s="44">
        <f t="shared" ref="D55:N55" si="37">C55</f>
        <v>0</v>
      </c>
      <c r="E55" s="43">
        <f t="shared" si="37"/>
        <v>0</v>
      </c>
      <c r="F55" s="44">
        <f t="shared" si="37"/>
        <v>0</v>
      </c>
      <c r="G55" s="43">
        <f t="shared" si="37"/>
        <v>0</v>
      </c>
      <c r="H55" s="44">
        <f t="shared" si="37"/>
        <v>0</v>
      </c>
      <c r="I55" s="43">
        <f t="shared" si="37"/>
        <v>0</v>
      </c>
      <c r="J55" s="44">
        <f t="shared" si="37"/>
        <v>0</v>
      </c>
      <c r="K55" s="43">
        <f t="shared" si="37"/>
        <v>0</v>
      </c>
      <c r="L55" s="44">
        <f t="shared" si="37"/>
        <v>0</v>
      </c>
      <c r="M55" s="43">
        <f t="shared" si="37"/>
        <v>0</v>
      </c>
      <c r="N55" s="44">
        <f t="shared" si="37"/>
        <v>0</v>
      </c>
      <c r="O55" s="45">
        <f>IF(O54=0,0,+O56/O54)</f>
        <v>0</v>
      </c>
      <c r="P55" s="46"/>
      <c r="Q55" s="47"/>
      <c r="R55" s="47"/>
      <c r="S55" s="41"/>
      <c r="T55" s="8"/>
    </row>
    <row r="56" spans="1:40">
      <c r="A56" s="42"/>
      <c r="B56" s="35" t="s">
        <v>15</v>
      </c>
      <c r="C56" s="48">
        <f t="shared" ref="C56:N56" si="38">C54*C55</f>
        <v>0</v>
      </c>
      <c r="D56" s="49">
        <f t="shared" si="38"/>
        <v>0</v>
      </c>
      <c r="E56" s="48">
        <f t="shared" si="38"/>
        <v>0</v>
      </c>
      <c r="F56" s="49">
        <f t="shared" si="38"/>
        <v>0</v>
      </c>
      <c r="G56" s="48">
        <f t="shared" si="38"/>
        <v>0</v>
      </c>
      <c r="H56" s="49">
        <f t="shared" si="38"/>
        <v>0</v>
      </c>
      <c r="I56" s="48">
        <f t="shared" si="38"/>
        <v>0</v>
      </c>
      <c r="J56" s="49">
        <f t="shared" si="38"/>
        <v>0</v>
      </c>
      <c r="K56" s="48">
        <f t="shared" si="38"/>
        <v>0</v>
      </c>
      <c r="L56" s="49">
        <f t="shared" si="38"/>
        <v>0</v>
      </c>
      <c r="M56" s="48">
        <f t="shared" si="38"/>
        <v>0</v>
      </c>
      <c r="N56" s="49">
        <f t="shared" si="38"/>
        <v>0</v>
      </c>
      <c r="O56" s="50">
        <f>SUM(C56:N56)</f>
        <v>0</v>
      </c>
      <c r="P56" s="40"/>
      <c r="Q56" s="40"/>
      <c r="R56" s="40"/>
      <c r="S56" s="41"/>
    </row>
    <row r="57" spans="1:40" ht="16.5" thickBot="1">
      <c r="A57" s="51"/>
      <c r="B57" s="52" t="s">
        <v>59</v>
      </c>
      <c r="C57" s="53">
        <f t="shared" ref="C57:O57" si="39">C56/C$7</f>
        <v>0</v>
      </c>
      <c r="D57" s="54">
        <f t="shared" si="39"/>
        <v>0</v>
      </c>
      <c r="E57" s="53">
        <f t="shared" si="39"/>
        <v>0</v>
      </c>
      <c r="F57" s="54">
        <f t="shared" si="39"/>
        <v>0</v>
      </c>
      <c r="G57" s="53">
        <f t="shared" si="39"/>
        <v>0</v>
      </c>
      <c r="H57" s="54">
        <f t="shared" si="39"/>
        <v>0</v>
      </c>
      <c r="I57" s="53">
        <f t="shared" si="39"/>
        <v>0</v>
      </c>
      <c r="J57" s="54">
        <f t="shared" si="39"/>
        <v>0</v>
      </c>
      <c r="K57" s="53">
        <f t="shared" si="39"/>
        <v>0</v>
      </c>
      <c r="L57" s="54">
        <f t="shared" si="39"/>
        <v>0</v>
      </c>
      <c r="M57" s="53">
        <f t="shared" si="39"/>
        <v>0</v>
      </c>
      <c r="N57" s="54">
        <f t="shared" si="39"/>
        <v>0</v>
      </c>
      <c r="O57" s="55">
        <f t="shared" si="39"/>
        <v>0</v>
      </c>
      <c r="P57" s="56"/>
      <c r="Q57" s="57"/>
      <c r="R57" s="57"/>
      <c r="S57" s="41"/>
    </row>
    <row r="58" spans="1:40">
      <c r="A58" s="28" t="s">
        <v>70</v>
      </c>
      <c r="B58" s="29" t="s">
        <v>55</v>
      </c>
      <c r="C58" s="30">
        <f>AVERAGE('Lex WTPs 2007-2010'!G25,'2011 Actual Costs'!C58)</f>
        <v>2.2391662156071725</v>
      </c>
      <c r="D58" s="31">
        <f>AVERAGE('Lex WTPs 2007-2010'!L25,'2011 Actual Costs'!D58)</f>
        <v>6.498250805918099</v>
      </c>
      <c r="E58" s="30">
        <f>AVERAGE('Lex WTPs 2007-2010'!Q25,'2011 Actual Costs'!E58)</f>
        <v>6.2337695775845479</v>
      </c>
      <c r="F58" s="31">
        <f>AVERAGE('Lex WTPs 2007-2010'!V25,'2011 Actual Costs'!F58)</f>
        <v>5.3901662078053745</v>
      </c>
      <c r="G58" s="30">
        <f>AVERAGE('Lex WTPs 2007-2010'!AA25,'2011 Actual Costs'!G58)</f>
        <v>4.8725819095476588</v>
      </c>
      <c r="H58" s="31">
        <f>AVERAGE('Lex WTPs 2007-2010'!AF25,'2011 Actual Costs'!H58)</f>
        <v>3.6943981733042426</v>
      </c>
      <c r="I58" s="30">
        <f>AVERAGE('Lex WTPs 2007-2010'!AK25,'2011 Actual Costs'!I58)</f>
        <v>5.8667624082588699</v>
      </c>
      <c r="J58" s="31">
        <f>AVERAGE('Lex WTPs 2007-2010'!AP25,'2011 Actual Costs'!J58)</f>
        <v>2.9740813272536695</v>
      </c>
      <c r="K58" s="30">
        <f>AVERAGE('Lex WTPs 2007-2010'!AU25,'2011 Actual Costs'!K58)</f>
        <v>3.7183135842040409</v>
      </c>
      <c r="L58" s="31">
        <f>AVERAGE('Lex WTPs 2007-2010'!AZ25,'2011 Actual Costs'!L58)</f>
        <v>5.2314405264279076</v>
      </c>
      <c r="M58" s="30">
        <f>AVERAGE('Lex WTPs 2007-2010'!BE25,'2011 Actual Costs'!M58)</f>
        <v>5.7181144106059696</v>
      </c>
      <c r="N58" s="31">
        <f>AVERAGE('Lex WTPs 2007-2010'!BJ25,'2011 Actual Costs'!N58)</f>
        <v>7.972602863426399</v>
      </c>
      <c r="O58" s="32">
        <f>O59/O$7</f>
        <v>5.0265297082591465</v>
      </c>
      <c r="S58" s="15"/>
    </row>
    <row r="59" spans="1:40">
      <c r="A59" s="34" t="s">
        <v>71</v>
      </c>
      <c r="B59" s="35" t="s">
        <v>57</v>
      </c>
      <c r="C59" s="36">
        <f t="shared" ref="C59:N59" si="40">C$7*C58</f>
        <v>833.12836330554524</v>
      </c>
      <c r="D59" s="37">
        <f t="shared" si="40"/>
        <v>2183.8278185489803</v>
      </c>
      <c r="E59" s="36">
        <f t="shared" si="40"/>
        <v>2319.4036285460102</v>
      </c>
      <c r="F59" s="37">
        <f t="shared" si="40"/>
        <v>1940.8291437807975</v>
      </c>
      <c r="G59" s="36">
        <f t="shared" si="40"/>
        <v>1812.9454450851824</v>
      </c>
      <c r="H59" s="37">
        <f t="shared" si="40"/>
        <v>1330.236465268255</v>
      </c>
      <c r="I59" s="36">
        <f t="shared" si="40"/>
        <v>2182.850977755505</v>
      </c>
      <c r="J59" s="37">
        <f t="shared" si="40"/>
        <v>1106.5688162147244</v>
      </c>
      <c r="K59" s="36">
        <f t="shared" si="40"/>
        <v>1338.8476517642498</v>
      </c>
      <c r="L59" s="37">
        <f t="shared" si="40"/>
        <v>1946.466257455274</v>
      </c>
      <c r="M59" s="36">
        <f t="shared" si="40"/>
        <v>2058.9129662655737</v>
      </c>
      <c r="N59" s="37">
        <f t="shared" si="40"/>
        <v>2966.3727188249127</v>
      </c>
      <c r="O59" s="38">
        <f>SUM(C59:N59)</f>
        <v>22020.39025281501</v>
      </c>
      <c r="P59" s="9"/>
      <c r="Q59" s="9"/>
      <c r="R59" s="9"/>
      <c r="S59" s="70"/>
    </row>
    <row r="60" spans="1:40">
      <c r="A60" s="34" t="s">
        <v>56</v>
      </c>
      <c r="B60" s="35" t="s">
        <v>58</v>
      </c>
      <c r="C60" s="43">
        <f>'Price Changes'!D13</f>
        <v>2.5350999999999999</v>
      </c>
      <c r="D60" s="44">
        <f t="shared" ref="D60:N60" si="41">C60</f>
        <v>2.5350999999999999</v>
      </c>
      <c r="E60" s="43">
        <f t="shared" si="41"/>
        <v>2.5350999999999999</v>
      </c>
      <c r="F60" s="44">
        <f t="shared" si="41"/>
        <v>2.5350999999999999</v>
      </c>
      <c r="G60" s="43">
        <f t="shared" si="41"/>
        <v>2.5350999999999999</v>
      </c>
      <c r="H60" s="44">
        <f t="shared" si="41"/>
        <v>2.5350999999999999</v>
      </c>
      <c r="I60" s="43">
        <f t="shared" si="41"/>
        <v>2.5350999999999999</v>
      </c>
      <c r="J60" s="44">
        <f t="shared" si="41"/>
        <v>2.5350999999999999</v>
      </c>
      <c r="K60" s="43">
        <f t="shared" si="41"/>
        <v>2.5350999999999999</v>
      </c>
      <c r="L60" s="44">
        <f t="shared" si="41"/>
        <v>2.5350999999999999</v>
      </c>
      <c r="M60" s="43">
        <f t="shared" si="41"/>
        <v>2.5350999999999999</v>
      </c>
      <c r="N60" s="44">
        <f t="shared" si="41"/>
        <v>2.5350999999999999</v>
      </c>
      <c r="O60" s="45">
        <f>IF(O59=0,0,+O61/O59)</f>
        <v>2.5350999999999999</v>
      </c>
      <c r="P60" s="15"/>
      <c r="Q60" s="15"/>
      <c r="R60" s="15"/>
      <c r="S60" s="71"/>
    </row>
    <row r="61" spans="1:40" ht="15.75">
      <c r="A61" s="42"/>
      <c r="B61" s="35" t="s">
        <v>15</v>
      </c>
      <c r="C61" s="48">
        <f t="shared" ref="C61:N61" si="42">C59*C60</f>
        <v>2112.0637138158877</v>
      </c>
      <c r="D61" s="49">
        <f t="shared" si="42"/>
        <v>5536.2219028035197</v>
      </c>
      <c r="E61" s="48">
        <f t="shared" si="42"/>
        <v>5879.9201387269904</v>
      </c>
      <c r="F61" s="49">
        <f t="shared" si="42"/>
        <v>4920.1959623986995</v>
      </c>
      <c r="G61" s="48">
        <f t="shared" si="42"/>
        <v>4595.9979978354459</v>
      </c>
      <c r="H61" s="49">
        <f t="shared" si="42"/>
        <v>3372.2824631015528</v>
      </c>
      <c r="I61" s="48">
        <f t="shared" si="42"/>
        <v>5533.7455137079805</v>
      </c>
      <c r="J61" s="49">
        <f t="shared" si="42"/>
        <v>2805.2626059859476</v>
      </c>
      <c r="K61" s="48">
        <f t="shared" si="42"/>
        <v>3394.1126819875494</v>
      </c>
      <c r="L61" s="49">
        <f t="shared" si="42"/>
        <v>4934.4866092748653</v>
      </c>
      <c r="M61" s="48">
        <f t="shared" si="42"/>
        <v>5219.5502607798553</v>
      </c>
      <c r="N61" s="49">
        <f t="shared" si="42"/>
        <v>7520.0514794930359</v>
      </c>
      <c r="O61" s="50">
        <f>SUM(C61:N61)</f>
        <v>55823.891329911326</v>
      </c>
      <c r="P61" s="15"/>
      <c r="Q61" s="72"/>
      <c r="R61" s="15"/>
      <c r="S61" s="15"/>
    </row>
    <row r="62" spans="1:40" ht="13.5" thickBot="1">
      <c r="A62" s="51"/>
      <c r="B62" s="52" t="s">
        <v>59</v>
      </c>
      <c r="C62" s="53">
        <f t="shared" ref="C62:O62" si="43">C61/C$7</f>
        <v>5.6765102731857437</v>
      </c>
      <c r="D62" s="54">
        <f t="shared" si="43"/>
        <v>16.473715618082974</v>
      </c>
      <c r="E62" s="53">
        <f t="shared" si="43"/>
        <v>15.803229256134586</v>
      </c>
      <c r="F62" s="54">
        <f t="shared" si="43"/>
        <v>13.664610353407404</v>
      </c>
      <c r="G62" s="53">
        <f t="shared" si="43"/>
        <v>12.352482398894269</v>
      </c>
      <c r="H62" s="54">
        <f t="shared" si="43"/>
        <v>9.3656688091435853</v>
      </c>
      <c r="I62" s="53">
        <f t="shared" si="43"/>
        <v>14.872829381177059</v>
      </c>
      <c r="J62" s="54">
        <f t="shared" si="43"/>
        <v>7.5395935727207775</v>
      </c>
      <c r="K62" s="53">
        <f t="shared" si="43"/>
        <v>9.4262967673156641</v>
      </c>
      <c r="L62" s="54">
        <f t="shared" si="43"/>
        <v>13.262224878547389</v>
      </c>
      <c r="M62" s="53">
        <f t="shared" si="43"/>
        <v>14.495991842327191</v>
      </c>
      <c r="N62" s="54">
        <f t="shared" si="43"/>
        <v>20.211345519072264</v>
      </c>
      <c r="O62" s="55">
        <f t="shared" si="43"/>
        <v>12.742755463407761</v>
      </c>
      <c r="P62" s="15"/>
      <c r="Q62" s="15"/>
      <c r="R62" s="15"/>
      <c r="S62" s="15"/>
    </row>
    <row r="63" spans="1:40">
      <c r="A63" s="28" t="s">
        <v>72</v>
      </c>
      <c r="B63" s="29" t="s">
        <v>55</v>
      </c>
      <c r="C63" s="30">
        <f>AVERAGE('Lex WTPs 2007-2010'!G22,'2011 Actual Costs'!C63)</f>
        <v>3.9585155328762189</v>
      </c>
      <c r="D63" s="31">
        <f>AVERAGE('Lex WTPs 2007-2010'!L22,'2011 Actual Costs'!D63)</f>
        <v>4.2149353227996187</v>
      </c>
      <c r="E63" s="30">
        <f>AVERAGE('Lex WTPs 2007-2010'!Q22,'2011 Actual Costs'!E63)</f>
        <v>4.7435141199092001</v>
      </c>
      <c r="F63" s="31">
        <f>AVERAGE('Lex WTPs 2007-2010'!V22,'2011 Actual Costs'!F63)</f>
        <v>2.7700421909051638</v>
      </c>
      <c r="G63" s="30">
        <f>AVERAGE('Lex WTPs 2007-2010'!AA22,'2011 Actual Costs'!G63)</f>
        <v>4.1808953070571526</v>
      </c>
      <c r="H63" s="31">
        <f>AVERAGE('Lex WTPs 2007-2010'!AF22,'2011 Actual Costs'!H63)</f>
        <v>3.9959496724557022</v>
      </c>
      <c r="I63" s="30">
        <f>AVERAGE('Lex WTPs 2007-2010'!AK22,'2011 Actual Costs'!I63)</f>
        <v>3.7453540512681336</v>
      </c>
      <c r="J63" s="31">
        <f>AVERAGE('Lex WTPs 2007-2010'!AP22,'2011 Actual Costs'!J63)</f>
        <v>4.238426272544884</v>
      </c>
      <c r="K63" s="30">
        <f>AVERAGE('Lex WTPs 2007-2010'!AU22,'2011 Actual Costs'!K63)</f>
        <v>4.5774757459168658</v>
      </c>
      <c r="L63" s="31">
        <f>AVERAGE('Lex WTPs 2007-2010'!AZ22,'2011 Actual Costs'!L63)</f>
        <v>3.900037123231884</v>
      </c>
      <c r="M63" s="30">
        <f>AVERAGE('Lex WTPs 2007-2010'!BE22,'2011 Actual Costs'!M63)</f>
        <v>2.8152767237738381</v>
      </c>
      <c r="N63" s="31">
        <f>AVERAGE('Lex WTPs 2007-2010'!BJ22,'2011 Actual Costs'!N63)</f>
        <v>3.6548187486481103</v>
      </c>
      <c r="O63" s="32">
        <f>O64/O$7</f>
        <v>3.9009559311001079</v>
      </c>
    </row>
    <row r="64" spans="1:40">
      <c r="A64" s="34" t="s">
        <v>56</v>
      </c>
      <c r="B64" s="35" t="s">
        <v>57</v>
      </c>
      <c r="C64" s="36">
        <f t="shared" ref="C64:N64" si="44">C$7*C63</f>
        <v>1472.8480378266468</v>
      </c>
      <c r="D64" s="37">
        <f t="shared" si="44"/>
        <v>1416.4878035996423</v>
      </c>
      <c r="E64" s="36">
        <f t="shared" si="44"/>
        <v>1764.9230894478651</v>
      </c>
      <c r="F64" s="37">
        <f t="shared" si="44"/>
        <v>997.40497905723828</v>
      </c>
      <c r="G64" s="36">
        <f t="shared" si="44"/>
        <v>1555.5890581244096</v>
      </c>
      <c r="H64" s="37">
        <f t="shared" si="44"/>
        <v>1438.8156658607045</v>
      </c>
      <c r="I64" s="36">
        <f t="shared" si="44"/>
        <v>1393.5368750134057</v>
      </c>
      <c r="J64" s="37">
        <f t="shared" si="44"/>
        <v>1576.9946504301977</v>
      </c>
      <c r="K64" s="36">
        <f t="shared" si="44"/>
        <v>1648.2048957526283</v>
      </c>
      <c r="L64" s="37">
        <f t="shared" si="44"/>
        <v>1451.0899292163465</v>
      </c>
      <c r="M64" s="36">
        <f t="shared" si="44"/>
        <v>1013.6925101485251</v>
      </c>
      <c r="N64" s="37">
        <f t="shared" si="44"/>
        <v>1359.8513326148754</v>
      </c>
      <c r="O64" s="38">
        <f>SUM(C64:N64)</f>
        <v>17089.438827092483</v>
      </c>
      <c r="P64" s="57"/>
      <c r="Q64" s="57"/>
      <c r="R64" s="60"/>
      <c r="S64" s="41"/>
    </row>
    <row r="65" spans="1:19" ht="15.75">
      <c r="A65" s="42"/>
      <c r="B65" s="35" t="s">
        <v>58</v>
      </c>
      <c r="C65" s="43">
        <f>'Price Changes'!D14</f>
        <v>0.16159999999999999</v>
      </c>
      <c r="D65" s="44">
        <f t="shared" ref="D65:N65" si="45">C65</f>
        <v>0.16159999999999999</v>
      </c>
      <c r="E65" s="43">
        <f t="shared" si="45"/>
        <v>0.16159999999999999</v>
      </c>
      <c r="F65" s="44">
        <f t="shared" si="45"/>
        <v>0.16159999999999999</v>
      </c>
      <c r="G65" s="43">
        <f t="shared" si="45"/>
        <v>0.16159999999999999</v>
      </c>
      <c r="H65" s="44">
        <f t="shared" si="45"/>
        <v>0.16159999999999999</v>
      </c>
      <c r="I65" s="43">
        <f t="shared" si="45"/>
        <v>0.16159999999999999</v>
      </c>
      <c r="J65" s="44">
        <f t="shared" si="45"/>
        <v>0.16159999999999999</v>
      </c>
      <c r="K65" s="43">
        <f t="shared" si="45"/>
        <v>0.16159999999999999</v>
      </c>
      <c r="L65" s="44">
        <f t="shared" si="45"/>
        <v>0.16159999999999999</v>
      </c>
      <c r="M65" s="43">
        <f t="shared" si="45"/>
        <v>0.16159999999999999</v>
      </c>
      <c r="N65" s="44">
        <f t="shared" si="45"/>
        <v>0.16159999999999999</v>
      </c>
      <c r="O65" s="45">
        <f>IF(O64=0,0,+O66/O64)</f>
        <v>0.16160000000000002</v>
      </c>
      <c r="P65" s="46"/>
      <c r="Q65" s="47"/>
      <c r="R65" s="47"/>
      <c r="S65" s="41"/>
    </row>
    <row r="66" spans="1:19">
      <c r="A66" s="42"/>
      <c r="B66" s="35" t="s">
        <v>15</v>
      </c>
      <c r="C66" s="48">
        <f t="shared" ref="C66:N66" si="46">C64*C65</f>
        <v>238.01224291278612</v>
      </c>
      <c r="D66" s="49">
        <f t="shared" si="46"/>
        <v>228.90442906170219</v>
      </c>
      <c r="E66" s="48">
        <f t="shared" si="46"/>
        <v>285.21157125477498</v>
      </c>
      <c r="F66" s="49">
        <f t="shared" si="46"/>
        <v>161.1806446156497</v>
      </c>
      <c r="G66" s="48">
        <f t="shared" si="46"/>
        <v>251.38319179290457</v>
      </c>
      <c r="H66" s="49">
        <f t="shared" si="46"/>
        <v>232.51261160308982</v>
      </c>
      <c r="I66" s="48">
        <f t="shared" si="46"/>
        <v>225.19555900216636</v>
      </c>
      <c r="J66" s="49">
        <f t="shared" si="46"/>
        <v>254.84233550951993</v>
      </c>
      <c r="K66" s="48">
        <f t="shared" si="46"/>
        <v>266.3499111536247</v>
      </c>
      <c r="L66" s="49">
        <f t="shared" si="46"/>
        <v>234.49613256136158</v>
      </c>
      <c r="M66" s="48">
        <f t="shared" si="46"/>
        <v>163.81270964000166</v>
      </c>
      <c r="N66" s="49">
        <f t="shared" si="46"/>
        <v>219.75197535056387</v>
      </c>
      <c r="O66" s="50">
        <f>SUM(C66:N66)</f>
        <v>2761.6533144581458</v>
      </c>
      <c r="P66" s="40"/>
      <c r="Q66" s="40"/>
      <c r="R66" s="40"/>
      <c r="S66" s="41"/>
    </row>
    <row r="67" spans="1:19" ht="16.5" thickBot="1">
      <c r="A67" s="51"/>
      <c r="B67" s="52" t="s">
        <v>59</v>
      </c>
      <c r="C67" s="53">
        <f t="shared" ref="C67:O67" si="47">C66/C$7</f>
        <v>0.63969611011279703</v>
      </c>
      <c r="D67" s="54">
        <f t="shared" si="47"/>
        <v>0.6811335481644184</v>
      </c>
      <c r="E67" s="53">
        <f t="shared" si="47"/>
        <v>0.76655188177732669</v>
      </c>
      <c r="F67" s="54">
        <f t="shared" si="47"/>
        <v>0.44763881805027445</v>
      </c>
      <c r="G67" s="53">
        <f t="shared" si="47"/>
        <v>0.67563268162043577</v>
      </c>
      <c r="H67" s="54">
        <f t="shared" si="47"/>
        <v>0.64574546706884139</v>
      </c>
      <c r="I67" s="53">
        <f t="shared" si="47"/>
        <v>0.60524921468493043</v>
      </c>
      <c r="J67" s="54">
        <f t="shared" si="47"/>
        <v>0.68492968564325318</v>
      </c>
      <c r="K67" s="53">
        <f t="shared" si="47"/>
        <v>0.73972008054016536</v>
      </c>
      <c r="L67" s="54">
        <f t="shared" si="47"/>
        <v>0.63024599911427248</v>
      </c>
      <c r="M67" s="53">
        <f t="shared" si="47"/>
        <v>0.45494871856185221</v>
      </c>
      <c r="N67" s="54">
        <f t="shared" si="47"/>
        <v>0.59061870978153463</v>
      </c>
      <c r="O67" s="55">
        <f t="shared" si="47"/>
        <v>0.63039447846577756</v>
      </c>
      <c r="P67" s="56"/>
      <c r="Q67" s="57"/>
      <c r="R67" s="57"/>
      <c r="S67" s="41"/>
    </row>
    <row r="68" spans="1:19">
      <c r="A68" s="181" t="s">
        <v>73</v>
      </c>
      <c r="B68" s="29" t="s">
        <v>55</v>
      </c>
      <c r="C68" s="30">
        <v>0</v>
      </c>
      <c r="D68" s="31">
        <v>0</v>
      </c>
      <c r="E68" s="30">
        <v>0</v>
      </c>
      <c r="F68" s="31">
        <v>0</v>
      </c>
      <c r="G68" s="30">
        <v>0</v>
      </c>
      <c r="H68" s="31">
        <v>0</v>
      </c>
      <c r="I68" s="30">
        <v>0</v>
      </c>
      <c r="J68" s="31">
        <v>0</v>
      </c>
      <c r="K68" s="30">
        <v>0</v>
      </c>
      <c r="L68" s="31">
        <v>0</v>
      </c>
      <c r="M68" s="30">
        <v>0</v>
      </c>
      <c r="N68" s="31">
        <v>0</v>
      </c>
      <c r="O68" s="32">
        <f>O69/O$7</f>
        <v>0</v>
      </c>
    </row>
    <row r="69" spans="1:19">
      <c r="A69" s="34" t="s">
        <v>64</v>
      </c>
      <c r="B69" s="35" t="s">
        <v>57</v>
      </c>
      <c r="C69" s="65">
        <f t="shared" ref="C69:N69" si="48">C$7*C68</f>
        <v>0</v>
      </c>
      <c r="D69" s="66">
        <f t="shared" si="48"/>
        <v>0</v>
      </c>
      <c r="E69" s="65">
        <f t="shared" si="48"/>
        <v>0</v>
      </c>
      <c r="F69" s="66">
        <f t="shared" si="48"/>
        <v>0</v>
      </c>
      <c r="G69" s="65">
        <f t="shared" si="48"/>
        <v>0</v>
      </c>
      <c r="H69" s="66">
        <f t="shared" si="48"/>
        <v>0</v>
      </c>
      <c r="I69" s="65">
        <f t="shared" si="48"/>
        <v>0</v>
      </c>
      <c r="J69" s="66">
        <f t="shared" si="48"/>
        <v>0</v>
      </c>
      <c r="K69" s="65">
        <f t="shared" si="48"/>
        <v>0</v>
      </c>
      <c r="L69" s="66">
        <f t="shared" si="48"/>
        <v>0</v>
      </c>
      <c r="M69" s="65">
        <f t="shared" si="48"/>
        <v>0</v>
      </c>
      <c r="N69" s="66">
        <f t="shared" si="48"/>
        <v>0</v>
      </c>
      <c r="O69" s="67">
        <f>SUM(C69:N69)</f>
        <v>0</v>
      </c>
      <c r="P69" s="57"/>
      <c r="Q69" s="57"/>
      <c r="R69" s="60"/>
      <c r="S69" s="41"/>
    </row>
    <row r="70" spans="1:19" ht="15.75">
      <c r="A70" s="42"/>
      <c r="B70" s="35" t="s">
        <v>58</v>
      </c>
      <c r="C70" s="43">
        <f>'Price Changes'!D15</f>
        <v>0</v>
      </c>
      <c r="D70" s="44">
        <f t="shared" ref="D70:N70" si="49">C70</f>
        <v>0</v>
      </c>
      <c r="E70" s="43">
        <f t="shared" si="49"/>
        <v>0</v>
      </c>
      <c r="F70" s="44">
        <f t="shared" si="49"/>
        <v>0</v>
      </c>
      <c r="G70" s="43">
        <f t="shared" si="49"/>
        <v>0</v>
      </c>
      <c r="H70" s="44">
        <f t="shared" si="49"/>
        <v>0</v>
      </c>
      <c r="I70" s="43">
        <f t="shared" si="49"/>
        <v>0</v>
      </c>
      <c r="J70" s="44">
        <f t="shared" si="49"/>
        <v>0</v>
      </c>
      <c r="K70" s="43">
        <f t="shared" si="49"/>
        <v>0</v>
      </c>
      <c r="L70" s="44">
        <f t="shared" si="49"/>
        <v>0</v>
      </c>
      <c r="M70" s="43">
        <f t="shared" si="49"/>
        <v>0</v>
      </c>
      <c r="N70" s="44">
        <f t="shared" si="49"/>
        <v>0</v>
      </c>
      <c r="O70" s="45">
        <f>IF(O69=0,0,+O71/O69)</f>
        <v>0</v>
      </c>
      <c r="P70" s="46"/>
      <c r="Q70" s="47"/>
      <c r="R70" s="47"/>
      <c r="S70" s="41"/>
    </row>
    <row r="71" spans="1:19">
      <c r="A71" s="42"/>
      <c r="B71" s="35" t="s">
        <v>15</v>
      </c>
      <c r="C71" s="48">
        <f t="shared" ref="C71:N71" si="50">C69*C70</f>
        <v>0</v>
      </c>
      <c r="D71" s="49">
        <f t="shared" si="50"/>
        <v>0</v>
      </c>
      <c r="E71" s="48">
        <f t="shared" si="50"/>
        <v>0</v>
      </c>
      <c r="F71" s="49">
        <f t="shared" si="50"/>
        <v>0</v>
      </c>
      <c r="G71" s="48">
        <f t="shared" si="50"/>
        <v>0</v>
      </c>
      <c r="H71" s="49">
        <f t="shared" si="50"/>
        <v>0</v>
      </c>
      <c r="I71" s="48">
        <f t="shared" si="50"/>
        <v>0</v>
      </c>
      <c r="J71" s="49">
        <f t="shared" si="50"/>
        <v>0</v>
      </c>
      <c r="K71" s="48">
        <f t="shared" si="50"/>
        <v>0</v>
      </c>
      <c r="L71" s="49">
        <f t="shared" si="50"/>
        <v>0</v>
      </c>
      <c r="M71" s="48">
        <f t="shared" si="50"/>
        <v>0</v>
      </c>
      <c r="N71" s="49">
        <f t="shared" si="50"/>
        <v>0</v>
      </c>
      <c r="O71" s="50">
        <f>SUM(C71:N71)</f>
        <v>0</v>
      </c>
      <c r="P71" s="40"/>
      <c r="Q71" s="40"/>
      <c r="R71" s="40"/>
      <c r="S71" s="41"/>
    </row>
    <row r="72" spans="1:19" ht="16.5" thickBot="1">
      <c r="A72" s="51"/>
      <c r="B72" s="52" t="s">
        <v>59</v>
      </c>
      <c r="C72" s="53">
        <f t="shared" ref="C72:O72" si="51">C71/C$7</f>
        <v>0</v>
      </c>
      <c r="D72" s="54">
        <f t="shared" si="51"/>
        <v>0</v>
      </c>
      <c r="E72" s="53">
        <f t="shared" si="51"/>
        <v>0</v>
      </c>
      <c r="F72" s="54">
        <f t="shared" si="51"/>
        <v>0</v>
      </c>
      <c r="G72" s="53">
        <f t="shared" si="51"/>
        <v>0</v>
      </c>
      <c r="H72" s="54">
        <f t="shared" si="51"/>
        <v>0</v>
      </c>
      <c r="I72" s="53">
        <f t="shared" si="51"/>
        <v>0</v>
      </c>
      <c r="J72" s="54">
        <f t="shared" si="51"/>
        <v>0</v>
      </c>
      <c r="K72" s="53">
        <f t="shared" si="51"/>
        <v>0</v>
      </c>
      <c r="L72" s="54">
        <f t="shared" si="51"/>
        <v>0</v>
      </c>
      <c r="M72" s="53">
        <f t="shared" si="51"/>
        <v>0</v>
      </c>
      <c r="N72" s="54">
        <f t="shared" si="51"/>
        <v>0</v>
      </c>
      <c r="O72" s="55">
        <f t="shared" si="51"/>
        <v>0</v>
      </c>
      <c r="P72" s="56"/>
      <c r="Q72" s="57"/>
      <c r="R72" s="57"/>
      <c r="S72" s="41"/>
    </row>
    <row r="73" spans="1:19">
      <c r="A73" s="28" t="s">
        <v>74</v>
      </c>
      <c r="B73" s="29" t="s">
        <v>55</v>
      </c>
      <c r="C73" s="30">
        <f>AVERAGE('Lex WTPs 2007-2010'!G24,'2011 Actual Costs'!C73)</f>
        <v>0.70740579979744111</v>
      </c>
      <c r="D73" s="31">
        <f>AVERAGE('Lex WTPs 2007-2010'!L24,'2011 Actual Costs'!D73)</f>
        <v>0</v>
      </c>
      <c r="E73" s="30">
        <f>AVERAGE('Lex WTPs 2007-2010'!Q24,'2011 Actual Costs'!E73)</f>
        <v>0.79920036315385168</v>
      </c>
      <c r="F73" s="31">
        <f>AVERAGE('Lex WTPs 2007-2010'!V24,'2011 Actual Costs'!F73)</f>
        <v>3.6712438756008132</v>
      </c>
      <c r="G73" s="30">
        <f>AVERAGE('Lex WTPs 2007-2010'!AA24,'2011 Actual Costs'!G73)</f>
        <v>14.400934296794683</v>
      </c>
      <c r="H73" s="31">
        <f>AVERAGE('Lex WTPs 2007-2010'!AF24,'2011 Actual Costs'!H73)</f>
        <v>20.140948290003802</v>
      </c>
      <c r="I73" s="30">
        <f>AVERAGE('Lex WTPs 2007-2010'!AK24,'2011 Actual Costs'!I73)</f>
        <v>23.435628411109377</v>
      </c>
      <c r="J73" s="31">
        <f>AVERAGE('Lex WTPs 2007-2010'!AP24,'2011 Actual Costs'!J73)</f>
        <v>22.691032053475485</v>
      </c>
      <c r="K73" s="30">
        <f>AVERAGE('Lex WTPs 2007-2010'!AU24,'2011 Actual Costs'!K73)</f>
        <v>25.342506220605294</v>
      </c>
      <c r="L73" s="31">
        <f>AVERAGE('Lex WTPs 2007-2010'!AZ24,'2011 Actual Costs'!L73)</f>
        <v>0.14401630294854717</v>
      </c>
      <c r="M73" s="30">
        <f>AVERAGE('Lex WTPs 2007-2010'!BE24,'2011 Actual Costs'!M73)</f>
        <v>2.271650360955487</v>
      </c>
      <c r="N73" s="31">
        <f>AVERAGE('Lex WTPs 2007-2010'!BJ24,'2011 Actual Costs'!N73)</f>
        <v>0</v>
      </c>
      <c r="O73" s="32">
        <f>O74/O$7</f>
        <v>9.5077128670154067</v>
      </c>
    </row>
    <row r="74" spans="1:19">
      <c r="A74" s="34" t="s">
        <v>64</v>
      </c>
      <c r="B74" s="35" t="s">
        <v>57</v>
      </c>
      <c r="C74" s="36">
        <f t="shared" ref="C74:N74" si="52">C$7*C73</f>
        <v>263.2050412650056</v>
      </c>
      <c r="D74" s="37">
        <f t="shared" si="52"/>
        <v>0</v>
      </c>
      <c r="E74" s="36">
        <f t="shared" si="52"/>
        <v>297.35911781208142</v>
      </c>
      <c r="F74" s="37">
        <f t="shared" si="52"/>
        <v>1321.8993316708682</v>
      </c>
      <c r="G74" s="36">
        <f t="shared" si="52"/>
        <v>5358.1671325395173</v>
      </c>
      <c r="H74" s="37">
        <f t="shared" si="52"/>
        <v>7252.1213479495073</v>
      </c>
      <c r="I74" s="36">
        <f t="shared" si="52"/>
        <v>8719.7129918692171</v>
      </c>
      <c r="J74" s="37">
        <f t="shared" si="52"/>
        <v>8442.6704300285892</v>
      </c>
      <c r="K74" s="36">
        <f t="shared" si="52"/>
        <v>9125.0385893801504</v>
      </c>
      <c r="L74" s="37">
        <f t="shared" si="52"/>
        <v>53.584260930939323</v>
      </c>
      <c r="M74" s="36">
        <f t="shared" si="52"/>
        <v>817.94977279887451</v>
      </c>
      <c r="N74" s="37">
        <f t="shared" si="52"/>
        <v>0</v>
      </c>
      <c r="O74" s="38">
        <f>SUM(C74:N74)</f>
        <v>41651.708016244753</v>
      </c>
      <c r="P74" s="57"/>
      <c r="Q74" s="57"/>
      <c r="R74" s="60"/>
      <c r="S74" s="41"/>
    </row>
    <row r="75" spans="1:19" ht="15.75">
      <c r="A75" s="42"/>
      <c r="B75" s="35" t="s">
        <v>58</v>
      </c>
      <c r="C75" s="43">
        <f>'Price Changes'!D16</f>
        <v>0.16800000000000001</v>
      </c>
      <c r="D75" s="44">
        <f t="shared" ref="D75:N75" si="53">C75</f>
        <v>0.16800000000000001</v>
      </c>
      <c r="E75" s="43">
        <f t="shared" si="53"/>
        <v>0.16800000000000001</v>
      </c>
      <c r="F75" s="44">
        <f t="shared" si="53"/>
        <v>0.16800000000000001</v>
      </c>
      <c r="G75" s="43">
        <f t="shared" si="53"/>
        <v>0.16800000000000001</v>
      </c>
      <c r="H75" s="44">
        <f t="shared" si="53"/>
        <v>0.16800000000000001</v>
      </c>
      <c r="I75" s="43">
        <f t="shared" si="53"/>
        <v>0.16800000000000001</v>
      </c>
      <c r="J75" s="44">
        <f t="shared" si="53"/>
        <v>0.16800000000000001</v>
      </c>
      <c r="K75" s="43">
        <f t="shared" si="53"/>
        <v>0.16800000000000001</v>
      </c>
      <c r="L75" s="44">
        <f t="shared" si="53"/>
        <v>0.16800000000000001</v>
      </c>
      <c r="M75" s="43">
        <f t="shared" si="53"/>
        <v>0.16800000000000001</v>
      </c>
      <c r="N75" s="44">
        <f t="shared" si="53"/>
        <v>0.16800000000000001</v>
      </c>
      <c r="O75" s="45">
        <f>IF(O74=0,0,+O76/O74)</f>
        <v>0.16800000000000001</v>
      </c>
      <c r="P75" s="46"/>
      <c r="Q75" s="47"/>
      <c r="R75" s="47"/>
      <c r="S75" s="41"/>
    </row>
    <row r="76" spans="1:19">
      <c r="A76" s="42"/>
      <c r="B76" s="35" t="s">
        <v>15</v>
      </c>
      <c r="C76" s="48">
        <f t="shared" ref="C76:N76" si="54">C74*C75</f>
        <v>44.218446932520948</v>
      </c>
      <c r="D76" s="49">
        <f t="shared" si="54"/>
        <v>0</v>
      </c>
      <c r="E76" s="48">
        <f t="shared" si="54"/>
        <v>49.95633179242968</v>
      </c>
      <c r="F76" s="49">
        <f t="shared" si="54"/>
        <v>222.07908772070587</v>
      </c>
      <c r="G76" s="48">
        <f t="shared" si="54"/>
        <v>900.17207826663901</v>
      </c>
      <c r="H76" s="49">
        <f t="shared" si="54"/>
        <v>1218.3563864555174</v>
      </c>
      <c r="I76" s="48">
        <f t="shared" si="54"/>
        <v>1464.9117826340287</v>
      </c>
      <c r="J76" s="49">
        <f t="shared" si="54"/>
        <v>1418.3686322448032</v>
      </c>
      <c r="K76" s="48">
        <f t="shared" si="54"/>
        <v>1533.0064830158653</v>
      </c>
      <c r="L76" s="49">
        <f t="shared" si="54"/>
        <v>9.0021558363978063</v>
      </c>
      <c r="M76" s="48">
        <f t="shared" si="54"/>
        <v>137.41556183021092</v>
      </c>
      <c r="N76" s="49">
        <f t="shared" si="54"/>
        <v>0</v>
      </c>
      <c r="O76" s="50">
        <f>SUM(C76:N76)</f>
        <v>6997.4869467291192</v>
      </c>
      <c r="P76" s="40"/>
      <c r="Q76" s="40"/>
      <c r="R76" s="40"/>
      <c r="S76" s="41"/>
    </row>
    <row r="77" spans="1:19" ht="16.5" thickBot="1">
      <c r="A77" s="51"/>
      <c r="B77" s="52" t="s">
        <v>59</v>
      </c>
      <c r="C77" s="53">
        <f t="shared" ref="C77:O77" si="55">C76/C$7</f>
        <v>0.11884417436597013</v>
      </c>
      <c r="D77" s="54">
        <f t="shared" si="55"/>
        <v>0</v>
      </c>
      <c r="E77" s="53">
        <f t="shared" si="55"/>
        <v>0.13426566100984708</v>
      </c>
      <c r="F77" s="54">
        <f t="shared" si="55"/>
        <v>0.61676897110093665</v>
      </c>
      <c r="G77" s="53">
        <f t="shared" si="55"/>
        <v>2.4193569618615069</v>
      </c>
      <c r="H77" s="54">
        <f t="shared" si="55"/>
        <v>3.3836793127206395</v>
      </c>
      <c r="I77" s="53">
        <f t="shared" si="55"/>
        <v>3.9371855730663761</v>
      </c>
      <c r="J77" s="54">
        <f t="shared" si="55"/>
        <v>3.8120933849838821</v>
      </c>
      <c r="K77" s="53">
        <f t="shared" si="55"/>
        <v>4.2575410450616902</v>
      </c>
      <c r="L77" s="54">
        <f t="shared" si="55"/>
        <v>2.4194738895355925E-2</v>
      </c>
      <c r="M77" s="53">
        <f t="shared" si="55"/>
        <v>0.38163726064052178</v>
      </c>
      <c r="N77" s="54">
        <f t="shared" si="55"/>
        <v>0</v>
      </c>
      <c r="O77" s="55">
        <f t="shared" si="55"/>
        <v>1.5972957616585883</v>
      </c>
      <c r="P77" s="56"/>
      <c r="Q77" s="57"/>
      <c r="R77" s="57"/>
      <c r="S77" s="41"/>
    </row>
    <row r="78" spans="1:19">
      <c r="A78" s="181" t="s">
        <v>75</v>
      </c>
      <c r="B78" s="29" t="s">
        <v>55</v>
      </c>
      <c r="C78" s="30">
        <v>0</v>
      </c>
      <c r="D78" s="31">
        <v>0</v>
      </c>
      <c r="E78" s="30">
        <v>0</v>
      </c>
      <c r="F78" s="31">
        <v>0</v>
      </c>
      <c r="G78" s="30">
        <v>0</v>
      </c>
      <c r="H78" s="31">
        <v>0</v>
      </c>
      <c r="I78" s="30">
        <v>0</v>
      </c>
      <c r="J78" s="31">
        <v>0</v>
      </c>
      <c r="K78" s="30">
        <v>0</v>
      </c>
      <c r="L78" s="31">
        <v>0</v>
      </c>
      <c r="M78" s="30">
        <v>0</v>
      </c>
      <c r="N78" s="31">
        <v>0</v>
      </c>
      <c r="O78" s="32">
        <f>O79/O$7</f>
        <v>0</v>
      </c>
      <c r="S78" s="15"/>
    </row>
    <row r="79" spans="1:19">
      <c r="A79" s="34" t="s">
        <v>71</v>
      </c>
      <c r="B79" s="35" t="s">
        <v>57</v>
      </c>
      <c r="C79" s="65">
        <f t="shared" ref="C79:N79" si="56">C$7*C78</f>
        <v>0</v>
      </c>
      <c r="D79" s="66">
        <f t="shared" si="56"/>
        <v>0</v>
      </c>
      <c r="E79" s="65">
        <f t="shared" si="56"/>
        <v>0</v>
      </c>
      <c r="F79" s="66">
        <f t="shared" si="56"/>
        <v>0</v>
      </c>
      <c r="G79" s="65">
        <f t="shared" si="56"/>
        <v>0</v>
      </c>
      <c r="H79" s="66">
        <f t="shared" si="56"/>
        <v>0</v>
      </c>
      <c r="I79" s="65">
        <f t="shared" si="56"/>
        <v>0</v>
      </c>
      <c r="J79" s="66">
        <f t="shared" si="56"/>
        <v>0</v>
      </c>
      <c r="K79" s="65">
        <f t="shared" si="56"/>
        <v>0</v>
      </c>
      <c r="L79" s="66">
        <f t="shared" si="56"/>
        <v>0</v>
      </c>
      <c r="M79" s="65">
        <f t="shared" si="56"/>
        <v>0</v>
      </c>
      <c r="N79" s="66">
        <f t="shared" si="56"/>
        <v>0</v>
      </c>
      <c r="O79" s="67">
        <f>SUM(C79:N79)</f>
        <v>0</v>
      </c>
      <c r="P79" s="9"/>
      <c r="Q79" s="9"/>
      <c r="R79" s="9"/>
      <c r="S79" s="70"/>
    </row>
    <row r="80" spans="1:19">
      <c r="A80" s="182" t="s">
        <v>64</v>
      </c>
      <c r="B80" s="35" t="s">
        <v>58</v>
      </c>
      <c r="C80" s="43">
        <f>'Price Changes'!D17</f>
        <v>0</v>
      </c>
      <c r="D80" s="44">
        <f t="shared" ref="D80:N80" si="57">C80</f>
        <v>0</v>
      </c>
      <c r="E80" s="43">
        <f t="shared" si="57"/>
        <v>0</v>
      </c>
      <c r="F80" s="44">
        <f t="shared" si="57"/>
        <v>0</v>
      </c>
      <c r="G80" s="43">
        <f t="shared" si="57"/>
        <v>0</v>
      </c>
      <c r="H80" s="44">
        <f t="shared" si="57"/>
        <v>0</v>
      </c>
      <c r="I80" s="43">
        <f t="shared" si="57"/>
        <v>0</v>
      </c>
      <c r="J80" s="44">
        <f t="shared" si="57"/>
        <v>0</v>
      </c>
      <c r="K80" s="43">
        <f t="shared" si="57"/>
        <v>0</v>
      </c>
      <c r="L80" s="44">
        <f t="shared" si="57"/>
        <v>0</v>
      </c>
      <c r="M80" s="43">
        <f t="shared" si="57"/>
        <v>0</v>
      </c>
      <c r="N80" s="44">
        <f t="shared" si="57"/>
        <v>0</v>
      </c>
      <c r="O80" s="45">
        <f>IF(O79=0,0,+O81/O79)</f>
        <v>0</v>
      </c>
      <c r="P80" s="15"/>
      <c r="Q80" s="15"/>
      <c r="R80" s="15"/>
      <c r="S80" s="71"/>
    </row>
    <row r="81" spans="1:20" ht="15.75">
      <c r="A81" s="42"/>
      <c r="B81" s="35" t="s">
        <v>15</v>
      </c>
      <c r="C81" s="48">
        <f t="shared" ref="C81:N81" si="58">C79*C80</f>
        <v>0</v>
      </c>
      <c r="D81" s="49">
        <f t="shared" si="58"/>
        <v>0</v>
      </c>
      <c r="E81" s="48">
        <f t="shared" si="58"/>
        <v>0</v>
      </c>
      <c r="F81" s="49">
        <f t="shared" si="58"/>
        <v>0</v>
      </c>
      <c r="G81" s="48">
        <f t="shared" si="58"/>
        <v>0</v>
      </c>
      <c r="H81" s="49">
        <f t="shared" si="58"/>
        <v>0</v>
      </c>
      <c r="I81" s="48">
        <f t="shared" si="58"/>
        <v>0</v>
      </c>
      <c r="J81" s="49">
        <f t="shared" si="58"/>
        <v>0</v>
      </c>
      <c r="K81" s="48">
        <f t="shared" si="58"/>
        <v>0</v>
      </c>
      <c r="L81" s="49">
        <f t="shared" si="58"/>
        <v>0</v>
      </c>
      <c r="M81" s="48">
        <f t="shared" si="58"/>
        <v>0</v>
      </c>
      <c r="N81" s="49">
        <f t="shared" si="58"/>
        <v>0</v>
      </c>
      <c r="O81" s="50">
        <f>SUM(C81:N81)</f>
        <v>0</v>
      </c>
      <c r="P81" s="15"/>
      <c r="Q81" s="72"/>
      <c r="R81" s="15"/>
      <c r="S81" s="15"/>
    </row>
    <row r="82" spans="1:20" ht="13.5" thickBot="1">
      <c r="A82" s="51"/>
      <c r="B82" s="52" t="s">
        <v>59</v>
      </c>
      <c r="C82" s="53">
        <f t="shared" ref="C82:O82" si="59">C81/C$7</f>
        <v>0</v>
      </c>
      <c r="D82" s="54">
        <f t="shared" si="59"/>
        <v>0</v>
      </c>
      <c r="E82" s="53">
        <f t="shared" si="59"/>
        <v>0</v>
      </c>
      <c r="F82" s="54">
        <f t="shared" si="59"/>
        <v>0</v>
      </c>
      <c r="G82" s="53">
        <f t="shared" si="59"/>
        <v>0</v>
      </c>
      <c r="H82" s="54">
        <f t="shared" si="59"/>
        <v>0</v>
      </c>
      <c r="I82" s="53">
        <f t="shared" si="59"/>
        <v>0</v>
      </c>
      <c r="J82" s="54">
        <f t="shared" si="59"/>
        <v>0</v>
      </c>
      <c r="K82" s="53">
        <f t="shared" si="59"/>
        <v>0</v>
      </c>
      <c r="L82" s="54">
        <f t="shared" si="59"/>
        <v>0</v>
      </c>
      <c r="M82" s="53">
        <f t="shared" si="59"/>
        <v>0</v>
      </c>
      <c r="N82" s="54">
        <f t="shared" si="59"/>
        <v>0</v>
      </c>
      <c r="O82" s="55">
        <f t="shared" si="59"/>
        <v>0</v>
      </c>
      <c r="P82" s="15"/>
      <c r="Q82" s="15"/>
      <c r="R82" s="15"/>
      <c r="S82" s="15"/>
    </row>
    <row r="83" spans="1:20">
      <c r="A83" s="181" t="s">
        <v>76</v>
      </c>
      <c r="B83" s="29" t="s">
        <v>55</v>
      </c>
      <c r="C83" s="30">
        <v>0</v>
      </c>
      <c r="D83" s="31">
        <v>0</v>
      </c>
      <c r="E83" s="30">
        <v>0</v>
      </c>
      <c r="F83" s="31">
        <v>0</v>
      </c>
      <c r="G83" s="30">
        <v>0</v>
      </c>
      <c r="H83" s="31">
        <v>0</v>
      </c>
      <c r="I83" s="30">
        <v>0</v>
      </c>
      <c r="J83" s="31">
        <v>0</v>
      </c>
      <c r="K83" s="30">
        <v>0</v>
      </c>
      <c r="L83" s="31">
        <v>0</v>
      </c>
      <c r="M83" s="30">
        <v>0</v>
      </c>
      <c r="N83" s="31">
        <v>0</v>
      </c>
      <c r="O83" s="32">
        <f>O84/O$7</f>
        <v>0</v>
      </c>
    </row>
    <row r="84" spans="1:20">
      <c r="A84" s="34" t="s">
        <v>64</v>
      </c>
      <c r="B84" s="35" t="s">
        <v>57</v>
      </c>
      <c r="C84" s="65">
        <f t="shared" ref="C84:N84" si="60">C$7*C83</f>
        <v>0</v>
      </c>
      <c r="D84" s="66">
        <f t="shared" si="60"/>
        <v>0</v>
      </c>
      <c r="E84" s="65">
        <f t="shared" si="60"/>
        <v>0</v>
      </c>
      <c r="F84" s="66">
        <f t="shared" si="60"/>
        <v>0</v>
      </c>
      <c r="G84" s="65">
        <f t="shared" si="60"/>
        <v>0</v>
      </c>
      <c r="H84" s="66">
        <f t="shared" si="60"/>
        <v>0</v>
      </c>
      <c r="I84" s="65">
        <f t="shared" si="60"/>
        <v>0</v>
      </c>
      <c r="J84" s="66">
        <f t="shared" si="60"/>
        <v>0</v>
      </c>
      <c r="K84" s="65">
        <f t="shared" si="60"/>
        <v>0</v>
      </c>
      <c r="L84" s="66">
        <f t="shared" si="60"/>
        <v>0</v>
      </c>
      <c r="M84" s="65">
        <f t="shared" si="60"/>
        <v>0</v>
      </c>
      <c r="N84" s="66">
        <f t="shared" si="60"/>
        <v>0</v>
      </c>
      <c r="O84" s="67">
        <f>SUM(C84:N84)</f>
        <v>0</v>
      </c>
    </row>
    <row r="85" spans="1:20">
      <c r="A85" s="34"/>
      <c r="B85" s="35" t="s">
        <v>58</v>
      </c>
      <c r="C85" s="43">
        <f>'Price Changes'!D18</f>
        <v>0</v>
      </c>
      <c r="D85" s="44">
        <f t="shared" ref="D85:N85" si="61">C85</f>
        <v>0</v>
      </c>
      <c r="E85" s="43">
        <f t="shared" si="61"/>
        <v>0</v>
      </c>
      <c r="F85" s="44">
        <f t="shared" si="61"/>
        <v>0</v>
      </c>
      <c r="G85" s="43">
        <f t="shared" si="61"/>
        <v>0</v>
      </c>
      <c r="H85" s="44">
        <f t="shared" si="61"/>
        <v>0</v>
      </c>
      <c r="I85" s="43">
        <f t="shared" si="61"/>
        <v>0</v>
      </c>
      <c r="J85" s="44">
        <f t="shared" si="61"/>
        <v>0</v>
      </c>
      <c r="K85" s="43">
        <f t="shared" si="61"/>
        <v>0</v>
      </c>
      <c r="L85" s="44">
        <f t="shared" si="61"/>
        <v>0</v>
      </c>
      <c r="M85" s="43">
        <f t="shared" si="61"/>
        <v>0</v>
      </c>
      <c r="N85" s="44">
        <f t="shared" si="61"/>
        <v>0</v>
      </c>
      <c r="O85" s="45">
        <f>IF(O84=0,0,+O86/O84)</f>
        <v>0</v>
      </c>
    </row>
    <row r="86" spans="1:20">
      <c r="A86" s="42"/>
      <c r="B86" s="35" t="s">
        <v>15</v>
      </c>
      <c r="C86" s="48">
        <f t="shared" ref="C86:N86" si="62">C84*C85</f>
        <v>0</v>
      </c>
      <c r="D86" s="49">
        <f t="shared" si="62"/>
        <v>0</v>
      </c>
      <c r="E86" s="48">
        <f t="shared" si="62"/>
        <v>0</v>
      </c>
      <c r="F86" s="49">
        <f t="shared" si="62"/>
        <v>0</v>
      </c>
      <c r="G86" s="48">
        <f t="shared" si="62"/>
        <v>0</v>
      </c>
      <c r="H86" s="49">
        <f t="shared" si="62"/>
        <v>0</v>
      </c>
      <c r="I86" s="48">
        <f t="shared" si="62"/>
        <v>0</v>
      </c>
      <c r="J86" s="49">
        <f t="shared" si="62"/>
        <v>0</v>
      </c>
      <c r="K86" s="48">
        <f t="shared" si="62"/>
        <v>0</v>
      </c>
      <c r="L86" s="49">
        <f t="shared" si="62"/>
        <v>0</v>
      </c>
      <c r="M86" s="48">
        <f t="shared" si="62"/>
        <v>0</v>
      </c>
      <c r="N86" s="49">
        <f t="shared" si="62"/>
        <v>0</v>
      </c>
      <c r="O86" s="50">
        <f>SUM(C86:N86)</f>
        <v>0</v>
      </c>
    </row>
    <row r="87" spans="1:20" ht="13.5" thickBot="1">
      <c r="A87" s="51"/>
      <c r="B87" s="52" t="s">
        <v>59</v>
      </c>
      <c r="C87" s="53">
        <f t="shared" ref="C87:O87" si="63">C86/C$7</f>
        <v>0</v>
      </c>
      <c r="D87" s="54">
        <f t="shared" si="63"/>
        <v>0</v>
      </c>
      <c r="E87" s="53">
        <f t="shared" si="63"/>
        <v>0</v>
      </c>
      <c r="F87" s="54">
        <f t="shared" si="63"/>
        <v>0</v>
      </c>
      <c r="G87" s="53">
        <f t="shared" si="63"/>
        <v>0</v>
      </c>
      <c r="H87" s="54">
        <f t="shared" si="63"/>
        <v>0</v>
      </c>
      <c r="I87" s="53">
        <f t="shared" si="63"/>
        <v>0</v>
      </c>
      <c r="J87" s="54">
        <f t="shared" si="63"/>
        <v>0</v>
      </c>
      <c r="K87" s="53">
        <f t="shared" si="63"/>
        <v>0</v>
      </c>
      <c r="L87" s="54">
        <f t="shared" si="63"/>
        <v>0</v>
      </c>
      <c r="M87" s="53">
        <f t="shared" si="63"/>
        <v>0</v>
      </c>
      <c r="N87" s="54">
        <f t="shared" si="63"/>
        <v>0</v>
      </c>
      <c r="O87" s="55">
        <f t="shared" si="63"/>
        <v>0</v>
      </c>
    </row>
    <row r="88" spans="1:20" ht="13.5" thickBot="1">
      <c r="A88" s="10" t="s">
        <v>1</v>
      </c>
      <c r="B88" s="73" t="s">
        <v>1</v>
      </c>
      <c r="C88" s="74" t="s">
        <v>1</v>
      </c>
      <c r="D88" s="75" t="s">
        <v>1</v>
      </c>
      <c r="E88" s="74" t="s">
        <v>1</v>
      </c>
      <c r="F88" s="75" t="s">
        <v>1</v>
      </c>
      <c r="G88" s="74" t="s">
        <v>1</v>
      </c>
      <c r="H88" s="75" t="s">
        <v>1</v>
      </c>
      <c r="I88" s="74" t="s">
        <v>1</v>
      </c>
      <c r="J88" s="75" t="s">
        <v>1</v>
      </c>
      <c r="K88" s="74" t="s">
        <v>1</v>
      </c>
      <c r="L88" s="75" t="s">
        <v>1</v>
      </c>
      <c r="M88" s="74" t="s">
        <v>1</v>
      </c>
      <c r="N88" s="75" t="s">
        <v>1</v>
      </c>
      <c r="O88" s="6" t="s">
        <v>1</v>
      </c>
      <c r="P88" s="9"/>
      <c r="Q88" s="9"/>
      <c r="R88" s="9"/>
      <c r="S88" s="70"/>
    </row>
    <row r="89" spans="1:20">
      <c r="A89" s="77" t="s">
        <v>77</v>
      </c>
      <c r="B89" s="29" t="s">
        <v>55</v>
      </c>
      <c r="C89" s="78">
        <f t="shared" ref="C89:N89" si="64">C90/C7</f>
        <v>712.89732780565737</v>
      </c>
      <c r="D89" s="79">
        <f t="shared" si="64"/>
        <v>665.59762760003048</v>
      </c>
      <c r="E89" s="78">
        <f t="shared" si="64"/>
        <v>649.90731356866968</v>
      </c>
      <c r="F89" s="79">
        <f t="shared" si="64"/>
        <v>644.51600273919792</v>
      </c>
      <c r="G89" s="78">
        <f t="shared" si="64"/>
        <v>679.65184718690568</v>
      </c>
      <c r="H89" s="79">
        <f t="shared" si="64"/>
        <v>655.04997311899558</v>
      </c>
      <c r="I89" s="78">
        <f t="shared" si="64"/>
        <v>666.94950324708577</v>
      </c>
      <c r="J89" s="79">
        <f t="shared" si="64"/>
        <v>652.54218635168741</v>
      </c>
      <c r="K89" s="78">
        <f t="shared" si="64"/>
        <v>620.11801518250479</v>
      </c>
      <c r="L89" s="79">
        <f t="shared" si="64"/>
        <v>626.2049228666225</v>
      </c>
      <c r="M89" s="78">
        <f t="shared" si="64"/>
        <v>633.28127933593396</v>
      </c>
      <c r="N89" s="79">
        <f t="shared" si="64"/>
        <v>712.9489986749162</v>
      </c>
      <c r="O89" s="32">
        <f>O90/O$7</f>
        <v>660.16399116396633</v>
      </c>
      <c r="P89" s="68"/>
      <c r="Q89" s="68"/>
      <c r="R89" s="39"/>
      <c r="S89" s="41"/>
    </row>
    <row r="90" spans="1:20" ht="15.75">
      <c r="A90" s="34"/>
      <c r="B90" s="35" t="s">
        <v>57</v>
      </c>
      <c r="C90" s="36">
        <f t="shared" ref="C90:N90" si="65">C9+C14+C19+C24+C34+C39+C44+C49+C54+C59+C64+C74+C84+C69+C29+C79</f>
        <v>265248.27847966284</v>
      </c>
      <c r="D90" s="37">
        <f t="shared" si="65"/>
        <v>223683.36626671455</v>
      </c>
      <c r="E90" s="36">
        <f t="shared" si="65"/>
        <v>241811.53354305506</v>
      </c>
      <c r="F90" s="37">
        <f t="shared" si="65"/>
        <v>232069.92020727432</v>
      </c>
      <c r="G90" s="36">
        <f t="shared" si="65"/>
        <v>252878.60593719984</v>
      </c>
      <c r="H90" s="37">
        <f t="shared" si="65"/>
        <v>235862.87128236907</v>
      </c>
      <c r="I90" s="36">
        <f t="shared" si="65"/>
        <v>248152.4346762349</v>
      </c>
      <c r="J90" s="37">
        <f t="shared" si="65"/>
        <v>242791.89276513216</v>
      </c>
      <c r="K90" s="36">
        <f t="shared" si="65"/>
        <v>223284.97305090251</v>
      </c>
      <c r="L90" s="37">
        <f t="shared" si="65"/>
        <v>232992.5660924094</v>
      </c>
      <c r="M90" s="36">
        <f t="shared" si="65"/>
        <v>228024.65003141295</v>
      </c>
      <c r="N90" s="37">
        <f t="shared" si="65"/>
        <v>265267.50370128156</v>
      </c>
      <c r="O90" s="67">
        <f>SUM(C90:N90)</f>
        <v>2892068.5960336491</v>
      </c>
      <c r="P90" s="80"/>
      <c r="Q90" s="68"/>
      <c r="R90" s="47"/>
      <c r="S90" s="41"/>
    </row>
    <row r="91" spans="1:20">
      <c r="A91" s="42"/>
      <c r="B91" s="35" t="s">
        <v>58</v>
      </c>
      <c r="C91" s="81">
        <f t="shared" ref="C91:N91" si="66">C92/C90</f>
        <v>0.18905035396622802</v>
      </c>
      <c r="D91" s="82">
        <f t="shared" si="66"/>
        <v>0.2103820743290124</v>
      </c>
      <c r="E91" s="81">
        <f t="shared" si="66"/>
        <v>0.22095744410359183</v>
      </c>
      <c r="F91" s="82">
        <f t="shared" si="66"/>
        <v>0.20338710352889303</v>
      </c>
      <c r="G91" s="81">
        <f t="shared" si="66"/>
        <v>0.2023246872270221</v>
      </c>
      <c r="H91" s="82">
        <f t="shared" si="66"/>
        <v>0.21125981831122101</v>
      </c>
      <c r="I91" s="81">
        <f t="shared" si="66"/>
        <v>0.21114515757068961</v>
      </c>
      <c r="J91" s="82">
        <f t="shared" si="66"/>
        <v>0.19963298362916057</v>
      </c>
      <c r="K91" s="81">
        <f t="shared" si="66"/>
        <v>0.20026645245033733</v>
      </c>
      <c r="L91" s="82">
        <f t="shared" si="66"/>
        <v>0.21300127636723043</v>
      </c>
      <c r="M91" s="81">
        <f t="shared" si="66"/>
        <v>0.21962719690677776</v>
      </c>
      <c r="N91" s="82">
        <f t="shared" si="66"/>
        <v>0.21416445348182134</v>
      </c>
      <c r="O91" s="45">
        <f>IF(O90=0,0,+O92/O90)</f>
        <v>0.2077845645747291</v>
      </c>
      <c r="P91" s="40"/>
      <c r="Q91" s="40"/>
      <c r="R91" s="40"/>
      <c r="S91" s="41"/>
    </row>
    <row r="92" spans="1:20" ht="15.75">
      <c r="A92" s="83" t="s">
        <v>467</v>
      </c>
      <c r="B92" s="35" t="s">
        <v>15</v>
      </c>
      <c r="C92" s="48">
        <f t="shared" ref="C92:N92" si="67">C11+C16+C21+C26+C36+C41+C46+C51+C56+C61+C66+C76+C86+C71+C31+C81</f>
        <v>50145.280935512885</v>
      </c>
      <c r="D92" s="49">
        <f t="shared" si="67"/>
        <v>47058.97058808765</v>
      </c>
      <c r="E92" s="48">
        <f t="shared" si="67"/>
        <v>53430.058406443408</v>
      </c>
      <c r="F92" s="49">
        <f t="shared" si="67"/>
        <v>47200.028887138847</v>
      </c>
      <c r="G92" s="48">
        <f t="shared" si="67"/>
        <v>51163.584852649328</v>
      </c>
      <c r="H92" s="49">
        <f t="shared" si="67"/>
        <v>49828.347333476195</v>
      </c>
      <c r="I92" s="48">
        <f t="shared" si="67"/>
        <v>52396.184921263877</v>
      </c>
      <c r="J92" s="49">
        <f t="shared" si="67"/>
        <v>48469.269953674535</v>
      </c>
      <c r="K92" s="48">
        <f t="shared" si="67"/>
        <v>44716.489438373421</v>
      </c>
      <c r="L92" s="49">
        <f t="shared" si="67"/>
        <v>49627.713961759495</v>
      </c>
      <c r="M92" s="48">
        <f t="shared" si="67"/>
        <v>50080.414712048223</v>
      </c>
      <c r="N92" s="49">
        <f t="shared" si="67"/>
        <v>56810.869956671981</v>
      </c>
      <c r="O92" s="50">
        <f>SUM(C92:N92)</f>
        <v>600927.21394709987</v>
      </c>
      <c r="P92" s="56"/>
      <c r="Q92" s="57"/>
      <c r="R92" s="57"/>
      <c r="S92" s="41"/>
    </row>
    <row r="93" spans="1:20" ht="13.5" thickBot="1">
      <c r="A93" s="51"/>
      <c r="B93" s="52" t="s">
        <v>59</v>
      </c>
      <c r="C93" s="53">
        <f t="shared" ref="C93:N93" si="68">C92/C7</f>
        <v>134.77349216323762</v>
      </c>
      <c r="D93" s="54">
        <f t="shared" si="68"/>
        <v>140.02980956296395</v>
      </c>
      <c r="E93" s="53">
        <f t="shared" si="68"/>
        <v>143.60185891036485</v>
      </c>
      <c r="F93" s="54">
        <f t="shared" si="68"/>
        <v>131.08624297514555</v>
      </c>
      <c r="G93" s="53">
        <f t="shared" si="68"/>
        <v>137.51034740535852</v>
      </c>
      <c r="H93" s="54">
        <f t="shared" si="68"/>
        <v>138.38573830588919</v>
      </c>
      <c r="I93" s="53">
        <f t="shared" si="68"/>
        <v>140.82315795479909</v>
      </c>
      <c r="J93" s="54">
        <f t="shared" si="68"/>
        <v>130.26894360528306</v>
      </c>
      <c r="K93" s="53">
        <f t="shared" si="68"/>
        <v>124.18883500114467</v>
      </c>
      <c r="L93" s="54">
        <f t="shared" si="68"/>
        <v>133.38244783803367</v>
      </c>
      <c r="M93" s="53">
        <f t="shared" si="68"/>
        <v>139.08579223408933</v>
      </c>
      <c r="N93" s="54">
        <f t="shared" si="68"/>
        <v>152.6883326616252</v>
      </c>
      <c r="O93" s="55">
        <f>O92/O$7</f>
        <v>137.17188745192004</v>
      </c>
      <c r="P93" s="9"/>
      <c r="Q93" s="9"/>
      <c r="R93" s="9"/>
      <c r="S93" s="70"/>
    </row>
    <row r="94" spans="1:20" ht="13.5" thickBot="1">
      <c r="A94" s="10" t="s">
        <v>1</v>
      </c>
      <c r="B94" s="73" t="s">
        <v>1</v>
      </c>
      <c r="C94" s="74" t="s">
        <v>1</v>
      </c>
      <c r="D94" s="75" t="s">
        <v>1</v>
      </c>
      <c r="E94" s="74" t="s">
        <v>1</v>
      </c>
      <c r="F94" s="75" t="s">
        <v>1</v>
      </c>
      <c r="G94" s="74" t="s">
        <v>1</v>
      </c>
      <c r="H94" s="75" t="s">
        <v>1</v>
      </c>
      <c r="I94" s="74" t="s">
        <v>1</v>
      </c>
      <c r="J94" s="75" t="s">
        <v>1</v>
      </c>
      <c r="K94" s="74" t="s">
        <v>1</v>
      </c>
      <c r="L94" s="75" t="s">
        <v>1</v>
      </c>
      <c r="M94" s="74" t="s">
        <v>1</v>
      </c>
      <c r="N94" s="75" t="s">
        <v>1</v>
      </c>
      <c r="O94" s="6" t="s">
        <v>1</v>
      </c>
      <c r="P94" s="39"/>
      <c r="Q94" s="39"/>
      <c r="R94" s="39"/>
      <c r="S94" s="41"/>
      <c r="T94" s="8"/>
    </row>
    <row r="95" spans="1:20">
      <c r="A95" s="28" t="s">
        <v>78</v>
      </c>
      <c r="B95" s="29" t="s">
        <v>15</v>
      </c>
      <c r="C95" s="84"/>
      <c r="D95" s="85"/>
      <c r="E95" s="84"/>
      <c r="F95" s="85"/>
      <c r="G95" s="84"/>
      <c r="H95" s="85"/>
      <c r="I95" s="84"/>
      <c r="J95" s="85"/>
      <c r="K95" s="84"/>
      <c r="L95" s="85"/>
      <c r="M95" s="84"/>
      <c r="N95" s="85"/>
      <c r="O95" s="86">
        <f>SUM(C95:N95)</f>
        <v>0</v>
      </c>
    </row>
    <row r="96" spans="1:20">
      <c r="A96" s="34" t="s">
        <v>79</v>
      </c>
      <c r="B96" s="87"/>
      <c r="C96" s="88"/>
      <c r="D96" s="13"/>
      <c r="E96" s="88"/>
      <c r="F96" s="13"/>
      <c r="G96" s="88"/>
      <c r="H96" s="13"/>
      <c r="I96" s="88"/>
      <c r="J96" s="13"/>
      <c r="K96" s="88"/>
      <c r="L96" s="13"/>
      <c r="M96" s="88"/>
      <c r="N96" s="13"/>
      <c r="O96" s="89"/>
    </row>
    <row r="97" spans="1:20" ht="16.5" thickBot="1">
      <c r="A97" s="83" t="s">
        <v>469</v>
      </c>
      <c r="B97" s="87"/>
      <c r="C97" s="88"/>
      <c r="D97" s="444"/>
      <c r="E97" s="88"/>
      <c r="F97" s="13"/>
      <c r="G97" s="88"/>
      <c r="H97" s="13"/>
      <c r="I97" s="88"/>
      <c r="J97" s="13"/>
      <c r="K97" s="88"/>
      <c r="L97" s="13"/>
      <c r="M97" s="88"/>
      <c r="N97" s="13"/>
      <c r="O97" s="89"/>
    </row>
    <row r="98" spans="1:20" ht="48.75" customHeight="1" thickBot="1">
      <c r="A98" s="580" t="s">
        <v>80</v>
      </c>
      <c r="B98" s="659"/>
      <c r="C98" s="659"/>
      <c r="D98" s="659"/>
      <c r="E98" s="659"/>
      <c r="F98" s="659"/>
      <c r="G98" s="659"/>
      <c r="H98" s="659"/>
      <c r="I98" s="659"/>
      <c r="J98" s="659"/>
      <c r="K98" s="659"/>
      <c r="L98" s="659"/>
      <c r="M98" s="659"/>
      <c r="N98" s="659"/>
      <c r="O98" s="657"/>
    </row>
    <row r="99" spans="1:20">
      <c r="A99" s="10" t="s">
        <v>1</v>
      </c>
      <c r="B99" s="11" t="s">
        <v>0</v>
      </c>
      <c r="C99" s="96"/>
      <c r="D99" s="97"/>
      <c r="E99" s="96"/>
      <c r="F99" s="97"/>
      <c r="G99" s="96"/>
      <c r="H99" s="97"/>
      <c r="I99" s="96"/>
      <c r="O99" s="2"/>
      <c r="S99" s="15"/>
    </row>
    <row r="100" spans="1:20" ht="15.75">
      <c r="A100" s="98" t="str">
        <f>A4</f>
        <v>2013 BUDGET</v>
      </c>
      <c r="B100" s="3"/>
      <c r="O100" s="2"/>
    </row>
    <row r="101" spans="1:20">
      <c r="A101" s="99" t="str">
        <f>A5</f>
        <v>Bid Dollars</v>
      </c>
      <c r="B101" s="3"/>
      <c r="O101" s="2"/>
      <c r="P101" s="9"/>
      <c r="Q101" s="9"/>
      <c r="R101" s="9"/>
      <c r="S101" s="9"/>
    </row>
    <row r="102" spans="1:20">
      <c r="A102" s="4"/>
      <c r="B102" s="3"/>
      <c r="C102" s="22" t="str">
        <f t="shared" ref="C102:N102" si="69">C6</f>
        <v>JAN</v>
      </c>
      <c r="D102" s="23" t="str">
        <f t="shared" si="69"/>
        <v>FEB</v>
      </c>
      <c r="E102" s="22" t="str">
        <f t="shared" si="69"/>
        <v>MAR</v>
      </c>
      <c r="F102" s="23" t="str">
        <f t="shared" si="69"/>
        <v>APR</v>
      </c>
      <c r="G102" s="22" t="str">
        <f t="shared" si="69"/>
        <v>MAY</v>
      </c>
      <c r="H102" s="23" t="str">
        <f t="shared" si="69"/>
        <v>JUNE</v>
      </c>
      <c r="I102" s="22" t="str">
        <f t="shared" si="69"/>
        <v>JULY</v>
      </c>
      <c r="J102" s="23" t="str">
        <f t="shared" si="69"/>
        <v>AUG</v>
      </c>
      <c r="K102" s="22" t="str">
        <f t="shared" si="69"/>
        <v>SEPT</v>
      </c>
      <c r="L102" s="23" t="str">
        <f t="shared" si="69"/>
        <v>OCT</v>
      </c>
      <c r="M102" s="22" t="str">
        <f t="shared" si="69"/>
        <v>NOV</v>
      </c>
      <c r="N102" s="23" t="str">
        <f t="shared" si="69"/>
        <v>DEC</v>
      </c>
      <c r="O102" s="24" t="s">
        <v>13</v>
      </c>
      <c r="P102" s="15"/>
      <c r="Q102" s="15"/>
      <c r="R102" s="15"/>
      <c r="S102" s="15"/>
    </row>
    <row r="103" spans="1:20" ht="16.5" thickBot="1">
      <c r="A103" s="19" t="s">
        <v>53</v>
      </c>
      <c r="B103" s="3"/>
      <c r="C103" s="100">
        <f>'Pumpage 2013'!G45</f>
        <v>378.51722922617199</v>
      </c>
      <c r="D103" s="101">
        <f>'Pumpage 2013'!H45</f>
        <v>411.92797277407112</v>
      </c>
      <c r="E103" s="100">
        <f>'Pumpage 2013'!I45</f>
        <v>424.06186026670576</v>
      </c>
      <c r="F103" s="101">
        <f>'Pumpage 2013'!J45</f>
        <v>421.32588957833252</v>
      </c>
      <c r="G103" s="100">
        <f>'Pumpage 2013'!K45</f>
        <v>559.52114150215846</v>
      </c>
      <c r="H103" s="101">
        <f>'Pumpage 2013'!L45</f>
        <v>759.4928403168874</v>
      </c>
      <c r="I103" s="100">
        <f>'Pumpage 2013'!M45</f>
        <v>731.72184572433207</v>
      </c>
      <c r="J103" s="101">
        <f>'Pumpage 2013'!N45</f>
        <v>788.58876694739945</v>
      </c>
      <c r="K103" s="100">
        <f>'Pumpage 2013'!O45</f>
        <v>689.7563978320494</v>
      </c>
      <c r="L103" s="101">
        <f>'Pumpage 2013'!P45</f>
        <v>708.02632312035951</v>
      </c>
      <c r="M103" s="100">
        <f>'Pumpage 2013'!Q45</f>
        <v>565.70605432560296</v>
      </c>
      <c r="N103" s="101">
        <f>'Pumpage 2013'!R45</f>
        <v>466.76189329659883</v>
      </c>
      <c r="O103" s="102">
        <f>SUM(C103:N103)</f>
        <v>6905.4082149106698</v>
      </c>
      <c r="P103" s="15"/>
      <c r="Q103" s="72"/>
      <c r="R103" s="15"/>
      <c r="S103" s="15"/>
    </row>
    <row r="104" spans="1:20">
      <c r="A104" s="28" t="s">
        <v>54</v>
      </c>
      <c r="B104" s="29" t="s">
        <v>55</v>
      </c>
      <c r="C104" s="30">
        <f>AVERAGE('Lex WTPs 2007-2010'!G55,'2011 Actual Costs'!C104)</f>
        <v>9.3520405348105164</v>
      </c>
      <c r="D104" s="31">
        <f>AVERAGE('Lex WTPs 2007-2010'!L55,'2011 Actual Costs'!D104)</f>
        <v>9.6888737853312783</v>
      </c>
      <c r="E104" s="30">
        <f>AVERAGE('Lex WTPs 2007-2010'!Q55,'2011 Actual Costs'!E104)</f>
        <v>9.5445507866034127</v>
      </c>
      <c r="F104" s="31">
        <f>AVERAGE('Lex WTPs 2007-2010'!V55,'2011 Actual Costs'!F104)</f>
        <v>4.0537906694884862</v>
      </c>
      <c r="G104" s="30">
        <f>AVERAGE('Lex WTPs 2007-2010'!AA55,'2011 Actual Costs'!G104)</f>
        <v>6.445245039673285</v>
      </c>
      <c r="H104" s="31">
        <f>AVERAGE('Lex WTPs 2007-2010'!AF55,'2011 Actual Costs'!H104)</f>
        <v>9.2642721999668165</v>
      </c>
      <c r="I104" s="30">
        <f>AVERAGE('Lex WTPs 2007-2010'!AK55,'2011 Actual Costs'!I104)</f>
        <v>9.3284665054970262</v>
      </c>
      <c r="J104" s="31">
        <f>AVERAGE('Lex WTPs 2007-2010'!AP55,'2011 Actual Costs'!J104)</f>
        <v>9.1532452987650128</v>
      </c>
      <c r="K104" s="30">
        <f>AVERAGE('Lex WTPs 2007-2010'!AU55,'2011 Actual Costs'!K104)</f>
        <v>8.8850557230995229</v>
      </c>
      <c r="L104" s="31">
        <f>AVERAGE('Lex WTPs 2007-2010'!AZ55,'2011 Actual Costs'!L104)</f>
        <v>8.8456828500475595</v>
      </c>
      <c r="M104" s="30">
        <f>AVERAGE('Lex WTPs 2007-2010'!BE55,'2011 Actual Costs'!M104)</f>
        <v>10.975064785079056</v>
      </c>
      <c r="N104" s="31">
        <f>AVERAGE('Lex WTPs 2007-2010'!BJ55,'2011 Actual Costs'!N104)</f>
        <v>9.0722803050546901</v>
      </c>
      <c r="O104" s="32">
        <f>O105/O$103</f>
        <v>8.8057962280776803</v>
      </c>
    </row>
    <row r="105" spans="1:20">
      <c r="A105" s="34" t="s">
        <v>56</v>
      </c>
      <c r="B105" s="35" t="s">
        <v>57</v>
      </c>
      <c r="C105" s="36">
        <f t="shared" ref="C105:N105" si="70">C$103*C104</f>
        <v>3539.9084708473242</v>
      </c>
      <c r="D105" s="37">
        <f t="shared" si="70"/>
        <v>3991.1181368553544</v>
      </c>
      <c r="E105" s="36">
        <f t="shared" si="70"/>
        <v>4047.4799619770929</v>
      </c>
      <c r="F105" s="37">
        <f t="shared" si="70"/>
        <v>1707.9669599865806</v>
      </c>
      <c r="G105" s="36">
        <f t="shared" si="70"/>
        <v>3606.250861859121</v>
      </c>
      <c r="H105" s="37">
        <f t="shared" si="70"/>
        <v>7036.1484066215762</v>
      </c>
      <c r="I105" s="36">
        <f t="shared" si="70"/>
        <v>6825.8427291798944</v>
      </c>
      <c r="J105" s="37">
        <f t="shared" si="70"/>
        <v>7218.1464237201826</v>
      </c>
      <c r="K105" s="36">
        <f t="shared" si="70"/>
        <v>6128.5240301021622</v>
      </c>
      <c r="L105" s="37">
        <f t="shared" si="70"/>
        <v>6262.9763038079964</v>
      </c>
      <c r="M105" s="36">
        <f t="shared" si="70"/>
        <v>6208.6605955349442</v>
      </c>
      <c r="N105" s="37">
        <f t="shared" si="70"/>
        <v>4234.5947317047721</v>
      </c>
      <c r="O105" s="38">
        <f>SUM(C105:N105)</f>
        <v>60807.617612197006</v>
      </c>
      <c r="P105" s="57"/>
      <c r="Q105" s="57"/>
      <c r="R105" s="57"/>
      <c r="S105" s="41"/>
    </row>
    <row r="106" spans="1:20" ht="15.75">
      <c r="A106" s="42"/>
      <c r="B106" s="35" t="s">
        <v>58</v>
      </c>
      <c r="C106" s="43">
        <f>C10</f>
        <v>0.56176199999999998</v>
      </c>
      <c r="D106" s="44">
        <f t="shared" ref="D106:N106" si="71">C106</f>
        <v>0.56176199999999998</v>
      </c>
      <c r="E106" s="43">
        <f t="shared" si="71"/>
        <v>0.56176199999999998</v>
      </c>
      <c r="F106" s="44">
        <f t="shared" si="71"/>
        <v>0.56176199999999998</v>
      </c>
      <c r="G106" s="43">
        <f t="shared" si="71"/>
        <v>0.56176199999999998</v>
      </c>
      <c r="H106" s="44">
        <f t="shared" si="71"/>
        <v>0.56176199999999998</v>
      </c>
      <c r="I106" s="43">
        <f t="shared" si="71"/>
        <v>0.56176199999999998</v>
      </c>
      <c r="J106" s="44">
        <f t="shared" si="71"/>
        <v>0.56176199999999998</v>
      </c>
      <c r="K106" s="43">
        <f t="shared" si="71"/>
        <v>0.56176199999999998</v>
      </c>
      <c r="L106" s="44">
        <f t="shared" si="71"/>
        <v>0.56176199999999998</v>
      </c>
      <c r="M106" s="43">
        <f t="shared" si="71"/>
        <v>0.56176199999999998</v>
      </c>
      <c r="N106" s="44">
        <f t="shared" si="71"/>
        <v>0.56176199999999998</v>
      </c>
      <c r="O106" s="45">
        <f>IF(O105=0,0,+O107/O105)</f>
        <v>0.56176199999999987</v>
      </c>
      <c r="P106" s="80"/>
      <c r="Q106" s="68"/>
      <c r="R106" s="47"/>
      <c r="S106" s="41"/>
    </row>
    <row r="107" spans="1:20">
      <c r="A107" s="42"/>
      <c r="B107" s="35" t="s">
        <v>15</v>
      </c>
      <c r="C107" s="48">
        <f t="shared" ref="C107:N107" si="72">C105*C106</f>
        <v>1988.5860624001346</v>
      </c>
      <c r="D107" s="49">
        <f t="shared" si="72"/>
        <v>2242.0585067961374</v>
      </c>
      <c r="E107" s="48">
        <f t="shared" si="72"/>
        <v>2273.7204384001757</v>
      </c>
      <c r="F107" s="49">
        <f t="shared" si="72"/>
        <v>959.47093537598141</v>
      </c>
      <c r="G107" s="48">
        <f t="shared" si="72"/>
        <v>2025.8546966597034</v>
      </c>
      <c r="H107" s="49">
        <f t="shared" si="72"/>
        <v>3952.64080120055</v>
      </c>
      <c r="I107" s="48">
        <f t="shared" si="72"/>
        <v>3834.4990632295558</v>
      </c>
      <c r="J107" s="49">
        <f t="shared" si="72"/>
        <v>4054.8803712818972</v>
      </c>
      <c r="K107" s="48">
        <f t="shared" si="72"/>
        <v>3442.7719161982509</v>
      </c>
      <c r="L107" s="49">
        <f t="shared" si="72"/>
        <v>3518.3020943797874</v>
      </c>
      <c r="M107" s="48">
        <f t="shared" si="72"/>
        <v>3487.7895934689013</v>
      </c>
      <c r="N107" s="49">
        <f t="shared" si="72"/>
        <v>2378.8344056719361</v>
      </c>
      <c r="O107" s="50">
        <f>SUM(C107:N107)</f>
        <v>34159.408885063007</v>
      </c>
      <c r="P107" s="40"/>
      <c r="Q107" s="40"/>
      <c r="R107" s="40"/>
      <c r="S107" s="41"/>
    </row>
    <row r="108" spans="1:20" ht="16.5" thickBot="1">
      <c r="A108" s="51"/>
      <c r="B108" s="52" t="s">
        <v>59</v>
      </c>
      <c r="C108" s="53">
        <f t="shared" ref="C108:O108" si="73">C107/C$103</f>
        <v>5.2536209949162256</v>
      </c>
      <c r="D108" s="54">
        <f t="shared" si="73"/>
        <v>5.4428411153952689</v>
      </c>
      <c r="E108" s="53">
        <f t="shared" si="73"/>
        <v>5.3617659389839059</v>
      </c>
      <c r="F108" s="54">
        <f t="shared" si="73"/>
        <v>2.2772655540731908</v>
      </c>
      <c r="G108" s="53">
        <f t="shared" si="73"/>
        <v>3.6206937439769438</v>
      </c>
      <c r="H108" s="54">
        <f t="shared" si="73"/>
        <v>5.204316079597759</v>
      </c>
      <c r="I108" s="53">
        <f t="shared" si="73"/>
        <v>5.2403780010610204</v>
      </c>
      <c r="J108" s="54">
        <f t="shared" si="73"/>
        <v>5.1419453855248314</v>
      </c>
      <c r="K108" s="53">
        <f t="shared" si="73"/>
        <v>4.9912866731198342</v>
      </c>
      <c r="L108" s="54">
        <f t="shared" si="73"/>
        <v>4.9691684892084167</v>
      </c>
      <c r="M108" s="53">
        <f t="shared" si="73"/>
        <v>6.1653743437955804</v>
      </c>
      <c r="N108" s="54">
        <f t="shared" si="73"/>
        <v>5.0964623287281325</v>
      </c>
      <c r="O108" s="55">
        <f t="shared" si="73"/>
        <v>4.9467617006773725</v>
      </c>
      <c r="P108" s="80"/>
      <c r="Q108" s="57"/>
      <c r="R108" s="57"/>
      <c r="S108" s="41"/>
    </row>
    <row r="109" spans="1:20">
      <c r="A109" s="28" t="s">
        <v>60</v>
      </c>
      <c r="B109" s="29" t="s">
        <v>55</v>
      </c>
      <c r="C109" s="30">
        <f>AVERAGE('Lex WTPs 2007-2010'!G50,'2011 Actual Costs'!C109)</f>
        <v>9.6685383345459286E-2</v>
      </c>
      <c r="D109" s="31">
        <f>AVERAGE('Lex WTPs 2007-2010'!L50,'2011 Actual Costs'!D109)</f>
        <v>0</v>
      </c>
      <c r="E109" s="30">
        <f>AVERAGE('Lex WTPs 2007-2010'!Q50,'2011 Actual Costs'!E109)</f>
        <v>0</v>
      </c>
      <c r="F109" s="31">
        <f>AVERAGE('Lex WTPs 2007-2010'!V50,'2011 Actual Costs'!F109)</f>
        <v>0</v>
      </c>
      <c r="G109" s="30">
        <f>AVERAGE('Lex WTPs 2007-2010'!AA50,'2011 Actual Costs'!G109)</f>
        <v>0</v>
      </c>
      <c r="H109" s="31">
        <f>AVERAGE('Lex WTPs 2007-2010'!AF50,'2011 Actual Costs'!H109)</f>
        <v>0.48902961166638931</v>
      </c>
      <c r="I109" s="30">
        <f>AVERAGE('Lex WTPs 2007-2010'!AK50,'2011 Actual Costs'!I109)</f>
        <v>0</v>
      </c>
      <c r="J109" s="31">
        <f>AVERAGE('Lex WTPs 2007-2010'!AP50,'2011 Actual Costs'!J109)</f>
        <v>0</v>
      </c>
      <c r="K109" s="30">
        <f>AVERAGE('Lex WTPs 2007-2010'!AU50,'2011 Actual Costs'!K109)</f>
        <v>2.4234101419714444</v>
      </c>
      <c r="L109" s="31">
        <f>AVERAGE('Lex WTPs 2007-2010'!AZ50,'2011 Actual Costs'!L109)</f>
        <v>1.8823492114442868</v>
      </c>
      <c r="M109" s="30">
        <f>AVERAGE('Lex WTPs 2007-2010'!BE50,'2011 Actual Costs'!M109)</f>
        <v>0</v>
      </c>
      <c r="N109" s="31">
        <f>AVERAGE('Lex WTPs 2007-2010'!BJ50,'2011 Actual Costs'!N109)</f>
        <v>0</v>
      </c>
      <c r="O109" s="32">
        <f>O110/O$103</f>
        <v>0.49415283021346951</v>
      </c>
      <c r="P109" s="58"/>
      <c r="Q109" s="58"/>
      <c r="R109" s="58"/>
      <c r="S109" s="41"/>
      <c r="T109" s="8"/>
    </row>
    <row r="110" spans="1:20">
      <c r="A110" s="34" t="s">
        <v>56</v>
      </c>
      <c r="B110" s="35" t="s">
        <v>57</v>
      </c>
      <c r="C110" s="65">
        <f t="shared" ref="C110:N110" si="74">C$103*C109</f>
        <v>36.597083410593527</v>
      </c>
      <c r="D110" s="66">
        <f t="shared" si="74"/>
        <v>0</v>
      </c>
      <c r="E110" s="65">
        <f t="shared" si="74"/>
        <v>0</v>
      </c>
      <c r="F110" s="66">
        <f t="shared" si="74"/>
        <v>0</v>
      </c>
      <c r="G110" s="65">
        <f t="shared" si="74"/>
        <v>0</v>
      </c>
      <c r="H110" s="66">
        <f t="shared" si="74"/>
        <v>371.41448876357049</v>
      </c>
      <c r="I110" s="65">
        <f t="shared" si="74"/>
        <v>0</v>
      </c>
      <c r="J110" s="66">
        <f t="shared" si="74"/>
        <v>0</v>
      </c>
      <c r="K110" s="65">
        <f t="shared" si="74"/>
        <v>1671.5626499958789</v>
      </c>
      <c r="L110" s="66">
        <f t="shared" si="74"/>
        <v>1332.7527910074066</v>
      </c>
      <c r="M110" s="65">
        <f t="shared" si="74"/>
        <v>0</v>
      </c>
      <c r="N110" s="66">
        <f t="shared" si="74"/>
        <v>0</v>
      </c>
      <c r="O110" s="67">
        <f>SUM(C110:N110)</f>
        <v>3412.3270131774498</v>
      </c>
      <c r="P110" s="57"/>
      <c r="Q110" s="57"/>
      <c r="R110" s="57"/>
      <c r="S110" s="41"/>
      <c r="T110" s="8"/>
    </row>
    <row r="111" spans="1:20" ht="15.75">
      <c r="A111" s="42"/>
      <c r="B111" s="35" t="s">
        <v>58</v>
      </c>
      <c r="C111" s="43">
        <f>'Price Changes'!D22</f>
        <v>0</v>
      </c>
      <c r="D111" s="44">
        <f t="shared" ref="D111:N111" si="75">C111</f>
        <v>0</v>
      </c>
      <c r="E111" s="43">
        <f t="shared" si="75"/>
        <v>0</v>
      </c>
      <c r="F111" s="44">
        <f t="shared" si="75"/>
        <v>0</v>
      </c>
      <c r="G111" s="43">
        <f t="shared" si="75"/>
        <v>0</v>
      </c>
      <c r="H111" s="44">
        <f t="shared" si="75"/>
        <v>0</v>
      </c>
      <c r="I111" s="43">
        <f t="shared" si="75"/>
        <v>0</v>
      </c>
      <c r="J111" s="44">
        <f t="shared" si="75"/>
        <v>0</v>
      </c>
      <c r="K111" s="43">
        <f t="shared" si="75"/>
        <v>0</v>
      </c>
      <c r="L111" s="44">
        <f t="shared" si="75"/>
        <v>0</v>
      </c>
      <c r="M111" s="43">
        <f t="shared" si="75"/>
        <v>0</v>
      </c>
      <c r="N111" s="44">
        <f t="shared" si="75"/>
        <v>0</v>
      </c>
      <c r="O111" s="45">
        <f>IF(O110=0,0,+O112/O110)</f>
        <v>0</v>
      </c>
      <c r="P111" s="46"/>
      <c r="Q111" s="47"/>
      <c r="R111" s="47"/>
      <c r="S111" s="41"/>
      <c r="T111" s="8"/>
    </row>
    <row r="112" spans="1:20">
      <c r="A112" s="42"/>
      <c r="B112" s="35" t="s">
        <v>15</v>
      </c>
      <c r="C112" s="48">
        <f t="shared" ref="C112:N112" si="76">C110*C111</f>
        <v>0</v>
      </c>
      <c r="D112" s="49">
        <f t="shared" si="76"/>
        <v>0</v>
      </c>
      <c r="E112" s="48">
        <f t="shared" si="76"/>
        <v>0</v>
      </c>
      <c r="F112" s="49">
        <f t="shared" si="76"/>
        <v>0</v>
      </c>
      <c r="G112" s="48">
        <f t="shared" si="76"/>
        <v>0</v>
      </c>
      <c r="H112" s="49">
        <f t="shared" si="76"/>
        <v>0</v>
      </c>
      <c r="I112" s="48">
        <f t="shared" si="76"/>
        <v>0</v>
      </c>
      <c r="J112" s="49">
        <f t="shared" si="76"/>
        <v>0</v>
      </c>
      <c r="K112" s="48">
        <f t="shared" si="76"/>
        <v>0</v>
      </c>
      <c r="L112" s="49">
        <f t="shared" si="76"/>
        <v>0</v>
      </c>
      <c r="M112" s="48">
        <f t="shared" si="76"/>
        <v>0</v>
      </c>
      <c r="N112" s="49">
        <f t="shared" si="76"/>
        <v>0</v>
      </c>
      <c r="O112" s="50">
        <f>SUM(C112:N112)</f>
        <v>0</v>
      </c>
      <c r="P112" s="40"/>
      <c r="Q112" s="40"/>
      <c r="R112" s="40"/>
      <c r="S112" s="41"/>
      <c r="T112" s="8"/>
    </row>
    <row r="113" spans="1:20" ht="16.5" thickBot="1">
      <c r="A113" s="51"/>
      <c r="B113" s="52" t="s">
        <v>59</v>
      </c>
      <c r="C113" s="53">
        <f t="shared" ref="C113:O113" si="77">C112/C$103</f>
        <v>0</v>
      </c>
      <c r="D113" s="54">
        <f t="shared" si="77"/>
        <v>0</v>
      </c>
      <c r="E113" s="53">
        <f t="shared" si="77"/>
        <v>0</v>
      </c>
      <c r="F113" s="54">
        <f t="shared" si="77"/>
        <v>0</v>
      </c>
      <c r="G113" s="53">
        <f t="shared" si="77"/>
        <v>0</v>
      </c>
      <c r="H113" s="54">
        <f t="shared" si="77"/>
        <v>0</v>
      </c>
      <c r="I113" s="53">
        <f t="shared" si="77"/>
        <v>0</v>
      </c>
      <c r="J113" s="54">
        <f t="shared" si="77"/>
        <v>0</v>
      </c>
      <c r="K113" s="53">
        <f t="shared" si="77"/>
        <v>0</v>
      </c>
      <c r="L113" s="54">
        <f t="shared" si="77"/>
        <v>0</v>
      </c>
      <c r="M113" s="53">
        <f t="shared" si="77"/>
        <v>0</v>
      </c>
      <c r="N113" s="54">
        <f t="shared" si="77"/>
        <v>0</v>
      </c>
      <c r="O113" s="55">
        <f t="shared" si="77"/>
        <v>0</v>
      </c>
      <c r="P113" s="56"/>
      <c r="Q113" s="57"/>
      <c r="R113" s="57"/>
      <c r="S113" s="41"/>
      <c r="T113" s="8"/>
    </row>
    <row r="114" spans="1:20">
      <c r="A114" s="28" t="s">
        <v>61</v>
      </c>
      <c r="B114" s="29" t="s">
        <v>55</v>
      </c>
      <c r="C114" s="30">
        <f>AVERAGE('Lex WTPs 2007-2010'!G48,'2011 Actual Costs'!C114)</f>
        <v>46.742256886564178</v>
      </c>
      <c r="D114" s="31">
        <f>AVERAGE('Lex WTPs 2007-2010'!L48,'2011 Actual Costs'!D114)</f>
        <v>47.358507126366163</v>
      </c>
      <c r="E114" s="30">
        <f>AVERAGE('Lex WTPs 2007-2010'!Q48,'2011 Actual Costs'!E114)</f>
        <v>48.688856248043088</v>
      </c>
      <c r="F114" s="31">
        <f>AVERAGE('Lex WTPs 2007-2010'!V48,'2011 Actual Costs'!F114)</f>
        <v>49.686461885019902</v>
      </c>
      <c r="G114" s="30">
        <f>AVERAGE('Lex WTPs 2007-2010'!AA48,'2011 Actual Costs'!G114)</f>
        <v>51.261845187529673</v>
      </c>
      <c r="H114" s="31">
        <f>AVERAGE('Lex WTPs 2007-2010'!AF48,'2011 Actual Costs'!H114)</f>
        <v>56.220704559289409</v>
      </c>
      <c r="I114" s="30">
        <f>AVERAGE('Lex WTPs 2007-2010'!AK48,'2011 Actual Costs'!I114)</f>
        <v>60.718612581510662</v>
      </c>
      <c r="J114" s="31">
        <f>AVERAGE('Lex WTPs 2007-2010'!AP48,'2011 Actual Costs'!J114)</f>
        <v>62.356775157625066</v>
      </c>
      <c r="K114" s="30">
        <f>AVERAGE('Lex WTPs 2007-2010'!AU48,'2011 Actual Costs'!K114)</f>
        <v>63.620247332443512</v>
      </c>
      <c r="L114" s="31">
        <f>AVERAGE('Lex WTPs 2007-2010'!AZ48,'2011 Actual Costs'!L114)</f>
        <v>58.281686872430569</v>
      </c>
      <c r="M114" s="30">
        <f>AVERAGE('Lex WTPs 2007-2010'!BE48,'2011 Actual Costs'!M114)</f>
        <v>54.263370471911202</v>
      </c>
      <c r="N114" s="31">
        <f>AVERAGE('Lex WTPs 2007-2010'!BJ48,'2011 Actual Costs'!N114)</f>
        <v>49.401719686269544</v>
      </c>
      <c r="O114" s="32">
        <f>O115/O$103</f>
        <v>55.4159878939641</v>
      </c>
    </row>
    <row r="115" spans="1:20">
      <c r="A115" s="34" t="s">
        <v>56</v>
      </c>
      <c r="B115" s="35" t="s">
        <v>57</v>
      </c>
      <c r="C115" s="36">
        <f t="shared" ref="C115:N115" si="78">C$103*C114</f>
        <v>17692.749564480229</v>
      </c>
      <c r="D115" s="37">
        <f t="shared" si="78"/>
        <v>19508.293834170414</v>
      </c>
      <c r="E115" s="36">
        <f t="shared" si="78"/>
        <v>20647.086954803373</v>
      </c>
      <c r="F115" s="37">
        <f t="shared" si="78"/>
        <v>20934.192753705924</v>
      </c>
      <c r="G115" s="36">
        <f t="shared" si="78"/>
        <v>28682.086134833531</v>
      </c>
      <c r="H115" s="37">
        <f t="shared" si="78"/>
        <v>42699.222590351295</v>
      </c>
      <c r="I115" s="36">
        <f t="shared" si="78"/>
        <v>44429.135267963633</v>
      </c>
      <c r="J115" s="37">
        <f t="shared" si="78"/>
        <v>49173.852432367778</v>
      </c>
      <c r="K115" s="36">
        <f t="shared" si="78"/>
        <v>43882.472629210286</v>
      </c>
      <c r="L115" s="37">
        <f t="shared" si="78"/>
        <v>41264.968461539138</v>
      </c>
      <c r="M115" s="36">
        <f t="shared" si="78"/>
        <v>30697.117204073318</v>
      </c>
      <c r="N115" s="37">
        <f t="shared" si="78"/>
        <v>23058.84021287103</v>
      </c>
      <c r="O115" s="38">
        <f>SUM(C115:N115)</f>
        <v>382670.01804036991</v>
      </c>
      <c r="P115" s="57"/>
      <c r="Q115" s="47"/>
      <c r="R115" s="57"/>
      <c r="S115" s="41"/>
      <c r="T115" s="8"/>
    </row>
    <row r="116" spans="1:20" ht="15.75">
      <c r="A116" s="42"/>
      <c r="B116" s="35" t="s">
        <v>58</v>
      </c>
      <c r="C116" s="43">
        <f>C20</f>
        <v>0.21000000000000002</v>
      </c>
      <c r="D116" s="44">
        <f t="shared" ref="D116:N116" si="79">C116</f>
        <v>0.21000000000000002</v>
      </c>
      <c r="E116" s="43">
        <f t="shared" si="79"/>
        <v>0.21000000000000002</v>
      </c>
      <c r="F116" s="44">
        <f t="shared" si="79"/>
        <v>0.21000000000000002</v>
      </c>
      <c r="G116" s="43">
        <f t="shared" si="79"/>
        <v>0.21000000000000002</v>
      </c>
      <c r="H116" s="44">
        <f t="shared" si="79"/>
        <v>0.21000000000000002</v>
      </c>
      <c r="I116" s="43">
        <f t="shared" si="79"/>
        <v>0.21000000000000002</v>
      </c>
      <c r="J116" s="44">
        <f t="shared" si="79"/>
        <v>0.21000000000000002</v>
      </c>
      <c r="K116" s="43">
        <f t="shared" si="79"/>
        <v>0.21000000000000002</v>
      </c>
      <c r="L116" s="44">
        <f t="shared" si="79"/>
        <v>0.21000000000000002</v>
      </c>
      <c r="M116" s="43">
        <f t="shared" si="79"/>
        <v>0.21000000000000002</v>
      </c>
      <c r="N116" s="44">
        <f t="shared" si="79"/>
        <v>0.21000000000000002</v>
      </c>
      <c r="O116" s="45">
        <f>IF(O115=0,0,+O117/O115)</f>
        <v>0.21000000000000005</v>
      </c>
      <c r="P116" s="46"/>
      <c r="Q116" s="47"/>
      <c r="R116" s="47"/>
      <c r="S116" s="41"/>
      <c r="T116" s="8"/>
    </row>
    <row r="117" spans="1:20">
      <c r="A117" s="42"/>
      <c r="B117" s="35" t="s">
        <v>15</v>
      </c>
      <c r="C117" s="48">
        <f t="shared" ref="C117:N117" si="80">C115*C116</f>
        <v>3715.4774085408485</v>
      </c>
      <c r="D117" s="49">
        <f t="shared" si="80"/>
        <v>4096.7417051757875</v>
      </c>
      <c r="E117" s="48">
        <f t="shared" si="80"/>
        <v>4335.8882605087092</v>
      </c>
      <c r="F117" s="49">
        <f t="shared" si="80"/>
        <v>4396.1804782782447</v>
      </c>
      <c r="G117" s="48">
        <f t="shared" si="80"/>
        <v>6023.2380883150418</v>
      </c>
      <c r="H117" s="49">
        <f t="shared" si="80"/>
        <v>8966.8367439737722</v>
      </c>
      <c r="I117" s="48">
        <f t="shared" si="80"/>
        <v>9330.1184062723642</v>
      </c>
      <c r="J117" s="49">
        <f t="shared" si="80"/>
        <v>10326.509010797234</v>
      </c>
      <c r="K117" s="48">
        <f t="shared" si="80"/>
        <v>9215.3192521341607</v>
      </c>
      <c r="L117" s="49">
        <f t="shared" si="80"/>
        <v>8665.643376923219</v>
      </c>
      <c r="M117" s="48">
        <f t="shared" si="80"/>
        <v>6446.3946128553971</v>
      </c>
      <c r="N117" s="49">
        <f t="shared" si="80"/>
        <v>4842.3564447029166</v>
      </c>
      <c r="O117" s="50">
        <f>SUM(C117:N117)</f>
        <v>80360.703788477695</v>
      </c>
      <c r="P117" s="40"/>
      <c r="Q117" s="40"/>
      <c r="R117" s="40"/>
      <c r="S117" s="41"/>
    </row>
    <row r="118" spans="1:20" ht="16.5" thickBot="1">
      <c r="A118" s="51"/>
      <c r="B118" s="52" t="s">
        <v>59</v>
      </c>
      <c r="C118" s="53">
        <f t="shared" ref="C118:O118" si="81">C117/C$103</f>
        <v>9.8158739461784776</v>
      </c>
      <c r="D118" s="54">
        <f t="shared" si="81"/>
        <v>9.9452864965368963</v>
      </c>
      <c r="E118" s="53">
        <f t="shared" si="81"/>
        <v>10.224659812089051</v>
      </c>
      <c r="F118" s="54">
        <f t="shared" si="81"/>
        <v>10.434156995854181</v>
      </c>
      <c r="G118" s="53">
        <f t="shared" si="81"/>
        <v>10.764987489381232</v>
      </c>
      <c r="H118" s="54">
        <f t="shared" si="81"/>
        <v>11.806347957450777</v>
      </c>
      <c r="I118" s="53">
        <f t="shared" si="81"/>
        <v>12.75090864211724</v>
      </c>
      <c r="J118" s="54">
        <f t="shared" si="81"/>
        <v>13.094922783101264</v>
      </c>
      <c r="K118" s="53">
        <f t="shared" si="81"/>
        <v>13.360251939813137</v>
      </c>
      <c r="L118" s="54">
        <f t="shared" si="81"/>
        <v>12.239154243210418</v>
      </c>
      <c r="M118" s="53">
        <f t="shared" si="81"/>
        <v>11.395307799101353</v>
      </c>
      <c r="N118" s="54">
        <f t="shared" si="81"/>
        <v>10.374361134116604</v>
      </c>
      <c r="O118" s="55">
        <f t="shared" si="81"/>
        <v>11.637357457732463</v>
      </c>
      <c r="P118" s="56"/>
      <c r="Q118" s="57"/>
      <c r="R118" s="57"/>
      <c r="S118" s="41"/>
    </row>
    <row r="119" spans="1:20">
      <c r="A119" s="28" t="s">
        <v>62</v>
      </c>
      <c r="B119" s="29" t="s">
        <v>55</v>
      </c>
      <c r="C119" s="30">
        <v>0</v>
      </c>
      <c r="D119" s="31">
        <v>0</v>
      </c>
      <c r="E119" s="30">
        <v>0</v>
      </c>
      <c r="F119" s="31">
        <v>0</v>
      </c>
      <c r="G119" s="30">
        <v>0</v>
      </c>
      <c r="H119" s="31">
        <v>0</v>
      </c>
      <c r="I119" s="30">
        <v>0</v>
      </c>
      <c r="J119" s="31">
        <v>0</v>
      </c>
      <c r="K119" s="30">
        <v>0</v>
      </c>
      <c r="L119" s="31">
        <v>0</v>
      </c>
      <c r="M119" s="30">
        <v>0</v>
      </c>
      <c r="N119" s="31">
        <v>0</v>
      </c>
      <c r="O119" s="32">
        <f>O120/O$103</f>
        <v>0</v>
      </c>
    </row>
    <row r="120" spans="1:20">
      <c r="A120" s="34" t="s">
        <v>56</v>
      </c>
      <c r="B120" s="35" t="s">
        <v>57</v>
      </c>
      <c r="C120" s="65">
        <f t="shared" ref="C120:N120" si="82">C$103*C119</f>
        <v>0</v>
      </c>
      <c r="D120" s="66">
        <f t="shared" si="82"/>
        <v>0</v>
      </c>
      <c r="E120" s="65">
        <f t="shared" si="82"/>
        <v>0</v>
      </c>
      <c r="F120" s="66">
        <f t="shared" si="82"/>
        <v>0</v>
      </c>
      <c r="G120" s="65">
        <f t="shared" si="82"/>
        <v>0</v>
      </c>
      <c r="H120" s="66">
        <f t="shared" si="82"/>
        <v>0</v>
      </c>
      <c r="I120" s="65">
        <f t="shared" si="82"/>
        <v>0</v>
      </c>
      <c r="J120" s="66">
        <f t="shared" si="82"/>
        <v>0</v>
      </c>
      <c r="K120" s="65">
        <f t="shared" si="82"/>
        <v>0</v>
      </c>
      <c r="L120" s="66">
        <f t="shared" si="82"/>
        <v>0</v>
      </c>
      <c r="M120" s="65">
        <f t="shared" si="82"/>
        <v>0</v>
      </c>
      <c r="N120" s="66">
        <f t="shared" si="82"/>
        <v>0</v>
      </c>
      <c r="O120" s="67">
        <f>SUM(C120:N120)</f>
        <v>0</v>
      </c>
      <c r="P120" s="60"/>
      <c r="Q120" s="57"/>
      <c r="R120" s="57"/>
      <c r="S120" s="41"/>
      <c r="T120" s="8"/>
    </row>
    <row r="121" spans="1:20" ht="15.75">
      <c r="A121" s="42"/>
      <c r="B121" s="35" t="s">
        <v>58</v>
      </c>
      <c r="C121" s="43">
        <f>C25</f>
        <v>0.72719999999999996</v>
      </c>
      <c r="D121" s="44">
        <f t="shared" ref="D121:N121" si="83">C121</f>
        <v>0.72719999999999996</v>
      </c>
      <c r="E121" s="43">
        <f t="shared" si="83"/>
        <v>0.72719999999999996</v>
      </c>
      <c r="F121" s="44">
        <f t="shared" si="83"/>
        <v>0.72719999999999996</v>
      </c>
      <c r="G121" s="43">
        <f t="shared" si="83"/>
        <v>0.72719999999999996</v>
      </c>
      <c r="H121" s="44">
        <f t="shared" si="83"/>
        <v>0.72719999999999996</v>
      </c>
      <c r="I121" s="43">
        <f t="shared" si="83"/>
        <v>0.72719999999999996</v>
      </c>
      <c r="J121" s="44">
        <f t="shared" si="83"/>
        <v>0.72719999999999996</v>
      </c>
      <c r="K121" s="43">
        <f t="shared" si="83"/>
        <v>0.72719999999999996</v>
      </c>
      <c r="L121" s="44">
        <f t="shared" si="83"/>
        <v>0.72719999999999996</v>
      </c>
      <c r="M121" s="43">
        <f t="shared" si="83"/>
        <v>0.72719999999999996</v>
      </c>
      <c r="N121" s="44">
        <f t="shared" si="83"/>
        <v>0.72719999999999996</v>
      </c>
      <c r="O121" s="45">
        <f>IF(O120=0,0,+O122/O120)</f>
        <v>0</v>
      </c>
      <c r="P121" s="46"/>
      <c r="Q121" s="47"/>
      <c r="R121" s="47"/>
      <c r="S121" s="41"/>
      <c r="T121" s="8"/>
    </row>
    <row r="122" spans="1:20">
      <c r="A122" s="42"/>
      <c r="B122" s="35" t="s">
        <v>15</v>
      </c>
      <c r="C122" s="48">
        <f t="shared" ref="C122:N122" si="84">C120*C121</f>
        <v>0</v>
      </c>
      <c r="D122" s="49">
        <f t="shared" si="84"/>
        <v>0</v>
      </c>
      <c r="E122" s="48">
        <f t="shared" si="84"/>
        <v>0</v>
      </c>
      <c r="F122" s="49">
        <f t="shared" si="84"/>
        <v>0</v>
      </c>
      <c r="G122" s="48">
        <f t="shared" si="84"/>
        <v>0</v>
      </c>
      <c r="H122" s="49">
        <f t="shared" si="84"/>
        <v>0</v>
      </c>
      <c r="I122" s="48">
        <f t="shared" si="84"/>
        <v>0</v>
      </c>
      <c r="J122" s="49">
        <f t="shared" si="84"/>
        <v>0</v>
      </c>
      <c r="K122" s="48">
        <f t="shared" si="84"/>
        <v>0</v>
      </c>
      <c r="L122" s="49">
        <f t="shared" si="84"/>
        <v>0</v>
      </c>
      <c r="M122" s="48">
        <f t="shared" si="84"/>
        <v>0</v>
      </c>
      <c r="N122" s="49">
        <f t="shared" si="84"/>
        <v>0</v>
      </c>
      <c r="O122" s="50">
        <f>SUM(C122:N122)</f>
        <v>0</v>
      </c>
      <c r="P122" s="40"/>
      <c r="Q122" s="40"/>
      <c r="R122" s="40"/>
      <c r="S122" s="41"/>
      <c r="T122" s="8"/>
    </row>
    <row r="123" spans="1:20" ht="16.5" thickBot="1">
      <c r="A123" s="51"/>
      <c r="B123" s="52" t="s">
        <v>59</v>
      </c>
      <c r="C123" s="53">
        <f t="shared" ref="C123:O123" si="85">C122/C$103</f>
        <v>0</v>
      </c>
      <c r="D123" s="54">
        <f t="shared" si="85"/>
        <v>0</v>
      </c>
      <c r="E123" s="53">
        <f t="shared" si="85"/>
        <v>0</v>
      </c>
      <c r="F123" s="54">
        <f t="shared" si="85"/>
        <v>0</v>
      </c>
      <c r="G123" s="53">
        <f t="shared" si="85"/>
        <v>0</v>
      </c>
      <c r="H123" s="54">
        <f t="shared" si="85"/>
        <v>0</v>
      </c>
      <c r="I123" s="53">
        <f t="shared" si="85"/>
        <v>0</v>
      </c>
      <c r="J123" s="54">
        <f t="shared" si="85"/>
        <v>0</v>
      </c>
      <c r="K123" s="53">
        <f t="shared" si="85"/>
        <v>0</v>
      </c>
      <c r="L123" s="54">
        <f t="shared" si="85"/>
        <v>0</v>
      </c>
      <c r="M123" s="53">
        <f t="shared" si="85"/>
        <v>0</v>
      </c>
      <c r="N123" s="54">
        <f t="shared" si="85"/>
        <v>0</v>
      </c>
      <c r="O123" s="55">
        <f t="shared" si="85"/>
        <v>0</v>
      </c>
      <c r="P123" s="56"/>
      <c r="Q123" s="57"/>
      <c r="R123" s="57"/>
      <c r="S123" s="41"/>
    </row>
    <row r="124" spans="1:20">
      <c r="A124" s="181" t="s">
        <v>63</v>
      </c>
      <c r="B124" s="29" t="s">
        <v>55</v>
      </c>
      <c r="C124" s="30">
        <f>AVERAGE('Lex WTPs 2007-2010'!G47,'2011 Actual Costs'!C124)</f>
        <v>29.338911239523537</v>
      </c>
      <c r="D124" s="31">
        <f>AVERAGE('Lex WTPs 2007-2010'!L47,'2011 Actual Costs'!D124)</f>
        <v>32.173082213564683</v>
      </c>
      <c r="E124" s="30">
        <f>AVERAGE('Lex WTPs 2007-2010'!Q47,'2011 Actual Costs'!E124)</f>
        <v>29.024973809338245</v>
      </c>
      <c r="F124" s="31">
        <f>AVERAGE('Lex WTPs 2007-2010'!V47,'2011 Actual Costs'!F124)</f>
        <v>26.498415648351738</v>
      </c>
      <c r="G124" s="30">
        <f>AVERAGE('Lex WTPs 2007-2010'!AA47,'2011 Actual Costs'!G124)</f>
        <v>29.023853117219765</v>
      </c>
      <c r="H124" s="31">
        <f>AVERAGE('Lex WTPs 2007-2010'!AF47,'2011 Actual Costs'!H124)</f>
        <v>27.813999638854789</v>
      </c>
      <c r="I124" s="30">
        <f>AVERAGE('Lex WTPs 2007-2010'!AK47,'2011 Actual Costs'!I124)</f>
        <v>28.191082536990052</v>
      </c>
      <c r="J124" s="31">
        <f>AVERAGE('Lex WTPs 2007-2010'!AP47,'2011 Actual Costs'!J124)</f>
        <v>26.977882317580296</v>
      </c>
      <c r="K124" s="30">
        <f>AVERAGE('Lex WTPs 2007-2010'!AU47,'2011 Actual Costs'!K124)</f>
        <v>27.728304856773118</v>
      </c>
      <c r="L124" s="31">
        <f>AVERAGE('Lex WTPs 2007-2010'!AZ47,'2011 Actual Costs'!L124)</f>
        <v>28.489139546779086</v>
      </c>
      <c r="M124" s="30">
        <f>AVERAGE('Lex WTPs 2007-2010'!BE47,'2011 Actual Costs'!M124)</f>
        <v>29.35999868437883</v>
      </c>
      <c r="N124" s="31">
        <f>AVERAGE('Lex WTPs 2007-2010'!BJ47,'2011 Actual Costs'!N124)</f>
        <v>31.782351662416978</v>
      </c>
      <c r="O124" s="32">
        <f>O125/O$103</f>
        <v>28.649770970409048</v>
      </c>
    </row>
    <row r="125" spans="1:20">
      <c r="A125" s="34" t="s">
        <v>64</v>
      </c>
      <c r="B125" s="35" t="s">
        <v>57</v>
      </c>
      <c r="C125" s="36">
        <f t="shared" ref="C125:N125" si="86">C$103*C124</f>
        <v>11105.283390897044</v>
      </c>
      <c r="D125" s="37">
        <f t="shared" si="86"/>
        <v>13252.992534127225</v>
      </c>
      <c r="E125" s="36">
        <f t="shared" si="86"/>
        <v>12308.38438778039</v>
      </c>
      <c r="F125" s="37">
        <f t="shared" si="86"/>
        <v>11164.468545458203</v>
      </c>
      <c r="G125" s="36">
        <f t="shared" si="86"/>
        <v>16239.459426937783</v>
      </c>
      <c r="H125" s="37">
        <f t="shared" si="86"/>
        <v>21124.533586286703</v>
      </c>
      <c r="I125" s="36">
        <f t="shared" si="86"/>
        <v>20628.030946933348</v>
      </c>
      <c r="J125" s="37">
        <f t="shared" si="86"/>
        <v>21274.454951672695</v>
      </c>
      <c r="K125" s="36">
        <f t="shared" si="86"/>
        <v>19125.775675996745</v>
      </c>
      <c r="L125" s="37">
        <f t="shared" si="86"/>
        <v>20171.060722168822</v>
      </c>
      <c r="M125" s="36">
        <f t="shared" si="86"/>
        <v>16609.12901074484</v>
      </c>
      <c r="N125" s="37">
        <f t="shared" si="86"/>
        <v>14834.790635368054</v>
      </c>
      <c r="O125" s="38">
        <f>SUM(C125:N125)</f>
        <v>197838.36381437187</v>
      </c>
    </row>
    <row r="126" spans="1:20">
      <c r="A126" s="34"/>
      <c r="B126" s="35" t="s">
        <v>58</v>
      </c>
      <c r="C126" s="43">
        <f>'Price Changes'!D25</f>
        <v>0.3528</v>
      </c>
      <c r="D126" s="44">
        <f t="shared" ref="D126:N126" si="87">C126</f>
        <v>0.3528</v>
      </c>
      <c r="E126" s="43">
        <f t="shared" si="87"/>
        <v>0.3528</v>
      </c>
      <c r="F126" s="44">
        <f t="shared" si="87"/>
        <v>0.3528</v>
      </c>
      <c r="G126" s="43">
        <f t="shared" si="87"/>
        <v>0.3528</v>
      </c>
      <c r="H126" s="44">
        <f t="shared" si="87"/>
        <v>0.3528</v>
      </c>
      <c r="I126" s="43">
        <f t="shared" si="87"/>
        <v>0.3528</v>
      </c>
      <c r="J126" s="44">
        <f t="shared" si="87"/>
        <v>0.3528</v>
      </c>
      <c r="K126" s="43">
        <f t="shared" si="87"/>
        <v>0.3528</v>
      </c>
      <c r="L126" s="44">
        <f t="shared" si="87"/>
        <v>0.3528</v>
      </c>
      <c r="M126" s="43">
        <f t="shared" si="87"/>
        <v>0.3528</v>
      </c>
      <c r="N126" s="44">
        <f t="shared" si="87"/>
        <v>0.3528</v>
      </c>
      <c r="O126" s="45">
        <f>IF(O125=0,0,+O127/O125)</f>
        <v>0.3528</v>
      </c>
    </row>
    <row r="127" spans="1:20">
      <c r="A127" s="42"/>
      <c r="B127" s="35" t="s">
        <v>15</v>
      </c>
      <c r="C127" s="48">
        <f t="shared" ref="C127:N127" si="88">C125*C126</f>
        <v>3917.9439803084774</v>
      </c>
      <c r="D127" s="49">
        <f t="shared" si="88"/>
        <v>4675.6557660400849</v>
      </c>
      <c r="E127" s="48">
        <f t="shared" si="88"/>
        <v>4342.3980120089218</v>
      </c>
      <c r="F127" s="49">
        <f t="shared" si="88"/>
        <v>3938.8245028376541</v>
      </c>
      <c r="G127" s="48">
        <f t="shared" si="88"/>
        <v>5729.2812858236503</v>
      </c>
      <c r="H127" s="49">
        <f t="shared" si="88"/>
        <v>7452.735449241949</v>
      </c>
      <c r="I127" s="48">
        <f t="shared" si="88"/>
        <v>7277.5693180780854</v>
      </c>
      <c r="J127" s="49">
        <f t="shared" si="88"/>
        <v>7505.6277069501266</v>
      </c>
      <c r="K127" s="48">
        <f t="shared" si="88"/>
        <v>6747.5736584916522</v>
      </c>
      <c r="L127" s="49">
        <f t="shared" si="88"/>
        <v>7116.3502227811605</v>
      </c>
      <c r="M127" s="48">
        <f t="shared" si="88"/>
        <v>5859.7007149907795</v>
      </c>
      <c r="N127" s="49">
        <f t="shared" si="88"/>
        <v>5233.7141361578497</v>
      </c>
      <c r="O127" s="50">
        <f>SUM(C127:N127)</f>
        <v>69797.374753710392</v>
      </c>
    </row>
    <row r="128" spans="1:20" ht="13.5" thickBot="1">
      <c r="A128" s="51"/>
      <c r="B128" s="52" t="s">
        <v>59</v>
      </c>
      <c r="C128" s="53">
        <f t="shared" ref="C128:O128" si="89">C127/C$103</f>
        <v>10.350767885303904</v>
      </c>
      <c r="D128" s="54">
        <f t="shared" si="89"/>
        <v>11.350663404945621</v>
      </c>
      <c r="E128" s="53">
        <f t="shared" si="89"/>
        <v>10.240010759934535</v>
      </c>
      <c r="F128" s="54">
        <f t="shared" si="89"/>
        <v>9.3486410407384941</v>
      </c>
      <c r="G128" s="53">
        <f t="shared" si="89"/>
        <v>10.239615379755135</v>
      </c>
      <c r="H128" s="54">
        <f t="shared" si="89"/>
        <v>9.8127790725879702</v>
      </c>
      <c r="I128" s="53">
        <f t="shared" si="89"/>
        <v>9.9458139190500905</v>
      </c>
      <c r="J128" s="54">
        <f t="shared" si="89"/>
        <v>9.5177968816423277</v>
      </c>
      <c r="K128" s="53">
        <f t="shared" si="89"/>
        <v>9.7825459534695565</v>
      </c>
      <c r="L128" s="54">
        <f t="shared" si="89"/>
        <v>10.050968432103662</v>
      </c>
      <c r="M128" s="53">
        <f t="shared" si="89"/>
        <v>10.35820753584885</v>
      </c>
      <c r="N128" s="54">
        <f t="shared" si="89"/>
        <v>11.212813666500711</v>
      </c>
      <c r="O128" s="55">
        <f t="shared" si="89"/>
        <v>10.107639198360312</v>
      </c>
    </row>
    <row r="129" spans="1:20">
      <c r="A129" s="28" t="s">
        <v>65</v>
      </c>
      <c r="B129" s="29" t="s">
        <v>55</v>
      </c>
      <c r="C129" s="30">
        <f>AVERAGE('Lex WTPs 2007-2010'!G59,'2011 Actual Costs'!C129)</f>
        <v>1.4446546099600537</v>
      </c>
      <c r="D129" s="31">
        <f>AVERAGE('Lex WTPs 2007-2010'!L59,'2011 Actual Costs'!D129)</f>
        <v>17.025453196162569</v>
      </c>
      <c r="E129" s="30">
        <f>AVERAGE('Lex WTPs 2007-2010'!Q59,'2011 Actual Costs'!E129)</f>
        <v>31.519173100236078</v>
      </c>
      <c r="F129" s="31">
        <f>AVERAGE('Lex WTPs 2007-2010'!V59,'2011 Actual Costs'!F129)</f>
        <v>0</v>
      </c>
      <c r="G129" s="30">
        <f>AVERAGE('Lex WTPs 2007-2010'!AA59,'2011 Actual Costs'!G129)</f>
        <v>6.134813394742114</v>
      </c>
      <c r="H129" s="31">
        <f>AVERAGE('Lex WTPs 2007-2010'!AF59,'2011 Actual Costs'!H129)</f>
        <v>6.9076820487103481</v>
      </c>
      <c r="I129" s="30">
        <f>AVERAGE('Lex WTPs 2007-2010'!AK59,'2011 Actual Costs'!I129)</f>
        <v>32.347857645832967</v>
      </c>
      <c r="J129" s="31">
        <f>AVERAGE('Lex WTPs 2007-2010'!AP59,'2011 Actual Costs'!J129)</f>
        <v>152.15375357317768</v>
      </c>
      <c r="K129" s="30">
        <f>AVERAGE('Lex WTPs 2007-2010'!AU59,'2011 Actual Costs'!K129)</f>
        <v>144.08008295992269</v>
      </c>
      <c r="L129" s="31">
        <f>AVERAGE('Lex WTPs 2007-2010'!AZ59,'2011 Actual Costs'!L129)</f>
        <v>197.98274142103273</v>
      </c>
      <c r="M129" s="30">
        <f>AVERAGE('Lex WTPs 2007-2010'!BE59,'2011 Actual Costs'!M129)</f>
        <v>112.9914098208538</v>
      </c>
      <c r="N129" s="31">
        <f>AVERAGE('Lex WTPs 2007-2010'!BJ59,'2011 Actual Costs'!N129)</f>
        <v>6.9104278239115553</v>
      </c>
      <c r="O129" s="32">
        <f>O130/O$103</f>
        <v>69.505526633899265</v>
      </c>
    </row>
    <row r="130" spans="1:20">
      <c r="A130" s="34" t="s">
        <v>56</v>
      </c>
      <c r="B130" s="35" t="s">
        <v>57</v>
      </c>
      <c r="C130" s="36">
        <f t="shared" ref="C130:N130" si="90">C$103*C129</f>
        <v>546.82666015089569</v>
      </c>
      <c r="D130" s="37">
        <f t="shared" si="90"/>
        <v>7013.2604206550768</v>
      </c>
      <c r="E130" s="36">
        <f t="shared" si="90"/>
        <v>13366.079178954422</v>
      </c>
      <c r="F130" s="37">
        <f t="shared" si="90"/>
        <v>0</v>
      </c>
      <c r="G130" s="36">
        <f t="shared" si="90"/>
        <v>3432.5577935288393</v>
      </c>
      <c r="H130" s="37">
        <f t="shared" si="90"/>
        <v>5246.3350591809976</v>
      </c>
      <c r="I130" s="36">
        <f t="shared" si="90"/>
        <v>23669.634101836848</v>
      </c>
      <c r="J130" s="37">
        <f t="shared" si="90"/>
        <v>119986.74091669066</v>
      </c>
      <c r="K130" s="36">
        <f t="shared" si="90"/>
        <v>99380.159021779124</v>
      </c>
      <c r="L130" s="37">
        <f t="shared" si="90"/>
        <v>140176.99244962269</v>
      </c>
      <c r="M130" s="36">
        <f t="shared" si="90"/>
        <v>63919.924622442391</v>
      </c>
      <c r="N130" s="37">
        <f t="shared" si="90"/>
        <v>3225.5243745784528</v>
      </c>
      <c r="O130" s="38">
        <f>SUM(C130:N130)</f>
        <v>479964.03459942038</v>
      </c>
      <c r="P130" s="57"/>
      <c r="Q130" s="57"/>
      <c r="R130" s="57"/>
      <c r="S130" s="41"/>
      <c r="T130" s="8"/>
    </row>
    <row r="131" spans="1:20" ht="15.75">
      <c r="A131" s="42"/>
      <c r="B131" s="35" t="s">
        <v>58</v>
      </c>
      <c r="C131" s="43">
        <f>'Price Changes'!D26</f>
        <v>0.10908</v>
      </c>
      <c r="D131" s="44">
        <f t="shared" ref="D131:N131" si="91">C131</f>
        <v>0.10908</v>
      </c>
      <c r="E131" s="43">
        <f t="shared" si="91"/>
        <v>0.10908</v>
      </c>
      <c r="F131" s="44">
        <f t="shared" si="91"/>
        <v>0.10908</v>
      </c>
      <c r="G131" s="43">
        <f t="shared" si="91"/>
        <v>0.10908</v>
      </c>
      <c r="H131" s="44">
        <f t="shared" si="91"/>
        <v>0.10908</v>
      </c>
      <c r="I131" s="43">
        <f t="shared" si="91"/>
        <v>0.10908</v>
      </c>
      <c r="J131" s="44">
        <f t="shared" si="91"/>
        <v>0.10908</v>
      </c>
      <c r="K131" s="43">
        <f t="shared" si="91"/>
        <v>0.10908</v>
      </c>
      <c r="L131" s="44">
        <f t="shared" si="91"/>
        <v>0.10908</v>
      </c>
      <c r="M131" s="43">
        <f t="shared" si="91"/>
        <v>0.10908</v>
      </c>
      <c r="N131" s="44">
        <f t="shared" si="91"/>
        <v>0.10908</v>
      </c>
      <c r="O131" s="45">
        <f>IF(O130=0,0,+O132/O130)</f>
        <v>0.10908</v>
      </c>
      <c r="P131" s="46"/>
      <c r="Q131" s="47"/>
      <c r="R131" s="47"/>
      <c r="S131" s="41"/>
      <c r="T131" s="8"/>
    </row>
    <row r="132" spans="1:20">
      <c r="A132" s="42"/>
      <c r="B132" s="35" t="s">
        <v>15</v>
      </c>
      <c r="C132" s="48">
        <f t="shared" ref="C132:N132" si="92">C130*C131</f>
        <v>59.6478520892597</v>
      </c>
      <c r="D132" s="49">
        <f t="shared" si="92"/>
        <v>765.00644668505572</v>
      </c>
      <c r="E132" s="48">
        <f t="shared" si="92"/>
        <v>1457.9719168403483</v>
      </c>
      <c r="F132" s="49">
        <f t="shared" si="92"/>
        <v>0</v>
      </c>
      <c r="G132" s="48">
        <f t="shared" si="92"/>
        <v>374.4234041181258</v>
      </c>
      <c r="H132" s="49">
        <f t="shared" si="92"/>
        <v>572.27022825546317</v>
      </c>
      <c r="I132" s="48">
        <f t="shared" si="92"/>
        <v>2581.8836878283632</v>
      </c>
      <c r="J132" s="49">
        <f t="shared" si="92"/>
        <v>13088.153699192617</v>
      </c>
      <c r="K132" s="48">
        <f t="shared" si="92"/>
        <v>10840.387746095666</v>
      </c>
      <c r="L132" s="49">
        <f t="shared" si="92"/>
        <v>15290.506336404842</v>
      </c>
      <c r="M132" s="48">
        <f t="shared" si="92"/>
        <v>6972.3853778160155</v>
      </c>
      <c r="N132" s="49">
        <f t="shared" si="92"/>
        <v>351.84019877901761</v>
      </c>
      <c r="O132" s="50">
        <f>SUM(C132:N132)</f>
        <v>52354.476894104773</v>
      </c>
      <c r="P132" s="40"/>
      <c r="Q132" s="40"/>
      <c r="R132" s="40"/>
      <c r="S132" s="41"/>
    </row>
    <row r="133" spans="1:20" ht="16.5" thickBot="1">
      <c r="A133" s="51"/>
      <c r="B133" s="52" t="s">
        <v>59</v>
      </c>
      <c r="C133" s="53">
        <f t="shared" ref="C133:O133" si="93">C132/C$103</f>
        <v>0.15758292485444264</v>
      </c>
      <c r="D133" s="54">
        <f t="shared" si="93"/>
        <v>1.8571364346374128</v>
      </c>
      <c r="E133" s="53">
        <f t="shared" si="93"/>
        <v>3.4381114017737509</v>
      </c>
      <c r="F133" s="54">
        <f t="shared" si="93"/>
        <v>0</v>
      </c>
      <c r="G133" s="53">
        <f t="shared" si="93"/>
        <v>0.66918544509846978</v>
      </c>
      <c r="H133" s="54">
        <f t="shared" si="93"/>
        <v>0.75348995787332462</v>
      </c>
      <c r="I133" s="53">
        <f t="shared" si="93"/>
        <v>3.5285043120074602</v>
      </c>
      <c r="J133" s="54">
        <f t="shared" si="93"/>
        <v>16.596931439762219</v>
      </c>
      <c r="K133" s="53">
        <f t="shared" si="93"/>
        <v>15.716255449268367</v>
      </c>
      <c r="L133" s="54">
        <f t="shared" si="93"/>
        <v>21.595957434206248</v>
      </c>
      <c r="M133" s="53">
        <f t="shared" si="93"/>
        <v>12.325102983258732</v>
      </c>
      <c r="N133" s="54">
        <f t="shared" si="93"/>
        <v>0.75378946703227234</v>
      </c>
      <c r="O133" s="55">
        <f t="shared" si="93"/>
        <v>7.5816628452257318</v>
      </c>
      <c r="P133" s="56"/>
      <c r="Q133" s="57"/>
      <c r="R133" s="57"/>
      <c r="S133" s="41"/>
    </row>
    <row r="134" spans="1:20">
      <c r="A134" s="28" t="s">
        <v>66</v>
      </c>
      <c r="B134" s="29" t="s">
        <v>55</v>
      </c>
      <c r="C134" s="30">
        <f>AVERAGE('Lex WTPs 2007-2010'!G49,'2011 Actual Costs'!C134)</f>
        <v>40.705906094620524</v>
      </c>
      <c r="D134" s="31">
        <f>AVERAGE('Lex WTPs 2007-2010'!L49,'2011 Actual Costs'!D134)</f>
        <v>47.529739788523287</v>
      </c>
      <c r="E134" s="30">
        <f>AVERAGE('Lex WTPs 2007-2010'!Q49,'2011 Actual Costs'!E134)</f>
        <v>39.062156284109975</v>
      </c>
      <c r="F134" s="31">
        <f>AVERAGE('Lex WTPs 2007-2010'!V49,'2011 Actual Costs'!F134)</f>
        <v>33.157987357135688</v>
      </c>
      <c r="G134" s="30">
        <f>AVERAGE('Lex WTPs 2007-2010'!AA49,'2011 Actual Costs'!G134)</f>
        <v>40.368109062864548</v>
      </c>
      <c r="H134" s="31">
        <f>AVERAGE('Lex WTPs 2007-2010'!AF49,'2011 Actual Costs'!H134)</f>
        <v>39.122537820785098</v>
      </c>
      <c r="I134" s="30">
        <f>AVERAGE('Lex WTPs 2007-2010'!AK49,'2011 Actual Costs'!I134)</f>
        <v>40.767010483730289</v>
      </c>
      <c r="J134" s="31">
        <f>AVERAGE('Lex WTPs 2007-2010'!AP49,'2011 Actual Costs'!J134)</f>
        <v>39.908429388296369</v>
      </c>
      <c r="K134" s="30">
        <f>AVERAGE('Lex WTPs 2007-2010'!AU49,'2011 Actual Costs'!K134)</f>
        <v>40.413998398820418</v>
      </c>
      <c r="L134" s="31">
        <f>AVERAGE('Lex WTPs 2007-2010'!AZ49,'2011 Actual Costs'!L134)</f>
        <v>37.692642926261584</v>
      </c>
      <c r="M134" s="30">
        <f>AVERAGE('Lex WTPs 2007-2010'!BE49,'2011 Actual Costs'!M134)</f>
        <v>38.892909182458965</v>
      </c>
      <c r="N134" s="31">
        <f>AVERAGE('Lex WTPs 2007-2010'!BJ49,'2011 Actual Costs'!N134)</f>
        <v>39.318968294327043</v>
      </c>
      <c r="O134" s="32">
        <f>O135/O$103</f>
        <v>39.684996675556107</v>
      </c>
    </row>
    <row r="135" spans="1:20">
      <c r="A135" s="34" t="s">
        <v>64</v>
      </c>
      <c r="B135" s="35" t="s">
        <v>57</v>
      </c>
      <c r="C135" s="36">
        <f t="shared" ref="C135:N135" si="94">C$103*C134</f>
        <v>15407.886788076508</v>
      </c>
      <c r="D135" s="37">
        <f t="shared" si="94"/>
        <v>19578.829357565504</v>
      </c>
      <c r="E135" s="36">
        <f t="shared" si="94"/>
        <v>16564.770659868467</v>
      </c>
      <c r="F135" s="37">
        <f t="shared" si="94"/>
        <v>13970.318519872297</v>
      </c>
      <c r="G135" s="36">
        <f t="shared" si="94"/>
        <v>22586.810463137601</v>
      </c>
      <c r="H135" s="37">
        <f t="shared" si="94"/>
        <v>29713.287369912923</v>
      </c>
      <c r="I135" s="36">
        <f t="shared" si="94"/>
        <v>29830.112155818322</v>
      </c>
      <c r="J135" s="37">
        <f t="shared" si="94"/>
        <v>31471.339122123994</v>
      </c>
      <c r="K135" s="36">
        <f t="shared" si="94"/>
        <v>27875.813957560582</v>
      </c>
      <c r="L135" s="37">
        <f t="shared" si="94"/>
        <v>26687.383379769617</v>
      </c>
      <c r="M135" s="36">
        <f t="shared" si="94"/>
        <v>22001.954194852875</v>
      </c>
      <c r="N135" s="37">
        <f t="shared" si="94"/>
        <v>18352.596083529032</v>
      </c>
      <c r="O135" s="38">
        <f>SUM(C135:N135)</f>
        <v>274041.10205208778</v>
      </c>
      <c r="P135" s="57"/>
      <c r="Q135" s="57"/>
      <c r="R135" s="57"/>
      <c r="S135" s="41"/>
      <c r="T135" s="8"/>
    </row>
    <row r="136" spans="1:20" ht="15.75">
      <c r="A136" s="42"/>
      <c r="B136" s="35" t="s">
        <v>58</v>
      </c>
      <c r="C136" s="43">
        <f>C40</f>
        <v>0.2185</v>
      </c>
      <c r="D136" s="44">
        <f t="shared" ref="D136:N136" si="95">C136</f>
        <v>0.2185</v>
      </c>
      <c r="E136" s="43">
        <f t="shared" si="95"/>
        <v>0.2185</v>
      </c>
      <c r="F136" s="44">
        <f t="shared" si="95"/>
        <v>0.2185</v>
      </c>
      <c r="G136" s="43">
        <f t="shared" si="95"/>
        <v>0.2185</v>
      </c>
      <c r="H136" s="44">
        <f t="shared" si="95"/>
        <v>0.2185</v>
      </c>
      <c r="I136" s="43">
        <f t="shared" si="95"/>
        <v>0.2185</v>
      </c>
      <c r="J136" s="44">
        <f t="shared" si="95"/>
        <v>0.2185</v>
      </c>
      <c r="K136" s="43">
        <f t="shared" si="95"/>
        <v>0.2185</v>
      </c>
      <c r="L136" s="44">
        <f t="shared" si="95"/>
        <v>0.2185</v>
      </c>
      <c r="M136" s="43">
        <f t="shared" si="95"/>
        <v>0.2185</v>
      </c>
      <c r="N136" s="44">
        <f t="shared" si="95"/>
        <v>0.2185</v>
      </c>
      <c r="O136" s="45">
        <f>IF(O135=0,0,+O137/O135)</f>
        <v>0.21849999999999994</v>
      </c>
      <c r="P136" s="46"/>
      <c r="Q136" s="47"/>
      <c r="R136" s="47"/>
      <c r="S136" s="41"/>
      <c r="T136" s="8"/>
    </row>
    <row r="137" spans="1:20">
      <c r="A137" s="42"/>
      <c r="B137" s="35" t="s">
        <v>15</v>
      </c>
      <c r="C137" s="48">
        <f t="shared" ref="C137:N137" si="96">C135*C136</f>
        <v>3366.6232631947169</v>
      </c>
      <c r="D137" s="49">
        <f t="shared" si="96"/>
        <v>4277.9742146280623</v>
      </c>
      <c r="E137" s="48">
        <f t="shared" si="96"/>
        <v>3619.4023891812599</v>
      </c>
      <c r="F137" s="49">
        <f t="shared" si="96"/>
        <v>3052.514596592097</v>
      </c>
      <c r="G137" s="48">
        <f t="shared" si="96"/>
        <v>4935.2180861955658</v>
      </c>
      <c r="H137" s="49">
        <f t="shared" si="96"/>
        <v>6492.3532903259738</v>
      </c>
      <c r="I137" s="48">
        <f t="shared" si="96"/>
        <v>6517.8795060463035</v>
      </c>
      <c r="J137" s="49">
        <f t="shared" si="96"/>
        <v>6876.4875981840923</v>
      </c>
      <c r="K137" s="48">
        <f t="shared" si="96"/>
        <v>6090.865349726987</v>
      </c>
      <c r="L137" s="49">
        <f t="shared" si="96"/>
        <v>5831.1932684796611</v>
      </c>
      <c r="M137" s="48">
        <f t="shared" si="96"/>
        <v>4807.426991575353</v>
      </c>
      <c r="N137" s="49">
        <f t="shared" si="96"/>
        <v>4010.0422442510935</v>
      </c>
      <c r="O137" s="50">
        <f>SUM(C137:N137)</f>
        <v>59877.980798381162</v>
      </c>
      <c r="P137" s="40"/>
      <c r="Q137" s="40"/>
      <c r="R137" s="40"/>
      <c r="S137" s="41"/>
    </row>
    <row r="138" spans="1:20" ht="16.5" thickBot="1">
      <c r="A138" s="51"/>
      <c r="B138" s="52" t="s">
        <v>59</v>
      </c>
      <c r="C138" s="53">
        <f t="shared" ref="C138:O138" si="97">C137/C$103</f>
        <v>8.8942404816745846</v>
      </c>
      <c r="D138" s="54">
        <f t="shared" si="97"/>
        <v>10.385248143792337</v>
      </c>
      <c r="E138" s="53">
        <f t="shared" si="97"/>
        <v>8.5350811480780298</v>
      </c>
      <c r="F138" s="54">
        <f t="shared" si="97"/>
        <v>7.2450202375341481</v>
      </c>
      <c r="G138" s="53">
        <f t="shared" si="97"/>
        <v>8.8204318302359042</v>
      </c>
      <c r="H138" s="54">
        <f t="shared" si="97"/>
        <v>8.5482745138415446</v>
      </c>
      <c r="I138" s="53">
        <f t="shared" si="97"/>
        <v>8.9075917906950686</v>
      </c>
      <c r="J138" s="54">
        <f t="shared" si="97"/>
        <v>8.7199918213427559</v>
      </c>
      <c r="K138" s="53">
        <f t="shared" si="97"/>
        <v>8.8304586501422602</v>
      </c>
      <c r="L138" s="54">
        <f t="shared" si="97"/>
        <v>8.2358424793881557</v>
      </c>
      <c r="M138" s="53">
        <f t="shared" si="97"/>
        <v>8.4981006563672832</v>
      </c>
      <c r="N138" s="54">
        <f t="shared" si="97"/>
        <v>8.5911945723104584</v>
      </c>
      <c r="O138" s="55">
        <f t="shared" si="97"/>
        <v>8.6711717736090073</v>
      </c>
      <c r="P138" s="56"/>
      <c r="Q138" s="57"/>
      <c r="R138" s="57"/>
      <c r="S138" s="41"/>
    </row>
    <row r="139" spans="1:20">
      <c r="A139" s="69" t="s">
        <v>67</v>
      </c>
      <c r="B139" s="29" t="s">
        <v>55</v>
      </c>
      <c r="C139" s="30">
        <f>AVERAGE('Lex WTPs 2007-2010'!G60,'2011 Actual Costs'!C139)</f>
        <v>320.47297225894363</v>
      </c>
      <c r="D139" s="31">
        <f>AVERAGE('Lex WTPs 2007-2010'!L60,'2011 Actual Costs'!D139)</f>
        <v>309.26794725146272</v>
      </c>
      <c r="E139" s="30">
        <f>AVERAGE('Lex WTPs 2007-2010'!Q60,'2011 Actual Costs'!E139)</f>
        <v>308.2477741174834</v>
      </c>
      <c r="F139" s="31">
        <f>AVERAGE('Lex WTPs 2007-2010'!V60,'2011 Actual Costs'!F139)</f>
        <v>339.30044000337955</v>
      </c>
      <c r="G139" s="30">
        <f>AVERAGE('Lex WTPs 2007-2010'!AA60,'2011 Actual Costs'!G139)</f>
        <v>319.50701952831741</v>
      </c>
      <c r="H139" s="31">
        <f>AVERAGE('Lex WTPs 2007-2010'!AF60,'2011 Actual Costs'!H139)</f>
        <v>344.21842540759678</v>
      </c>
      <c r="I139" s="30">
        <f>AVERAGE('Lex WTPs 2007-2010'!AK60,'2011 Actual Costs'!I139)</f>
        <v>292.34665481184618</v>
      </c>
      <c r="J139" s="31">
        <f>AVERAGE('Lex WTPs 2007-2010'!AP60,'2011 Actual Costs'!J139)</f>
        <v>247.93811737184734</v>
      </c>
      <c r="K139" s="30">
        <f>AVERAGE('Lex WTPs 2007-2010'!AU60,'2011 Actual Costs'!K139)</f>
        <v>255.97630941775714</v>
      </c>
      <c r="L139" s="31">
        <f>AVERAGE('Lex WTPs 2007-2010'!AZ60,'2011 Actual Costs'!L139)</f>
        <v>225.86411333810724</v>
      </c>
      <c r="M139" s="30">
        <f>AVERAGE('Lex WTPs 2007-2010'!BE60,'2011 Actual Costs'!M139)</f>
        <v>284.69250411020965</v>
      </c>
      <c r="N139" s="31">
        <f>AVERAGE('Lex WTPs 2007-2010'!BJ60,'2011 Actual Costs'!N139)</f>
        <v>405.70399121158687</v>
      </c>
      <c r="O139" s="32">
        <f>O140/O$103</f>
        <v>298.1592487027068</v>
      </c>
    </row>
    <row r="140" spans="1:20">
      <c r="A140" s="34" t="s">
        <v>64</v>
      </c>
      <c r="B140" s="35" t="s">
        <v>57</v>
      </c>
      <c r="C140" s="36">
        <f t="shared" ref="C140:N140" si="98">C$103*C139</f>
        <v>121304.54150133122</v>
      </c>
      <c r="D140" s="37">
        <f t="shared" si="98"/>
        <v>127396.1185552934</v>
      </c>
      <c r="E140" s="36">
        <f t="shared" si="98"/>
        <v>130716.12451533132</v>
      </c>
      <c r="F140" s="37">
        <f t="shared" si="98"/>
        <v>142956.05971874352</v>
      </c>
      <c r="G140" s="36">
        <f t="shared" si="98"/>
        <v>178770.9322844366</v>
      </c>
      <c r="H140" s="37">
        <f t="shared" si="98"/>
        <v>261431.42960222231</v>
      </c>
      <c r="I140" s="36">
        <f t="shared" si="98"/>
        <v>213916.43385025827</v>
      </c>
      <c r="J140" s="37">
        <f t="shared" si="98"/>
        <v>195521.2142575247</v>
      </c>
      <c r="K140" s="36">
        <f t="shared" si="98"/>
        <v>176561.29711433427</v>
      </c>
      <c r="L140" s="37">
        <f t="shared" si="98"/>
        <v>159917.73769162022</v>
      </c>
      <c r="M140" s="36">
        <f t="shared" si="98"/>
        <v>161052.27319626222</v>
      </c>
      <c r="N140" s="37">
        <f t="shared" si="98"/>
        <v>189367.16305590697</v>
      </c>
      <c r="O140" s="38">
        <f>SUM(C140:N140)</f>
        <v>2058911.3253432652</v>
      </c>
    </row>
    <row r="141" spans="1:20">
      <c r="A141" s="42"/>
      <c r="B141" s="35" t="s">
        <v>58</v>
      </c>
      <c r="C141" s="43">
        <f>C45</f>
        <v>0.15654999999999999</v>
      </c>
      <c r="D141" s="44">
        <f t="shared" ref="D141:N141" si="99">C141</f>
        <v>0.15654999999999999</v>
      </c>
      <c r="E141" s="43">
        <f t="shared" si="99"/>
        <v>0.15654999999999999</v>
      </c>
      <c r="F141" s="44">
        <f t="shared" si="99"/>
        <v>0.15654999999999999</v>
      </c>
      <c r="G141" s="43">
        <f t="shared" si="99"/>
        <v>0.15654999999999999</v>
      </c>
      <c r="H141" s="44">
        <f t="shared" si="99"/>
        <v>0.15654999999999999</v>
      </c>
      <c r="I141" s="43">
        <f t="shared" si="99"/>
        <v>0.15654999999999999</v>
      </c>
      <c r="J141" s="44">
        <f t="shared" si="99"/>
        <v>0.15654999999999999</v>
      </c>
      <c r="K141" s="43">
        <f t="shared" si="99"/>
        <v>0.15654999999999999</v>
      </c>
      <c r="L141" s="44">
        <f t="shared" si="99"/>
        <v>0.15654999999999999</v>
      </c>
      <c r="M141" s="43">
        <f t="shared" si="99"/>
        <v>0.15654999999999999</v>
      </c>
      <c r="N141" s="44">
        <f t="shared" si="99"/>
        <v>0.15654999999999999</v>
      </c>
      <c r="O141" s="45">
        <f>IF(O140=0,0,+O142/O140)</f>
        <v>0.15654999999999999</v>
      </c>
    </row>
    <row r="142" spans="1:20">
      <c r="A142" s="42"/>
      <c r="B142" s="35" t="s">
        <v>15</v>
      </c>
      <c r="C142" s="48">
        <f t="shared" ref="C142:N142" si="100">C140*C141</f>
        <v>18990.2259720334</v>
      </c>
      <c r="D142" s="49">
        <f t="shared" si="100"/>
        <v>19943.862359831182</v>
      </c>
      <c r="E142" s="48">
        <f t="shared" si="100"/>
        <v>20463.609292875117</v>
      </c>
      <c r="F142" s="49">
        <f t="shared" si="100"/>
        <v>22379.771148969296</v>
      </c>
      <c r="G142" s="48">
        <f t="shared" si="100"/>
        <v>27986.589449128547</v>
      </c>
      <c r="H142" s="49">
        <f t="shared" si="100"/>
        <v>40927.090304227902</v>
      </c>
      <c r="I142" s="48">
        <f t="shared" si="100"/>
        <v>33488.617719257934</v>
      </c>
      <c r="J142" s="49">
        <f t="shared" si="100"/>
        <v>30608.84609201549</v>
      </c>
      <c r="K142" s="48">
        <f t="shared" si="100"/>
        <v>27640.671063249029</v>
      </c>
      <c r="L142" s="49">
        <f t="shared" si="100"/>
        <v>25035.121835623144</v>
      </c>
      <c r="M142" s="48">
        <f t="shared" si="100"/>
        <v>25212.733368874851</v>
      </c>
      <c r="N142" s="49">
        <f t="shared" si="100"/>
        <v>29645.429376402237</v>
      </c>
      <c r="O142" s="50">
        <f>SUM(C142:N142)</f>
        <v>322322.56798248814</v>
      </c>
    </row>
    <row r="143" spans="1:20" ht="13.5" thickBot="1">
      <c r="A143" s="51"/>
      <c r="B143" s="52" t="s">
        <v>59</v>
      </c>
      <c r="C143" s="53">
        <f t="shared" ref="C143:O143" si="101">C142/C$103</f>
        <v>50.170043807137617</v>
      </c>
      <c r="D143" s="54">
        <f t="shared" si="101"/>
        <v>48.415897142216494</v>
      </c>
      <c r="E143" s="53">
        <f t="shared" si="101"/>
        <v>48.256189038092018</v>
      </c>
      <c r="F143" s="54">
        <f t="shared" si="101"/>
        <v>53.117483882529058</v>
      </c>
      <c r="G143" s="53">
        <f t="shared" si="101"/>
        <v>50.018823907158087</v>
      </c>
      <c r="H143" s="54">
        <f t="shared" si="101"/>
        <v>53.887394497559278</v>
      </c>
      <c r="I143" s="53">
        <f t="shared" si="101"/>
        <v>45.76686881079452</v>
      </c>
      <c r="J143" s="54">
        <f t="shared" si="101"/>
        <v>38.814712274562702</v>
      </c>
      <c r="K143" s="53">
        <f t="shared" si="101"/>
        <v>40.073091239349878</v>
      </c>
      <c r="L143" s="54">
        <f t="shared" si="101"/>
        <v>35.359026943080686</v>
      </c>
      <c r="M143" s="53">
        <f t="shared" si="101"/>
        <v>44.568611518453324</v>
      </c>
      <c r="N143" s="54">
        <f t="shared" si="101"/>
        <v>63.512959824173926</v>
      </c>
      <c r="O143" s="55">
        <f t="shared" si="101"/>
        <v>46.676830384408753</v>
      </c>
    </row>
    <row r="144" spans="1:20">
      <c r="A144" s="28" t="s">
        <v>68</v>
      </c>
      <c r="B144" s="29" t="s">
        <v>55</v>
      </c>
      <c r="C144" s="30">
        <f>AVERAGE('Lex WTPs 2007-2010'!G52,'2011 Actual Costs'!C144)</f>
        <v>21.261236720593573</v>
      </c>
      <c r="D144" s="31">
        <f>AVERAGE('Lex WTPs 2007-2010'!L52,'2011 Actual Costs'!D144)</f>
        <v>23.31090578437934</v>
      </c>
      <c r="E144" s="30">
        <f>AVERAGE('Lex WTPs 2007-2010'!Q52,'2011 Actual Costs'!E144)</f>
        <v>21.48162404689111</v>
      </c>
      <c r="F144" s="31">
        <f>AVERAGE('Lex WTPs 2007-2010'!V52,'2011 Actual Costs'!F144)</f>
        <v>20.827873827129679</v>
      </c>
      <c r="G144" s="30">
        <f>AVERAGE('Lex WTPs 2007-2010'!AA52,'2011 Actual Costs'!G144)</f>
        <v>21.084406768333956</v>
      </c>
      <c r="H144" s="31">
        <f>AVERAGE('Lex WTPs 2007-2010'!AF52,'2011 Actual Costs'!H144)</f>
        <v>19.091014796556859</v>
      </c>
      <c r="I144" s="30">
        <f>AVERAGE('Lex WTPs 2007-2010'!AK52,'2011 Actual Costs'!I144)</f>
        <v>19.965635781230134</v>
      </c>
      <c r="J144" s="31">
        <f>AVERAGE('Lex WTPs 2007-2010'!AP52,'2011 Actual Costs'!J144)</f>
        <v>21.939580142984759</v>
      </c>
      <c r="K144" s="30">
        <f>AVERAGE('Lex WTPs 2007-2010'!AU52,'2011 Actual Costs'!K144)</f>
        <v>22.209291407363818</v>
      </c>
      <c r="L144" s="31">
        <f>AVERAGE('Lex WTPs 2007-2010'!AZ52,'2011 Actual Costs'!L144)</f>
        <v>21.404474551911843</v>
      </c>
      <c r="M144" s="30">
        <f>AVERAGE('Lex WTPs 2007-2010'!BE52,'2011 Actual Costs'!M144)</f>
        <v>22.997473345760262</v>
      </c>
      <c r="N144" s="31">
        <f>AVERAGE('Lex WTPs 2007-2010'!BJ52,'2011 Actual Costs'!N144)</f>
        <v>22.684838154449857</v>
      </c>
      <c r="O144" s="32">
        <f>O145/O$103</f>
        <v>21.405604531816152</v>
      </c>
    </row>
    <row r="145" spans="1:19">
      <c r="A145" s="34" t="s">
        <v>64</v>
      </c>
      <c r="B145" s="35" t="s">
        <v>57</v>
      </c>
      <c r="C145" s="36">
        <f t="shared" ref="C145:N145" si="102">C$103*C144</f>
        <v>8047.7444134008229</v>
      </c>
      <c r="D145" s="37">
        <f t="shared" si="102"/>
        <v>9602.4141632867504</v>
      </c>
      <c r="E145" s="36">
        <f t="shared" si="102"/>
        <v>9109.537454874644</v>
      </c>
      <c r="F145" s="37">
        <f t="shared" si="102"/>
        <v>8775.3224682406817</v>
      </c>
      <c r="G145" s="36">
        <f t="shared" si="102"/>
        <v>11797.171342914051</v>
      </c>
      <c r="H145" s="37">
        <f t="shared" si="102"/>
        <v>14499.489052368694</v>
      </c>
      <c r="I145" s="36">
        <f t="shared" si="102"/>
        <v>14609.291864901481</v>
      </c>
      <c r="J145" s="37">
        <f t="shared" si="102"/>
        <v>17301.306452299999</v>
      </c>
      <c r="K145" s="36">
        <f t="shared" si="102"/>
        <v>15319.000839545553</v>
      </c>
      <c r="L145" s="37">
        <f t="shared" si="102"/>
        <v>15154.931415313447</v>
      </c>
      <c r="M145" s="36">
        <f t="shared" si="102"/>
        <v>13009.809905888262</v>
      </c>
      <c r="N145" s="37">
        <f t="shared" si="102"/>
        <v>10588.418006097938</v>
      </c>
      <c r="O145" s="38">
        <f>SUM(C145:N145)</f>
        <v>147814.43737913232</v>
      </c>
      <c r="P145" s="68"/>
      <c r="Q145" s="68"/>
      <c r="R145" s="33"/>
      <c r="S145" s="41"/>
    </row>
    <row r="146" spans="1:19" ht="15.75">
      <c r="A146" s="42"/>
      <c r="B146" s="35" t="s">
        <v>58</v>
      </c>
      <c r="C146" s="43">
        <f>'Price Changes'!D29</f>
        <v>0.35090000000000005</v>
      </c>
      <c r="D146" s="44">
        <f t="shared" ref="D146:N146" si="103">C146</f>
        <v>0.35090000000000005</v>
      </c>
      <c r="E146" s="43">
        <f t="shared" si="103"/>
        <v>0.35090000000000005</v>
      </c>
      <c r="F146" s="44">
        <f t="shared" si="103"/>
        <v>0.35090000000000005</v>
      </c>
      <c r="G146" s="43">
        <f t="shared" si="103"/>
        <v>0.35090000000000005</v>
      </c>
      <c r="H146" s="44">
        <f t="shared" si="103"/>
        <v>0.35090000000000005</v>
      </c>
      <c r="I146" s="43">
        <f t="shared" si="103"/>
        <v>0.35090000000000005</v>
      </c>
      <c r="J146" s="44">
        <f t="shared" si="103"/>
        <v>0.35090000000000005</v>
      </c>
      <c r="K146" s="43">
        <f t="shared" si="103"/>
        <v>0.35090000000000005</v>
      </c>
      <c r="L146" s="44">
        <f t="shared" si="103"/>
        <v>0.35090000000000005</v>
      </c>
      <c r="M146" s="43">
        <f t="shared" si="103"/>
        <v>0.35090000000000005</v>
      </c>
      <c r="N146" s="44">
        <f t="shared" si="103"/>
        <v>0.35090000000000005</v>
      </c>
      <c r="O146" s="45">
        <f>IF(O145=0,0,+O147/O145)</f>
        <v>0.35090000000000005</v>
      </c>
      <c r="P146" s="80"/>
      <c r="Q146" s="46"/>
      <c r="R146" s="47"/>
      <c r="S146" s="41"/>
    </row>
    <row r="147" spans="1:19">
      <c r="A147" s="42"/>
      <c r="B147" s="35" t="s">
        <v>15</v>
      </c>
      <c r="C147" s="48">
        <f t="shared" ref="C147:N147" si="104">C145*C146</f>
        <v>2823.9535146623489</v>
      </c>
      <c r="D147" s="49">
        <f t="shared" si="104"/>
        <v>3369.4871298973212</v>
      </c>
      <c r="E147" s="48">
        <f t="shared" si="104"/>
        <v>3196.536692915513</v>
      </c>
      <c r="F147" s="49">
        <f t="shared" si="104"/>
        <v>3079.2606541056557</v>
      </c>
      <c r="G147" s="48">
        <f t="shared" si="104"/>
        <v>4139.6274242285408</v>
      </c>
      <c r="H147" s="49">
        <f t="shared" si="104"/>
        <v>5087.8707084761754</v>
      </c>
      <c r="I147" s="48">
        <f t="shared" si="104"/>
        <v>5126.4005153939306</v>
      </c>
      <c r="J147" s="49">
        <f t="shared" si="104"/>
        <v>6071.0284341120705</v>
      </c>
      <c r="K147" s="48">
        <f t="shared" si="104"/>
        <v>5375.4373945965353</v>
      </c>
      <c r="L147" s="49">
        <f t="shared" si="104"/>
        <v>5317.8654336334894</v>
      </c>
      <c r="M147" s="48">
        <f t="shared" si="104"/>
        <v>4565.1422959761912</v>
      </c>
      <c r="N147" s="49">
        <f t="shared" si="104"/>
        <v>3715.475878339767</v>
      </c>
      <c r="O147" s="50">
        <f>SUM(C147:N147)</f>
        <v>51868.086076337539</v>
      </c>
      <c r="P147" s="40"/>
      <c r="Q147" s="40"/>
      <c r="R147" s="40"/>
      <c r="S147" s="41"/>
    </row>
    <row r="148" spans="1:19" ht="16.5" thickBot="1">
      <c r="A148" s="51"/>
      <c r="B148" s="52" t="s">
        <v>59</v>
      </c>
      <c r="C148" s="53">
        <f t="shared" ref="C148:O148" si="105">C147/C$103</f>
        <v>7.4605679652562849</v>
      </c>
      <c r="D148" s="54">
        <f t="shared" si="105"/>
        <v>8.179796839738712</v>
      </c>
      <c r="E148" s="53">
        <f t="shared" si="105"/>
        <v>7.5379018780540914</v>
      </c>
      <c r="F148" s="54">
        <f t="shared" si="105"/>
        <v>7.3085009259398062</v>
      </c>
      <c r="G148" s="53">
        <f t="shared" si="105"/>
        <v>7.3985183350083856</v>
      </c>
      <c r="H148" s="54">
        <f t="shared" si="105"/>
        <v>6.6990370921118032</v>
      </c>
      <c r="I148" s="53">
        <f t="shared" si="105"/>
        <v>7.0059415956336553</v>
      </c>
      <c r="J148" s="54">
        <f t="shared" si="105"/>
        <v>7.6985986721733521</v>
      </c>
      <c r="K148" s="53">
        <f t="shared" si="105"/>
        <v>7.7932403548439648</v>
      </c>
      <c r="L148" s="54">
        <f t="shared" si="105"/>
        <v>7.5108301202658669</v>
      </c>
      <c r="M148" s="53">
        <f t="shared" si="105"/>
        <v>8.0698133970272767</v>
      </c>
      <c r="N148" s="54">
        <f t="shared" si="105"/>
        <v>7.9601097083964563</v>
      </c>
      <c r="O148" s="55">
        <f t="shared" si="105"/>
        <v>7.5112266302142885</v>
      </c>
      <c r="P148" s="80"/>
      <c r="Q148" s="56"/>
      <c r="R148" s="57"/>
      <c r="S148" s="41"/>
    </row>
    <row r="149" spans="1:19">
      <c r="A149" s="28" t="s">
        <v>69</v>
      </c>
      <c r="B149" s="29" t="s">
        <v>55</v>
      </c>
      <c r="C149" s="30">
        <f>AVERAGE('Lex WTPs 2007-2010'!G58,'2011 Actual Costs'!C149)</f>
        <v>1.4260038537515567</v>
      </c>
      <c r="D149" s="31">
        <f>AVERAGE('Lex WTPs 2007-2010'!L58,'2011 Actual Costs'!D149)</f>
        <v>1.4675206527441855</v>
      </c>
      <c r="E149" s="30">
        <f>AVERAGE('Lex WTPs 2007-2010'!Q58,'2011 Actual Costs'!E149)</f>
        <v>1.5124089885877106</v>
      </c>
      <c r="F149" s="31">
        <f>AVERAGE('Lex WTPs 2007-2010'!V58,'2011 Actual Costs'!F149)</f>
        <v>0.97170763087263201</v>
      </c>
      <c r="G149" s="30">
        <f>AVERAGE('Lex WTPs 2007-2010'!AA58,'2011 Actual Costs'!G149)</f>
        <v>1.060902499042752</v>
      </c>
      <c r="H149" s="31">
        <f>AVERAGE('Lex WTPs 2007-2010'!AF58,'2011 Actual Costs'!H149)</f>
        <v>0.41438814034711469</v>
      </c>
      <c r="I149" s="30">
        <f>AVERAGE('Lex WTPs 2007-2010'!AK58,'2011 Actual Costs'!I149)</f>
        <v>0.9919146848123499</v>
      </c>
      <c r="J149" s="31">
        <f>AVERAGE('Lex WTPs 2007-2010'!AP58,'2011 Actual Costs'!J149)</f>
        <v>1.1194678297546332</v>
      </c>
      <c r="K149" s="30">
        <f>AVERAGE('Lex WTPs 2007-2010'!AU58,'2011 Actual Costs'!K149)</f>
        <v>0.60460511366004976</v>
      </c>
      <c r="L149" s="31">
        <f>AVERAGE('Lex WTPs 2007-2010'!AZ58,'2011 Actual Costs'!L149)</f>
        <v>0.64066099997855341</v>
      </c>
      <c r="M149" s="30">
        <f>AVERAGE('Lex WTPs 2007-2010'!BE58,'2011 Actual Costs'!M149)</f>
        <v>1.1304001259364775</v>
      </c>
      <c r="N149" s="31">
        <f>AVERAGE('Lex WTPs 2007-2010'!BJ58,'2011 Actual Costs'!N149)</f>
        <v>0.93378650409926012</v>
      </c>
      <c r="O149" s="32">
        <f>O150/O$103</f>
        <v>0.96416215097496039</v>
      </c>
    </row>
    <row r="150" spans="1:19">
      <c r="A150" s="34" t="s">
        <v>56</v>
      </c>
      <c r="B150" s="35" t="s">
        <v>57</v>
      </c>
      <c r="C150" s="36">
        <f t="shared" ref="C150:N150" si="106">C$103*C149</f>
        <v>539.76702758788258</v>
      </c>
      <c r="D150" s="37">
        <f t="shared" si="106"/>
        <v>604.51280748899399</v>
      </c>
      <c r="E150" s="36">
        <f t="shared" si="106"/>
        <v>641.35496918459148</v>
      </c>
      <c r="F150" s="37">
        <f t="shared" si="106"/>
        <v>409.40558198746567</v>
      </c>
      <c r="G150" s="36">
        <f t="shared" si="106"/>
        <v>593.59737728689322</v>
      </c>
      <c r="H150" s="37">
        <f t="shared" si="106"/>
        <v>314.72482570586311</v>
      </c>
      <c r="I150" s="36">
        <f t="shared" si="106"/>
        <v>725.80564397196179</v>
      </c>
      <c r="J150" s="37">
        <f t="shared" si="106"/>
        <v>882.79975550348752</v>
      </c>
      <c r="K150" s="36">
        <f t="shared" si="106"/>
        <v>417.03024530899273</v>
      </c>
      <c r="L150" s="37">
        <f t="shared" si="106"/>
        <v>453.60485218142787</v>
      </c>
      <c r="M150" s="36">
        <f t="shared" si="106"/>
        <v>639.47419505268942</v>
      </c>
      <c r="N150" s="37">
        <f t="shared" si="106"/>
        <v>435.85595658818289</v>
      </c>
      <c r="O150" s="38">
        <f>SUM(C150:N150)</f>
        <v>6657.9332378484332</v>
      </c>
      <c r="P150" s="39"/>
      <c r="Q150" s="39"/>
      <c r="R150" s="39"/>
      <c r="S150" s="41"/>
    </row>
    <row r="151" spans="1:19" ht="15.75">
      <c r="A151" s="42"/>
      <c r="B151" s="35" t="s">
        <v>58</v>
      </c>
      <c r="C151" s="43">
        <f>'Price Changes'!D30</f>
        <v>1.1550000000000002</v>
      </c>
      <c r="D151" s="44">
        <f t="shared" ref="D151:N151" si="107">C151</f>
        <v>1.1550000000000002</v>
      </c>
      <c r="E151" s="43">
        <f t="shared" si="107"/>
        <v>1.1550000000000002</v>
      </c>
      <c r="F151" s="44">
        <f t="shared" si="107"/>
        <v>1.1550000000000002</v>
      </c>
      <c r="G151" s="43">
        <f t="shared" si="107"/>
        <v>1.1550000000000002</v>
      </c>
      <c r="H151" s="44">
        <f t="shared" si="107"/>
        <v>1.1550000000000002</v>
      </c>
      <c r="I151" s="43">
        <f t="shared" si="107"/>
        <v>1.1550000000000002</v>
      </c>
      <c r="J151" s="44">
        <f t="shared" si="107"/>
        <v>1.1550000000000002</v>
      </c>
      <c r="K151" s="43">
        <f t="shared" si="107"/>
        <v>1.1550000000000002</v>
      </c>
      <c r="L151" s="44">
        <f t="shared" si="107"/>
        <v>1.1550000000000002</v>
      </c>
      <c r="M151" s="43">
        <f t="shared" si="107"/>
        <v>1.1550000000000002</v>
      </c>
      <c r="N151" s="44">
        <f t="shared" si="107"/>
        <v>1.1550000000000002</v>
      </c>
      <c r="O151" s="45">
        <f>IF(O150=0,0,+O152/O150)</f>
        <v>1.1549999999999998</v>
      </c>
      <c r="P151" s="46"/>
      <c r="Q151" s="47"/>
      <c r="R151" s="47"/>
      <c r="S151" s="41"/>
    </row>
    <row r="152" spans="1:19">
      <c r="A152" s="42"/>
      <c r="B152" s="35" t="s">
        <v>15</v>
      </c>
      <c r="C152" s="48">
        <f t="shared" ref="C152:N152" si="108">C150*C151</f>
        <v>623.43091686400453</v>
      </c>
      <c r="D152" s="49">
        <f t="shared" si="108"/>
        <v>698.2122926497882</v>
      </c>
      <c r="E152" s="48">
        <f t="shared" si="108"/>
        <v>740.76498940820329</v>
      </c>
      <c r="F152" s="49">
        <f t="shared" si="108"/>
        <v>472.86344719552295</v>
      </c>
      <c r="G152" s="48">
        <f t="shared" si="108"/>
        <v>685.60497076636182</v>
      </c>
      <c r="H152" s="49">
        <f t="shared" si="108"/>
        <v>363.507173690272</v>
      </c>
      <c r="I152" s="48">
        <f t="shared" si="108"/>
        <v>838.30551878761605</v>
      </c>
      <c r="J152" s="49">
        <f t="shared" si="108"/>
        <v>1019.6337176065283</v>
      </c>
      <c r="K152" s="48">
        <f t="shared" si="108"/>
        <v>481.66993333188668</v>
      </c>
      <c r="L152" s="49">
        <f t="shared" si="108"/>
        <v>523.9136042695493</v>
      </c>
      <c r="M152" s="48">
        <f t="shared" si="108"/>
        <v>738.59269528585639</v>
      </c>
      <c r="N152" s="49">
        <f t="shared" si="108"/>
        <v>503.41362985935137</v>
      </c>
      <c r="O152" s="50">
        <f>SUM(C152:N152)</f>
        <v>7689.9128897149394</v>
      </c>
      <c r="P152" s="40"/>
      <c r="Q152" s="40"/>
      <c r="R152" s="40"/>
      <c r="S152" s="41"/>
    </row>
    <row r="153" spans="1:19" ht="16.5" thickBot="1">
      <c r="A153" s="51"/>
      <c r="B153" s="52" t="s">
        <v>59</v>
      </c>
      <c r="C153" s="53">
        <f t="shared" ref="C153:O153" si="109">C152/C$103</f>
        <v>1.6470344510830481</v>
      </c>
      <c r="D153" s="54">
        <f t="shared" si="109"/>
        <v>1.6949863539195347</v>
      </c>
      <c r="E153" s="53">
        <f t="shared" si="109"/>
        <v>1.7468323818188058</v>
      </c>
      <c r="F153" s="54">
        <f t="shared" si="109"/>
        <v>1.1223223136578904</v>
      </c>
      <c r="G153" s="53">
        <f t="shared" si="109"/>
        <v>1.2253423863943789</v>
      </c>
      <c r="H153" s="54">
        <f t="shared" si="109"/>
        <v>0.4786183021009176</v>
      </c>
      <c r="I153" s="53">
        <f t="shared" si="109"/>
        <v>1.1456614609582645</v>
      </c>
      <c r="J153" s="54">
        <f t="shared" si="109"/>
        <v>1.2929853433666016</v>
      </c>
      <c r="K153" s="53">
        <f t="shared" si="109"/>
        <v>0.6983189062773576</v>
      </c>
      <c r="L153" s="54">
        <f t="shared" si="109"/>
        <v>0.73996345497522931</v>
      </c>
      <c r="M153" s="53">
        <f t="shared" si="109"/>
        <v>1.3056121454566318</v>
      </c>
      <c r="N153" s="54">
        <f t="shared" si="109"/>
        <v>1.0785234122346457</v>
      </c>
      <c r="O153" s="55">
        <f t="shared" si="109"/>
        <v>1.1136072843760791</v>
      </c>
      <c r="P153" s="56"/>
      <c r="Q153" s="57"/>
      <c r="R153" s="57"/>
      <c r="S153" s="41"/>
    </row>
    <row r="154" spans="1:19">
      <c r="A154" s="28" t="s">
        <v>70</v>
      </c>
      <c r="B154" s="29" t="s">
        <v>55</v>
      </c>
      <c r="C154" s="30">
        <f>AVERAGE('Lex WTPs 2007-2010'!G57,'2011 Actual Costs'!C154)</f>
        <v>0</v>
      </c>
      <c r="D154" s="31">
        <f>AVERAGE('Lex WTPs 2007-2010'!L57,'2011 Actual Costs'!D154)</f>
        <v>0</v>
      </c>
      <c r="E154" s="30">
        <f>AVERAGE('Lex WTPs 2007-2010'!Q57,'2011 Actual Costs'!E154)</f>
        <v>0</v>
      </c>
      <c r="F154" s="31">
        <f>AVERAGE('Lex WTPs 2007-2010'!V57,'2011 Actual Costs'!F154)</f>
        <v>0</v>
      </c>
      <c r="G154" s="30">
        <f>AVERAGE('Lex WTPs 2007-2010'!AA57,'2011 Actual Costs'!G154)</f>
        <v>0</v>
      </c>
      <c r="H154" s="31">
        <f>AVERAGE('Lex WTPs 2007-2010'!AF57,'2011 Actual Costs'!H154)</f>
        <v>0.44586686317472884</v>
      </c>
      <c r="I154" s="30">
        <f>AVERAGE('Lex WTPs 2007-2010'!AK57,'2011 Actual Costs'!I154)</f>
        <v>0.87509052436520451</v>
      </c>
      <c r="J154" s="31">
        <f>AVERAGE('Lex WTPs 2007-2010'!AP57,'2011 Actual Costs'!J154)</f>
        <v>0.39991432343985966</v>
      </c>
      <c r="K154" s="30">
        <f>AVERAGE('Lex WTPs 2007-2010'!AU57,'2011 Actual Costs'!K154)</f>
        <v>4.4219036933238108E-2</v>
      </c>
      <c r="L154" s="31">
        <f>AVERAGE('Lex WTPs 2007-2010'!AZ57,'2011 Actual Costs'!L154)</f>
        <v>3.7481865877004659E-2</v>
      </c>
      <c r="M154" s="30">
        <f>AVERAGE('Lex WTPs 2007-2010'!BE57,'2011 Actual Costs'!M154)</f>
        <v>0</v>
      </c>
      <c r="N154" s="31">
        <f>AVERAGE('Lex WTPs 2007-2010'!BJ57,'2011 Actual Costs'!N154)</f>
        <v>0</v>
      </c>
      <c r="O154" s="32">
        <f>O155/O$103</f>
        <v>0.19569617847927898</v>
      </c>
      <c r="P154" s="9"/>
      <c r="Q154" s="9"/>
      <c r="R154" s="9"/>
      <c r="S154" s="70"/>
    </row>
    <row r="155" spans="1:19">
      <c r="A155" s="34" t="s">
        <v>71</v>
      </c>
      <c r="B155" s="35" t="s">
        <v>57</v>
      </c>
      <c r="C155" s="65">
        <f t="shared" ref="C155:N155" si="110">C$103*C154</f>
        <v>0</v>
      </c>
      <c r="D155" s="66">
        <f t="shared" si="110"/>
        <v>0</v>
      </c>
      <c r="E155" s="65">
        <f t="shared" si="110"/>
        <v>0</v>
      </c>
      <c r="F155" s="66">
        <f t="shared" si="110"/>
        <v>0</v>
      </c>
      <c r="G155" s="65">
        <f t="shared" si="110"/>
        <v>0</v>
      </c>
      <c r="H155" s="66">
        <f t="shared" si="110"/>
        <v>338.63269031575584</v>
      </c>
      <c r="I155" s="65">
        <f t="shared" si="110"/>
        <v>640.322853664381</v>
      </c>
      <c r="J155" s="66">
        <f t="shared" si="110"/>
        <v>315.36794320604241</v>
      </c>
      <c r="K155" s="65">
        <f t="shared" si="110"/>
        <v>30.50036363067267</v>
      </c>
      <c r="L155" s="66">
        <f t="shared" si="110"/>
        <v>26.538147680586079</v>
      </c>
      <c r="M155" s="65">
        <f t="shared" si="110"/>
        <v>0</v>
      </c>
      <c r="N155" s="66">
        <f t="shared" si="110"/>
        <v>0</v>
      </c>
      <c r="O155" s="67">
        <f>SUM(C155:N155)</f>
        <v>1351.3619984974378</v>
      </c>
      <c r="P155" s="15"/>
      <c r="Q155" s="15"/>
      <c r="R155" s="15"/>
      <c r="S155" s="71"/>
    </row>
    <row r="156" spans="1:19" ht="15.75">
      <c r="A156" s="34" t="s">
        <v>56</v>
      </c>
      <c r="B156" s="35" t="s">
        <v>58</v>
      </c>
      <c r="C156" s="43">
        <f>'Price Changes'!D31</f>
        <v>0</v>
      </c>
      <c r="D156" s="44">
        <f t="shared" ref="D156:N156" si="111">C156</f>
        <v>0</v>
      </c>
      <c r="E156" s="43">
        <f t="shared" si="111"/>
        <v>0</v>
      </c>
      <c r="F156" s="44">
        <f t="shared" si="111"/>
        <v>0</v>
      </c>
      <c r="G156" s="43">
        <f t="shared" si="111"/>
        <v>0</v>
      </c>
      <c r="H156" s="44">
        <f t="shared" si="111"/>
        <v>0</v>
      </c>
      <c r="I156" s="43">
        <f t="shared" si="111"/>
        <v>0</v>
      </c>
      <c r="J156" s="44">
        <f t="shared" si="111"/>
        <v>0</v>
      </c>
      <c r="K156" s="43">
        <f t="shared" si="111"/>
        <v>0</v>
      </c>
      <c r="L156" s="44">
        <f t="shared" si="111"/>
        <v>0</v>
      </c>
      <c r="M156" s="43">
        <f t="shared" si="111"/>
        <v>0</v>
      </c>
      <c r="N156" s="44">
        <f t="shared" si="111"/>
        <v>0</v>
      </c>
      <c r="O156" s="45">
        <f>IF(O155=0,0,+O157/O155)</f>
        <v>0</v>
      </c>
      <c r="P156" s="15"/>
      <c r="Q156" s="72"/>
      <c r="R156" s="15"/>
      <c r="S156" s="15"/>
    </row>
    <row r="157" spans="1:19">
      <c r="A157" s="42"/>
      <c r="B157" s="35" t="s">
        <v>15</v>
      </c>
      <c r="C157" s="48">
        <f t="shared" ref="C157:N157" si="112">C155*C156</f>
        <v>0</v>
      </c>
      <c r="D157" s="49">
        <f t="shared" si="112"/>
        <v>0</v>
      </c>
      <c r="E157" s="48">
        <f t="shared" si="112"/>
        <v>0</v>
      </c>
      <c r="F157" s="49">
        <f t="shared" si="112"/>
        <v>0</v>
      </c>
      <c r="G157" s="48">
        <f t="shared" si="112"/>
        <v>0</v>
      </c>
      <c r="H157" s="49">
        <f t="shared" si="112"/>
        <v>0</v>
      </c>
      <c r="I157" s="48">
        <f t="shared" si="112"/>
        <v>0</v>
      </c>
      <c r="J157" s="49">
        <f t="shared" si="112"/>
        <v>0</v>
      </c>
      <c r="K157" s="48">
        <f t="shared" si="112"/>
        <v>0</v>
      </c>
      <c r="L157" s="49">
        <f t="shared" si="112"/>
        <v>0</v>
      </c>
      <c r="M157" s="48">
        <f t="shared" si="112"/>
        <v>0</v>
      </c>
      <c r="N157" s="49">
        <f t="shared" si="112"/>
        <v>0</v>
      </c>
      <c r="O157" s="50">
        <f>SUM(C157:N157)</f>
        <v>0</v>
      </c>
      <c r="P157" s="15"/>
      <c r="Q157" s="15"/>
      <c r="R157" s="15"/>
      <c r="S157" s="15"/>
    </row>
    <row r="158" spans="1:19" ht="13.5" thickBot="1">
      <c r="A158" s="51"/>
      <c r="B158" s="52" t="s">
        <v>59</v>
      </c>
      <c r="C158" s="53">
        <f t="shared" ref="C158:O158" si="113">C157/C$103</f>
        <v>0</v>
      </c>
      <c r="D158" s="54">
        <f t="shared" si="113"/>
        <v>0</v>
      </c>
      <c r="E158" s="53">
        <f t="shared" si="113"/>
        <v>0</v>
      </c>
      <c r="F158" s="54">
        <f t="shared" si="113"/>
        <v>0</v>
      </c>
      <c r="G158" s="53">
        <f t="shared" si="113"/>
        <v>0</v>
      </c>
      <c r="H158" s="54">
        <f t="shared" si="113"/>
        <v>0</v>
      </c>
      <c r="I158" s="53">
        <f t="shared" si="113"/>
        <v>0</v>
      </c>
      <c r="J158" s="54">
        <f t="shared" si="113"/>
        <v>0</v>
      </c>
      <c r="K158" s="53">
        <f t="shared" si="113"/>
        <v>0</v>
      </c>
      <c r="L158" s="54">
        <f t="shared" si="113"/>
        <v>0</v>
      </c>
      <c r="M158" s="53">
        <f t="shared" si="113"/>
        <v>0</v>
      </c>
      <c r="N158" s="54">
        <f t="shared" si="113"/>
        <v>0</v>
      </c>
      <c r="O158" s="55">
        <f t="shared" si="113"/>
        <v>0</v>
      </c>
      <c r="P158" s="8"/>
      <c r="S158" s="41"/>
    </row>
    <row r="159" spans="1:19">
      <c r="A159" s="28" t="s">
        <v>72</v>
      </c>
      <c r="B159" s="29" t="s">
        <v>55</v>
      </c>
      <c r="C159" s="30">
        <f>AVERAGE('Lex WTPs 2007-2010'!G54,'2011 Actual Costs'!C159)</f>
        <v>3.8344488258634928</v>
      </c>
      <c r="D159" s="31">
        <f>AVERAGE('Lex WTPs 2007-2010'!L54,'2011 Actual Costs'!D159)</f>
        <v>4.0953803390688375</v>
      </c>
      <c r="E159" s="30">
        <f>AVERAGE('Lex WTPs 2007-2010'!Q54,'2011 Actual Costs'!E159)</f>
        <v>5.3207782897368716</v>
      </c>
      <c r="F159" s="31">
        <f>AVERAGE('Lex WTPs 2007-2010'!V54,'2011 Actual Costs'!F159)</f>
        <v>3.8225956387773969</v>
      </c>
      <c r="G159" s="30">
        <f>AVERAGE('Lex WTPs 2007-2010'!AA54,'2011 Actual Costs'!G159)</f>
        <v>2.6449965154907682</v>
      </c>
      <c r="H159" s="31">
        <f>AVERAGE('Lex WTPs 2007-2010'!AF54,'2011 Actual Costs'!H159)</f>
        <v>3.4440593797743775</v>
      </c>
      <c r="I159" s="30">
        <f>AVERAGE('Lex WTPs 2007-2010'!AK54,'2011 Actual Costs'!I159)</f>
        <v>3.1902332430371079</v>
      </c>
      <c r="J159" s="31">
        <f>AVERAGE('Lex WTPs 2007-2010'!AP54,'2011 Actual Costs'!J159)</f>
        <v>2.8848134679454618</v>
      </c>
      <c r="K159" s="30">
        <f>AVERAGE('Lex WTPs 2007-2010'!AU54,'2011 Actual Costs'!K159)</f>
        <v>3.4077321599157262</v>
      </c>
      <c r="L159" s="31">
        <f>AVERAGE('Lex WTPs 2007-2010'!AZ54,'2011 Actual Costs'!L159)</f>
        <v>3.1160118777733583</v>
      </c>
      <c r="M159" s="30">
        <f>AVERAGE('Lex WTPs 2007-2010'!BE54,'2011 Actual Costs'!M159)</f>
        <v>7.1178154811962022</v>
      </c>
      <c r="N159" s="31">
        <f>AVERAGE('Lex WTPs 2007-2010'!BJ54,'2011 Actual Costs'!N159)</f>
        <v>3.60071943481997</v>
      </c>
      <c r="O159" s="32">
        <f>O160/O$103</f>
        <v>3.7614376575274382</v>
      </c>
    </row>
    <row r="160" spans="1:19">
      <c r="A160" s="34" t="s">
        <v>56</v>
      </c>
      <c r="B160" s="35" t="s">
        <v>57</v>
      </c>
      <c r="C160" s="36">
        <f t="shared" ref="C160:N160" si="114">C$103*C159</f>
        <v>1451.4049451753976</v>
      </c>
      <c r="D160" s="37">
        <f t="shared" si="114"/>
        <v>1687.0017208114143</v>
      </c>
      <c r="E160" s="36">
        <f t="shared" si="114"/>
        <v>2256.3391396125189</v>
      </c>
      <c r="F160" s="37">
        <f t="shared" si="114"/>
        <v>1610.558508006141</v>
      </c>
      <c r="G160" s="36">
        <f t="shared" si="114"/>
        <v>1479.9314696166261</v>
      </c>
      <c r="H160" s="37">
        <f t="shared" si="114"/>
        <v>2615.7384405648595</v>
      </c>
      <c r="I160" s="36">
        <f t="shared" si="114"/>
        <v>2334.3633568862342</v>
      </c>
      <c r="J160" s="37">
        <f t="shared" si="114"/>
        <v>2274.9314955603631</v>
      </c>
      <c r="K160" s="36">
        <f t="shared" si="114"/>
        <v>2350.5050593999008</v>
      </c>
      <c r="L160" s="37">
        <f t="shared" si="114"/>
        <v>2206.2184326192378</v>
      </c>
      <c r="M160" s="36">
        <f t="shared" si="114"/>
        <v>4026.5913112851968</v>
      </c>
      <c r="N160" s="37">
        <f t="shared" si="114"/>
        <v>1680.6786206264285</v>
      </c>
      <c r="O160" s="38">
        <f>SUM(C160:N160)</f>
        <v>25974.262500164317</v>
      </c>
      <c r="P160" s="57"/>
      <c r="Q160" s="57"/>
      <c r="R160" s="60"/>
      <c r="S160" s="41"/>
    </row>
    <row r="161" spans="1:20" ht="15.75">
      <c r="A161" s="42"/>
      <c r="B161" s="35" t="s">
        <v>58</v>
      </c>
      <c r="C161" s="43">
        <f>'Price Changes'!D32</f>
        <v>0.16159999999999999</v>
      </c>
      <c r="D161" s="44">
        <f t="shared" ref="D161:N161" si="115">C161</f>
        <v>0.16159999999999999</v>
      </c>
      <c r="E161" s="43">
        <f t="shared" si="115"/>
        <v>0.16159999999999999</v>
      </c>
      <c r="F161" s="44">
        <f t="shared" si="115"/>
        <v>0.16159999999999999</v>
      </c>
      <c r="G161" s="43">
        <f t="shared" si="115"/>
        <v>0.16159999999999999</v>
      </c>
      <c r="H161" s="44">
        <f t="shared" si="115"/>
        <v>0.16159999999999999</v>
      </c>
      <c r="I161" s="43">
        <f t="shared" si="115"/>
        <v>0.16159999999999999</v>
      </c>
      <c r="J161" s="44">
        <f t="shared" si="115"/>
        <v>0.16159999999999999</v>
      </c>
      <c r="K161" s="43">
        <f t="shared" si="115"/>
        <v>0.16159999999999999</v>
      </c>
      <c r="L161" s="44">
        <f t="shared" si="115"/>
        <v>0.16159999999999999</v>
      </c>
      <c r="M161" s="43">
        <f t="shared" si="115"/>
        <v>0.16159999999999999</v>
      </c>
      <c r="N161" s="44">
        <f t="shared" si="115"/>
        <v>0.16159999999999999</v>
      </c>
      <c r="O161" s="45">
        <f>IF(O160=0,0,+O162/O160)</f>
        <v>0.16159999999999999</v>
      </c>
      <c r="P161" s="46"/>
      <c r="Q161" s="47"/>
      <c r="R161" s="47"/>
      <c r="S161" s="41"/>
    </row>
    <row r="162" spans="1:20">
      <c r="A162" s="42"/>
      <c r="B162" s="35" t="s">
        <v>15</v>
      </c>
      <c r="C162" s="48">
        <f t="shared" ref="C162:N162" si="116">C160*C161</f>
        <v>234.54703914034425</v>
      </c>
      <c r="D162" s="49">
        <f t="shared" si="116"/>
        <v>272.61947808312453</v>
      </c>
      <c r="E162" s="48">
        <f t="shared" si="116"/>
        <v>364.62440496138305</v>
      </c>
      <c r="F162" s="49">
        <f t="shared" si="116"/>
        <v>260.26625489379239</v>
      </c>
      <c r="G162" s="48">
        <f t="shared" si="116"/>
        <v>239.15692549004677</v>
      </c>
      <c r="H162" s="49">
        <f t="shared" si="116"/>
        <v>422.7033319952813</v>
      </c>
      <c r="I162" s="48">
        <f t="shared" si="116"/>
        <v>377.23311847281542</v>
      </c>
      <c r="J162" s="49">
        <f t="shared" si="116"/>
        <v>367.62892968255466</v>
      </c>
      <c r="K162" s="48">
        <f t="shared" si="116"/>
        <v>379.84161759902395</v>
      </c>
      <c r="L162" s="49">
        <f t="shared" si="116"/>
        <v>356.5248987112688</v>
      </c>
      <c r="M162" s="48">
        <f t="shared" si="116"/>
        <v>650.69715590368776</v>
      </c>
      <c r="N162" s="49">
        <f t="shared" si="116"/>
        <v>271.59766509323083</v>
      </c>
      <c r="O162" s="50">
        <f>SUM(C162:N162)</f>
        <v>4197.4408200265534</v>
      </c>
      <c r="P162" s="40"/>
      <c r="Q162" s="40"/>
      <c r="R162" s="40"/>
      <c r="S162" s="41"/>
    </row>
    <row r="163" spans="1:20" ht="16.5" thickBot="1">
      <c r="A163" s="51"/>
      <c r="B163" s="52" t="s">
        <v>59</v>
      </c>
      <c r="C163" s="53">
        <f t="shared" ref="C163:O163" si="117">C162/C$103</f>
        <v>0.61964693025954032</v>
      </c>
      <c r="D163" s="54">
        <f t="shared" si="117"/>
        <v>0.66181346279352415</v>
      </c>
      <c r="E163" s="53">
        <f t="shared" si="117"/>
        <v>0.85983777162147845</v>
      </c>
      <c r="F163" s="54">
        <f t="shared" si="117"/>
        <v>0.61773145522642736</v>
      </c>
      <c r="G163" s="53">
        <f t="shared" si="117"/>
        <v>0.42743143690330809</v>
      </c>
      <c r="H163" s="54">
        <f t="shared" si="117"/>
        <v>0.55655999577153936</v>
      </c>
      <c r="I163" s="53">
        <f t="shared" si="117"/>
        <v>0.51554169207479661</v>
      </c>
      <c r="J163" s="54">
        <f t="shared" si="117"/>
        <v>0.46618585641998661</v>
      </c>
      <c r="K163" s="53">
        <f t="shared" si="117"/>
        <v>0.55068951704238134</v>
      </c>
      <c r="L163" s="54">
        <f t="shared" si="117"/>
        <v>0.50354751944817466</v>
      </c>
      <c r="M163" s="53">
        <f t="shared" si="117"/>
        <v>1.1502389817613063</v>
      </c>
      <c r="N163" s="54">
        <f t="shared" si="117"/>
        <v>0.58187626066690712</v>
      </c>
      <c r="O163" s="55">
        <f t="shared" si="117"/>
        <v>0.60784832545643397</v>
      </c>
      <c r="P163" s="56"/>
      <c r="Q163" s="57"/>
      <c r="R163" s="57"/>
      <c r="S163" s="41"/>
    </row>
    <row r="164" spans="1:20">
      <c r="A164" s="181" t="s">
        <v>73</v>
      </c>
      <c r="B164" s="29" t="s">
        <v>55</v>
      </c>
      <c r="C164" s="30">
        <v>0</v>
      </c>
      <c r="D164" s="31">
        <v>0</v>
      </c>
      <c r="E164" s="30">
        <v>0</v>
      </c>
      <c r="F164" s="31">
        <v>0</v>
      </c>
      <c r="G164" s="30">
        <v>0</v>
      </c>
      <c r="H164" s="31">
        <v>0</v>
      </c>
      <c r="I164" s="30">
        <v>0</v>
      </c>
      <c r="J164" s="31">
        <v>0</v>
      </c>
      <c r="K164" s="30">
        <v>0</v>
      </c>
      <c r="L164" s="31">
        <v>0</v>
      </c>
      <c r="M164" s="30">
        <v>0</v>
      </c>
      <c r="N164" s="31">
        <v>0</v>
      </c>
      <c r="O164" s="32">
        <f>O165/O$103</f>
        <v>0</v>
      </c>
    </row>
    <row r="165" spans="1:20">
      <c r="A165" s="103" t="s">
        <v>64</v>
      </c>
      <c r="B165" s="35" t="s">
        <v>57</v>
      </c>
      <c r="C165" s="65">
        <f t="shared" ref="C165:N165" si="118">C$103*C164</f>
        <v>0</v>
      </c>
      <c r="D165" s="66">
        <f t="shared" si="118"/>
        <v>0</v>
      </c>
      <c r="E165" s="65">
        <f t="shared" si="118"/>
        <v>0</v>
      </c>
      <c r="F165" s="66">
        <f t="shared" si="118"/>
        <v>0</v>
      </c>
      <c r="G165" s="65">
        <f t="shared" si="118"/>
        <v>0</v>
      </c>
      <c r="H165" s="66">
        <f t="shared" si="118"/>
        <v>0</v>
      </c>
      <c r="I165" s="65">
        <f t="shared" si="118"/>
        <v>0</v>
      </c>
      <c r="J165" s="66">
        <f t="shared" si="118"/>
        <v>0</v>
      </c>
      <c r="K165" s="65">
        <f t="shared" si="118"/>
        <v>0</v>
      </c>
      <c r="L165" s="66">
        <f t="shared" si="118"/>
        <v>0</v>
      </c>
      <c r="M165" s="65">
        <f t="shared" si="118"/>
        <v>0</v>
      </c>
      <c r="N165" s="66">
        <f t="shared" si="118"/>
        <v>0</v>
      </c>
      <c r="O165" s="67">
        <f>SUM(C165:N165)</f>
        <v>0</v>
      </c>
      <c r="P165" s="57"/>
      <c r="Q165" s="57"/>
      <c r="R165" s="60"/>
      <c r="S165" s="41"/>
      <c r="T165" s="8"/>
    </row>
    <row r="166" spans="1:20" ht="15.75">
      <c r="A166" s="42"/>
      <c r="B166" s="35" t="s">
        <v>58</v>
      </c>
      <c r="C166" s="43">
        <f>C70</f>
        <v>0</v>
      </c>
      <c r="D166" s="44">
        <f t="shared" ref="D166:N166" si="119">C166</f>
        <v>0</v>
      </c>
      <c r="E166" s="43">
        <f t="shared" si="119"/>
        <v>0</v>
      </c>
      <c r="F166" s="44">
        <f t="shared" si="119"/>
        <v>0</v>
      </c>
      <c r="G166" s="43">
        <f t="shared" si="119"/>
        <v>0</v>
      </c>
      <c r="H166" s="44">
        <f t="shared" si="119"/>
        <v>0</v>
      </c>
      <c r="I166" s="43">
        <f t="shared" si="119"/>
        <v>0</v>
      </c>
      <c r="J166" s="44">
        <f t="shared" si="119"/>
        <v>0</v>
      </c>
      <c r="K166" s="43">
        <f t="shared" si="119"/>
        <v>0</v>
      </c>
      <c r="L166" s="44">
        <f t="shared" si="119"/>
        <v>0</v>
      </c>
      <c r="M166" s="43">
        <f t="shared" si="119"/>
        <v>0</v>
      </c>
      <c r="N166" s="44">
        <f t="shared" si="119"/>
        <v>0</v>
      </c>
      <c r="O166" s="45">
        <f>IF(O165=0,0,+O167/O165)</f>
        <v>0</v>
      </c>
      <c r="P166" s="46"/>
      <c r="Q166" s="46"/>
      <c r="R166" s="47"/>
      <c r="S166" s="41"/>
      <c r="T166" s="8"/>
    </row>
    <row r="167" spans="1:20">
      <c r="A167" s="42"/>
      <c r="B167" s="35" t="s">
        <v>15</v>
      </c>
      <c r="C167" s="48">
        <f t="shared" ref="C167:N167" si="120">C165*C166</f>
        <v>0</v>
      </c>
      <c r="D167" s="49">
        <f t="shared" si="120"/>
        <v>0</v>
      </c>
      <c r="E167" s="48">
        <f t="shared" si="120"/>
        <v>0</v>
      </c>
      <c r="F167" s="49">
        <f t="shared" si="120"/>
        <v>0</v>
      </c>
      <c r="G167" s="48">
        <f t="shared" si="120"/>
        <v>0</v>
      </c>
      <c r="H167" s="49">
        <f t="shared" si="120"/>
        <v>0</v>
      </c>
      <c r="I167" s="48">
        <f t="shared" si="120"/>
        <v>0</v>
      </c>
      <c r="J167" s="49">
        <f t="shared" si="120"/>
        <v>0</v>
      </c>
      <c r="K167" s="48">
        <f t="shared" si="120"/>
        <v>0</v>
      </c>
      <c r="L167" s="49">
        <f t="shared" si="120"/>
        <v>0</v>
      </c>
      <c r="M167" s="48">
        <f t="shared" si="120"/>
        <v>0</v>
      </c>
      <c r="N167" s="49">
        <f t="shared" si="120"/>
        <v>0</v>
      </c>
      <c r="O167" s="50">
        <f>SUM(C167:N167)</f>
        <v>0</v>
      </c>
      <c r="P167" s="40"/>
      <c r="Q167" s="40"/>
      <c r="R167" s="40"/>
      <c r="S167" s="41"/>
      <c r="T167" s="8"/>
    </row>
    <row r="168" spans="1:20" ht="16.5" thickBot="1">
      <c r="A168" s="51"/>
      <c r="B168" s="52" t="s">
        <v>59</v>
      </c>
      <c r="C168" s="53">
        <f t="shared" ref="C168:O168" si="121">C167/C$103</f>
        <v>0</v>
      </c>
      <c r="D168" s="54">
        <f t="shared" si="121"/>
        <v>0</v>
      </c>
      <c r="E168" s="53">
        <f t="shared" si="121"/>
        <v>0</v>
      </c>
      <c r="F168" s="54">
        <f t="shared" si="121"/>
        <v>0</v>
      </c>
      <c r="G168" s="53">
        <f t="shared" si="121"/>
        <v>0</v>
      </c>
      <c r="H168" s="54">
        <f t="shared" si="121"/>
        <v>0</v>
      </c>
      <c r="I168" s="53">
        <f t="shared" si="121"/>
        <v>0</v>
      </c>
      <c r="J168" s="54">
        <f t="shared" si="121"/>
        <v>0</v>
      </c>
      <c r="K168" s="53">
        <f t="shared" si="121"/>
        <v>0</v>
      </c>
      <c r="L168" s="54">
        <f t="shared" si="121"/>
        <v>0</v>
      </c>
      <c r="M168" s="53">
        <f t="shared" si="121"/>
        <v>0</v>
      </c>
      <c r="N168" s="54">
        <f t="shared" si="121"/>
        <v>0</v>
      </c>
      <c r="O168" s="55">
        <f t="shared" si="121"/>
        <v>0</v>
      </c>
      <c r="P168" s="56"/>
      <c r="Q168" s="56"/>
      <c r="R168" s="57"/>
      <c r="S168" s="41"/>
      <c r="T168" s="8"/>
    </row>
    <row r="169" spans="1:20">
      <c r="A169" s="28" t="s">
        <v>74</v>
      </c>
      <c r="B169" s="29" t="s">
        <v>55</v>
      </c>
      <c r="C169" s="30">
        <f>AVERAGE('Lex WTPs 2007-2010'!G56,'2011 Actual Costs'!C169)</f>
        <v>10.474195216452829</v>
      </c>
      <c r="D169" s="31">
        <f>AVERAGE('Lex WTPs 2007-2010'!L56,'2011 Actual Costs'!D169)</f>
        <v>16.753778431624681</v>
      </c>
      <c r="E169" s="30">
        <f>AVERAGE('Lex WTPs 2007-2010'!Q56,'2011 Actual Costs'!E169)</f>
        <v>26.336949141045707</v>
      </c>
      <c r="F169" s="31">
        <f>AVERAGE('Lex WTPs 2007-2010'!V56,'2011 Actual Costs'!F169)</f>
        <v>39.958204688501645</v>
      </c>
      <c r="G169" s="30">
        <f>AVERAGE('Lex WTPs 2007-2010'!AA56,'2011 Actual Costs'!G169)</f>
        <v>43.393119398072571</v>
      </c>
      <c r="H169" s="31">
        <f>AVERAGE('Lex WTPs 2007-2010'!AF56,'2011 Actual Costs'!H169)</f>
        <v>25.113956325561603</v>
      </c>
      <c r="I169" s="30">
        <f>AVERAGE('Lex WTPs 2007-2010'!AK56,'2011 Actual Costs'!I169)</f>
        <v>32.355187180990669</v>
      </c>
      <c r="J169" s="31">
        <f>AVERAGE('Lex WTPs 2007-2010'!AP56,'2011 Actual Costs'!J169)</f>
        <v>57.74605140683947</v>
      </c>
      <c r="K169" s="30">
        <f>AVERAGE('Lex WTPs 2007-2010'!AU56,'2011 Actual Costs'!K169)</f>
        <v>40.322681950330235</v>
      </c>
      <c r="L169" s="31">
        <f>AVERAGE('Lex WTPs 2007-2010'!AZ56,'2011 Actual Costs'!L169)</f>
        <v>54.265918757229919</v>
      </c>
      <c r="M169" s="30">
        <f>AVERAGE('Lex WTPs 2007-2010'!BE56,'2011 Actual Costs'!M169)</f>
        <v>28.248465299940879</v>
      </c>
      <c r="N169" s="31">
        <f>AVERAGE('Lex WTPs 2007-2010'!BJ56,'2011 Actual Costs'!N169)</f>
        <v>19.116269612533635</v>
      </c>
      <c r="O169" s="32">
        <f>O170/O$103</f>
        <v>35.128069315090649</v>
      </c>
    </row>
    <row r="170" spans="1:20">
      <c r="A170" s="103" t="s">
        <v>64</v>
      </c>
      <c r="B170" s="35" t="s">
        <v>57</v>
      </c>
      <c r="C170" s="36">
        <f t="shared" ref="C170:N170" si="122">C$103*C169</f>
        <v>3964.6633517057494</v>
      </c>
      <c r="D170" s="37">
        <f t="shared" si="122"/>
        <v>6901.3499856451117</v>
      </c>
      <c r="E170" s="36">
        <f t="shared" si="122"/>
        <v>11168.495646501462</v>
      </c>
      <c r="F170" s="37">
        <f t="shared" si="122"/>
        <v>16835.426136336053</v>
      </c>
      <c r="G170" s="36">
        <f t="shared" si="122"/>
        <v>24279.36769894902</v>
      </c>
      <c r="H170" s="37">
        <f t="shared" si="122"/>
        <v>19073.870021295043</v>
      </c>
      <c r="I170" s="36">
        <f t="shared" si="122"/>
        <v>23674.99728283074</v>
      </c>
      <c r="J170" s="37">
        <f t="shared" si="122"/>
        <v>45537.88747500068</v>
      </c>
      <c r="K170" s="36">
        <f t="shared" si="122"/>
        <v>27812.827852987179</v>
      </c>
      <c r="L170" s="37">
        <f t="shared" si="122"/>
        <v>38421.698928429651</v>
      </c>
      <c r="M170" s="36">
        <f t="shared" si="122"/>
        <v>15980.327845583264</v>
      </c>
      <c r="N170" s="37">
        <f t="shared" si="122"/>
        <v>8922.7461971144385</v>
      </c>
      <c r="O170" s="38">
        <f>SUM(C170:N170)</f>
        <v>242573.65842237839</v>
      </c>
      <c r="P170" s="57"/>
      <c r="Q170" s="57"/>
      <c r="R170" s="60"/>
      <c r="S170" s="41"/>
      <c r="T170" s="8"/>
    </row>
    <row r="171" spans="1:20" ht="15.75">
      <c r="A171" s="42"/>
      <c r="B171" s="35" t="s">
        <v>58</v>
      </c>
      <c r="C171" s="43">
        <f>'Price Changes'!D34</f>
        <v>0.16800000000000001</v>
      </c>
      <c r="D171" s="44">
        <f t="shared" ref="D171:N171" si="123">C171</f>
        <v>0.16800000000000001</v>
      </c>
      <c r="E171" s="43">
        <f t="shared" si="123"/>
        <v>0.16800000000000001</v>
      </c>
      <c r="F171" s="44">
        <f t="shared" si="123"/>
        <v>0.16800000000000001</v>
      </c>
      <c r="G171" s="43">
        <f t="shared" si="123"/>
        <v>0.16800000000000001</v>
      </c>
      <c r="H171" s="44">
        <f t="shared" si="123"/>
        <v>0.16800000000000001</v>
      </c>
      <c r="I171" s="43">
        <f t="shared" si="123"/>
        <v>0.16800000000000001</v>
      </c>
      <c r="J171" s="44">
        <f t="shared" si="123"/>
        <v>0.16800000000000001</v>
      </c>
      <c r="K171" s="43">
        <f t="shared" si="123"/>
        <v>0.16800000000000001</v>
      </c>
      <c r="L171" s="44">
        <f t="shared" si="123"/>
        <v>0.16800000000000001</v>
      </c>
      <c r="M171" s="43">
        <f t="shared" si="123"/>
        <v>0.16800000000000001</v>
      </c>
      <c r="N171" s="44">
        <f t="shared" si="123"/>
        <v>0.16800000000000001</v>
      </c>
      <c r="O171" s="45">
        <f>IF(O170=0,0,+O172/O170)</f>
        <v>0.16800000000000004</v>
      </c>
      <c r="P171" s="46"/>
      <c r="Q171" s="46"/>
      <c r="R171" s="47"/>
      <c r="S171" s="41"/>
      <c r="T171" s="8"/>
    </row>
    <row r="172" spans="1:20">
      <c r="A172" s="42"/>
      <c r="B172" s="35" t="s">
        <v>15</v>
      </c>
      <c r="C172" s="48">
        <f t="shared" ref="C172:N172" si="124">C170*C171</f>
        <v>666.06344308656594</v>
      </c>
      <c r="D172" s="49">
        <f t="shared" si="124"/>
        <v>1159.4267975883788</v>
      </c>
      <c r="E172" s="48">
        <f t="shared" si="124"/>
        <v>1876.3072686122457</v>
      </c>
      <c r="F172" s="49">
        <f t="shared" si="124"/>
        <v>2828.3515909044572</v>
      </c>
      <c r="G172" s="48">
        <f t="shared" si="124"/>
        <v>4078.9337734234355</v>
      </c>
      <c r="H172" s="49">
        <f t="shared" si="124"/>
        <v>3204.4101635775673</v>
      </c>
      <c r="I172" s="48">
        <f t="shared" si="124"/>
        <v>3977.3995435155643</v>
      </c>
      <c r="J172" s="49">
        <f t="shared" si="124"/>
        <v>7650.3650958001144</v>
      </c>
      <c r="K172" s="48">
        <f t="shared" si="124"/>
        <v>4672.5550793018465</v>
      </c>
      <c r="L172" s="49">
        <f t="shared" si="124"/>
        <v>6454.8454199761818</v>
      </c>
      <c r="M172" s="48">
        <f t="shared" si="124"/>
        <v>2684.6950780579887</v>
      </c>
      <c r="N172" s="49">
        <f t="shared" si="124"/>
        <v>1499.0213611152258</v>
      </c>
      <c r="O172" s="50">
        <f>SUM(C172:N172)</f>
        <v>40752.374614959575</v>
      </c>
      <c r="P172" s="40"/>
      <c r="Q172" s="40"/>
      <c r="R172" s="40"/>
      <c r="S172" s="41"/>
      <c r="T172" s="8"/>
    </row>
    <row r="173" spans="1:20" ht="16.5" thickBot="1">
      <c r="A173" s="51"/>
      <c r="B173" s="52" t="s">
        <v>59</v>
      </c>
      <c r="C173" s="53">
        <f t="shared" ref="C173:O173" si="125">C172/C$103</f>
        <v>1.7596647963640752</v>
      </c>
      <c r="D173" s="54">
        <f t="shared" si="125"/>
        <v>2.8146347765129467</v>
      </c>
      <c r="E173" s="53">
        <f t="shared" si="125"/>
        <v>4.4246074556956794</v>
      </c>
      <c r="F173" s="54">
        <f t="shared" si="125"/>
        <v>6.7129783876682776</v>
      </c>
      <c r="G173" s="53">
        <f t="shared" si="125"/>
        <v>7.2900440588761919</v>
      </c>
      <c r="H173" s="54">
        <f t="shared" si="125"/>
        <v>4.2191446626943492</v>
      </c>
      <c r="I173" s="53">
        <f t="shared" si="125"/>
        <v>5.435671446406432</v>
      </c>
      <c r="J173" s="54">
        <f t="shared" si="125"/>
        <v>9.7013366363490317</v>
      </c>
      <c r="K173" s="53">
        <f t="shared" si="125"/>
        <v>6.77421056765548</v>
      </c>
      <c r="L173" s="54">
        <f t="shared" si="125"/>
        <v>9.1166743512146269</v>
      </c>
      <c r="M173" s="53">
        <f t="shared" si="125"/>
        <v>4.7457421703900682</v>
      </c>
      <c r="N173" s="54">
        <f t="shared" si="125"/>
        <v>3.2115332949056508</v>
      </c>
      <c r="O173" s="55">
        <f t="shared" si="125"/>
        <v>5.9015156449352295</v>
      </c>
      <c r="P173" s="56"/>
      <c r="Q173" s="56"/>
      <c r="R173" s="57"/>
      <c r="S173" s="41"/>
      <c r="T173" s="8"/>
    </row>
    <row r="174" spans="1:20">
      <c r="A174" s="181" t="s">
        <v>75</v>
      </c>
      <c r="B174" s="29" t="s">
        <v>55</v>
      </c>
      <c r="C174" s="30">
        <v>0</v>
      </c>
      <c r="D174" s="31">
        <v>0</v>
      </c>
      <c r="E174" s="30">
        <v>0</v>
      </c>
      <c r="F174" s="31">
        <v>0</v>
      </c>
      <c r="G174" s="30">
        <v>0</v>
      </c>
      <c r="H174" s="31">
        <v>0</v>
      </c>
      <c r="I174" s="30">
        <v>0</v>
      </c>
      <c r="J174" s="31">
        <v>0</v>
      </c>
      <c r="K174" s="30">
        <v>0</v>
      </c>
      <c r="L174" s="31">
        <v>0</v>
      </c>
      <c r="M174" s="30">
        <v>0</v>
      </c>
      <c r="N174" s="31">
        <v>0</v>
      </c>
      <c r="O174" s="32">
        <f>O175/O$103</f>
        <v>0</v>
      </c>
      <c r="P174" s="9"/>
      <c r="Q174" s="9"/>
      <c r="R174" s="9"/>
      <c r="S174" s="70"/>
    </row>
    <row r="175" spans="1:20">
      <c r="A175" s="34" t="s">
        <v>71</v>
      </c>
      <c r="B175" s="35" t="s">
        <v>57</v>
      </c>
      <c r="C175" s="65">
        <f t="shared" ref="C175:N175" si="126">C$103*C174</f>
        <v>0</v>
      </c>
      <c r="D175" s="66">
        <f t="shared" si="126"/>
        <v>0</v>
      </c>
      <c r="E175" s="65">
        <f t="shared" si="126"/>
        <v>0</v>
      </c>
      <c r="F175" s="66">
        <f t="shared" si="126"/>
        <v>0</v>
      </c>
      <c r="G175" s="65">
        <f t="shared" si="126"/>
        <v>0</v>
      </c>
      <c r="H175" s="66">
        <f t="shared" si="126"/>
        <v>0</v>
      </c>
      <c r="I175" s="65">
        <f t="shared" si="126"/>
        <v>0</v>
      </c>
      <c r="J175" s="66">
        <f t="shared" si="126"/>
        <v>0</v>
      </c>
      <c r="K175" s="65">
        <f t="shared" si="126"/>
        <v>0</v>
      </c>
      <c r="L175" s="66">
        <f t="shared" si="126"/>
        <v>0</v>
      </c>
      <c r="M175" s="65">
        <f t="shared" si="126"/>
        <v>0</v>
      </c>
      <c r="N175" s="66">
        <f t="shared" si="126"/>
        <v>0</v>
      </c>
      <c r="O175" s="67">
        <f>SUM(C175:N175)</f>
        <v>0</v>
      </c>
      <c r="P175" s="15"/>
      <c r="Q175" s="15"/>
      <c r="R175" s="15"/>
      <c r="S175" s="71"/>
    </row>
    <row r="176" spans="1:20" ht="15.75">
      <c r="A176" s="182" t="s">
        <v>64</v>
      </c>
      <c r="B176" s="35" t="s">
        <v>58</v>
      </c>
      <c r="C176" s="43">
        <f>'Price Changes'!D35</f>
        <v>0</v>
      </c>
      <c r="D176" s="44">
        <f t="shared" ref="D176:N176" si="127">C176</f>
        <v>0</v>
      </c>
      <c r="E176" s="43">
        <f t="shared" si="127"/>
        <v>0</v>
      </c>
      <c r="F176" s="44">
        <f t="shared" si="127"/>
        <v>0</v>
      </c>
      <c r="G176" s="43">
        <f t="shared" si="127"/>
        <v>0</v>
      </c>
      <c r="H176" s="44">
        <f t="shared" si="127"/>
        <v>0</v>
      </c>
      <c r="I176" s="43">
        <f t="shared" si="127"/>
        <v>0</v>
      </c>
      <c r="J176" s="44">
        <f t="shared" si="127"/>
        <v>0</v>
      </c>
      <c r="K176" s="43">
        <f t="shared" si="127"/>
        <v>0</v>
      </c>
      <c r="L176" s="44">
        <f t="shared" si="127"/>
        <v>0</v>
      </c>
      <c r="M176" s="43">
        <f t="shared" si="127"/>
        <v>0</v>
      </c>
      <c r="N176" s="44">
        <f t="shared" si="127"/>
        <v>0</v>
      </c>
      <c r="O176" s="45">
        <f>IF(O175=0,0,+O177/O175)</f>
        <v>0</v>
      </c>
      <c r="P176" s="15"/>
      <c r="Q176" s="72"/>
      <c r="R176" s="15"/>
      <c r="S176" s="15"/>
    </row>
    <row r="177" spans="1:19">
      <c r="A177" s="42"/>
      <c r="B177" s="35" t="s">
        <v>15</v>
      </c>
      <c r="C177" s="48">
        <f t="shared" ref="C177:N177" si="128">C175*C176</f>
        <v>0</v>
      </c>
      <c r="D177" s="49">
        <f t="shared" si="128"/>
        <v>0</v>
      </c>
      <c r="E177" s="48">
        <f t="shared" si="128"/>
        <v>0</v>
      </c>
      <c r="F177" s="49">
        <f t="shared" si="128"/>
        <v>0</v>
      </c>
      <c r="G177" s="48">
        <f t="shared" si="128"/>
        <v>0</v>
      </c>
      <c r="H177" s="49">
        <f t="shared" si="128"/>
        <v>0</v>
      </c>
      <c r="I177" s="48">
        <f t="shared" si="128"/>
        <v>0</v>
      </c>
      <c r="J177" s="49">
        <f t="shared" si="128"/>
        <v>0</v>
      </c>
      <c r="K177" s="48">
        <f t="shared" si="128"/>
        <v>0</v>
      </c>
      <c r="L177" s="49">
        <f t="shared" si="128"/>
        <v>0</v>
      </c>
      <c r="M177" s="48">
        <f t="shared" si="128"/>
        <v>0</v>
      </c>
      <c r="N177" s="49">
        <f t="shared" si="128"/>
        <v>0</v>
      </c>
      <c r="O177" s="50">
        <f>SUM(C177:N177)</f>
        <v>0</v>
      </c>
      <c r="P177" s="15"/>
      <c r="Q177" s="15"/>
      <c r="R177" s="15"/>
      <c r="S177" s="15"/>
    </row>
    <row r="178" spans="1:19" ht="13.5" thickBot="1">
      <c r="A178" s="51"/>
      <c r="B178" s="52" t="s">
        <v>59</v>
      </c>
      <c r="C178" s="53">
        <f t="shared" ref="C178:O178" si="129">C177/C$103</f>
        <v>0</v>
      </c>
      <c r="D178" s="54">
        <f t="shared" si="129"/>
        <v>0</v>
      </c>
      <c r="E178" s="53">
        <f t="shared" si="129"/>
        <v>0</v>
      </c>
      <c r="F178" s="54">
        <f t="shared" si="129"/>
        <v>0</v>
      </c>
      <c r="G178" s="53">
        <f t="shared" si="129"/>
        <v>0</v>
      </c>
      <c r="H178" s="54">
        <f t="shared" si="129"/>
        <v>0</v>
      </c>
      <c r="I178" s="53">
        <f t="shared" si="129"/>
        <v>0</v>
      </c>
      <c r="J178" s="54">
        <f t="shared" si="129"/>
        <v>0</v>
      </c>
      <c r="K178" s="53">
        <f t="shared" si="129"/>
        <v>0</v>
      </c>
      <c r="L178" s="54">
        <f t="shared" si="129"/>
        <v>0</v>
      </c>
      <c r="M178" s="53">
        <f t="shared" si="129"/>
        <v>0</v>
      </c>
      <c r="N178" s="54">
        <f t="shared" si="129"/>
        <v>0</v>
      </c>
      <c r="O178" s="55">
        <f t="shared" si="129"/>
        <v>0</v>
      </c>
      <c r="P178" s="8"/>
      <c r="S178" s="41"/>
    </row>
    <row r="179" spans="1:19">
      <c r="A179" s="181" t="s">
        <v>76</v>
      </c>
      <c r="B179" s="29" t="s">
        <v>55</v>
      </c>
      <c r="C179" s="30">
        <v>0</v>
      </c>
      <c r="D179" s="31">
        <v>0</v>
      </c>
      <c r="E179" s="30">
        <v>0</v>
      </c>
      <c r="F179" s="31">
        <v>0</v>
      </c>
      <c r="G179" s="30">
        <v>0</v>
      </c>
      <c r="H179" s="31">
        <v>0</v>
      </c>
      <c r="I179" s="30">
        <v>0</v>
      </c>
      <c r="J179" s="31">
        <v>0</v>
      </c>
      <c r="K179" s="30">
        <v>0</v>
      </c>
      <c r="L179" s="31">
        <v>0</v>
      </c>
      <c r="M179" s="30">
        <v>0</v>
      </c>
      <c r="N179" s="31">
        <v>0</v>
      </c>
      <c r="O179" s="32">
        <f>O180/O$103</f>
        <v>0</v>
      </c>
    </row>
    <row r="180" spans="1:19">
      <c r="A180" s="34" t="s">
        <v>64</v>
      </c>
      <c r="B180" s="35" t="s">
        <v>57</v>
      </c>
      <c r="C180" s="65">
        <f t="shared" ref="C180:N180" si="130">C$103*C179</f>
        <v>0</v>
      </c>
      <c r="D180" s="66">
        <f t="shared" si="130"/>
        <v>0</v>
      </c>
      <c r="E180" s="65">
        <f t="shared" si="130"/>
        <v>0</v>
      </c>
      <c r="F180" s="66">
        <f t="shared" si="130"/>
        <v>0</v>
      </c>
      <c r="G180" s="65">
        <f t="shared" si="130"/>
        <v>0</v>
      </c>
      <c r="H180" s="66">
        <f t="shared" si="130"/>
        <v>0</v>
      </c>
      <c r="I180" s="65">
        <f t="shared" si="130"/>
        <v>0</v>
      </c>
      <c r="J180" s="66">
        <f t="shared" si="130"/>
        <v>0</v>
      </c>
      <c r="K180" s="65">
        <f t="shared" si="130"/>
        <v>0</v>
      </c>
      <c r="L180" s="66">
        <f t="shared" si="130"/>
        <v>0</v>
      </c>
      <c r="M180" s="65">
        <f t="shared" si="130"/>
        <v>0</v>
      </c>
      <c r="N180" s="66">
        <f t="shared" si="130"/>
        <v>0</v>
      </c>
      <c r="O180" s="67">
        <f>SUM(C180:N180)</f>
        <v>0</v>
      </c>
    </row>
    <row r="181" spans="1:19">
      <c r="A181" s="34"/>
      <c r="B181" s="35" t="s">
        <v>58</v>
      </c>
      <c r="C181" s="43">
        <f>'Price Changes'!D36</f>
        <v>0</v>
      </c>
      <c r="D181" s="44">
        <f t="shared" ref="D181:N181" si="131">C181</f>
        <v>0</v>
      </c>
      <c r="E181" s="43">
        <f t="shared" si="131"/>
        <v>0</v>
      </c>
      <c r="F181" s="44">
        <f t="shared" si="131"/>
        <v>0</v>
      </c>
      <c r="G181" s="43">
        <f t="shared" si="131"/>
        <v>0</v>
      </c>
      <c r="H181" s="44">
        <f t="shared" si="131"/>
        <v>0</v>
      </c>
      <c r="I181" s="43">
        <f t="shared" si="131"/>
        <v>0</v>
      </c>
      <c r="J181" s="44">
        <f t="shared" si="131"/>
        <v>0</v>
      </c>
      <c r="K181" s="43">
        <f t="shared" si="131"/>
        <v>0</v>
      </c>
      <c r="L181" s="44">
        <f t="shared" si="131"/>
        <v>0</v>
      </c>
      <c r="M181" s="43">
        <f t="shared" si="131"/>
        <v>0</v>
      </c>
      <c r="N181" s="44">
        <f t="shared" si="131"/>
        <v>0</v>
      </c>
      <c r="O181" s="45">
        <f>IF(O180=0,0,+O182/O180)</f>
        <v>0</v>
      </c>
    </row>
    <row r="182" spans="1:19">
      <c r="A182" s="42"/>
      <c r="B182" s="35" t="s">
        <v>15</v>
      </c>
      <c r="C182" s="48">
        <f t="shared" ref="C182:N182" si="132">C180*C181</f>
        <v>0</v>
      </c>
      <c r="D182" s="49">
        <f t="shared" si="132"/>
        <v>0</v>
      </c>
      <c r="E182" s="48">
        <f t="shared" si="132"/>
        <v>0</v>
      </c>
      <c r="F182" s="49">
        <f t="shared" si="132"/>
        <v>0</v>
      </c>
      <c r="G182" s="48">
        <f t="shared" si="132"/>
        <v>0</v>
      </c>
      <c r="H182" s="49">
        <f t="shared" si="132"/>
        <v>0</v>
      </c>
      <c r="I182" s="48">
        <f t="shared" si="132"/>
        <v>0</v>
      </c>
      <c r="J182" s="49">
        <f t="shared" si="132"/>
        <v>0</v>
      </c>
      <c r="K182" s="48">
        <f t="shared" si="132"/>
        <v>0</v>
      </c>
      <c r="L182" s="49">
        <f t="shared" si="132"/>
        <v>0</v>
      </c>
      <c r="M182" s="48">
        <f t="shared" si="132"/>
        <v>0</v>
      </c>
      <c r="N182" s="49">
        <f t="shared" si="132"/>
        <v>0</v>
      </c>
      <c r="O182" s="50">
        <f>SUM(C182:N182)</f>
        <v>0</v>
      </c>
    </row>
    <row r="183" spans="1:19" ht="13.5" thickBot="1">
      <c r="A183" s="51"/>
      <c r="B183" s="52" t="s">
        <v>59</v>
      </c>
      <c r="C183" s="53">
        <f t="shared" ref="C183:O183" si="133">C182/C$103</f>
        <v>0</v>
      </c>
      <c r="D183" s="54">
        <f t="shared" si="133"/>
        <v>0</v>
      </c>
      <c r="E183" s="53">
        <f t="shared" si="133"/>
        <v>0</v>
      </c>
      <c r="F183" s="54">
        <f t="shared" si="133"/>
        <v>0</v>
      </c>
      <c r="G183" s="53">
        <f t="shared" si="133"/>
        <v>0</v>
      </c>
      <c r="H183" s="54">
        <f t="shared" si="133"/>
        <v>0</v>
      </c>
      <c r="I183" s="53">
        <f t="shared" si="133"/>
        <v>0</v>
      </c>
      <c r="J183" s="54">
        <f t="shared" si="133"/>
        <v>0</v>
      </c>
      <c r="K183" s="53">
        <f t="shared" si="133"/>
        <v>0</v>
      </c>
      <c r="L183" s="54">
        <f t="shared" si="133"/>
        <v>0</v>
      </c>
      <c r="M183" s="53">
        <f t="shared" si="133"/>
        <v>0</v>
      </c>
      <c r="N183" s="54">
        <f t="shared" si="133"/>
        <v>0</v>
      </c>
      <c r="O183" s="55">
        <f t="shared" si="133"/>
        <v>0</v>
      </c>
    </row>
    <row r="184" spans="1:19" ht="13.5" thickBot="1">
      <c r="A184" s="10" t="s">
        <v>1</v>
      </c>
      <c r="B184" s="73" t="s">
        <v>1</v>
      </c>
      <c r="C184" s="74" t="s">
        <v>1</v>
      </c>
      <c r="D184" s="75" t="s">
        <v>1</v>
      </c>
      <c r="E184" s="74" t="s">
        <v>1</v>
      </c>
      <c r="F184" s="75" t="s">
        <v>1</v>
      </c>
      <c r="G184" s="74" t="s">
        <v>1</v>
      </c>
      <c r="H184" s="75" t="s">
        <v>1</v>
      </c>
      <c r="I184" s="74" t="s">
        <v>1</v>
      </c>
      <c r="J184" s="75" t="s">
        <v>1</v>
      </c>
      <c r="K184" s="74" t="s">
        <v>1</v>
      </c>
      <c r="L184" s="75" t="s">
        <v>1</v>
      </c>
      <c r="M184" s="74" t="s">
        <v>1</v>
      </c>
      <c r="N184" s="75" t="s">
        <v>1</v>
      </c>
      <c r="O184" s="6" t="s">
        <v>1</v>
      </c>
      <c r="P184" s="9"/>
      <c r="Q184" s="9"/>
      <c r="R184" s="9"/>
      <c r="S184" s="70"/>
    </row>
    <row r="185" spans="1:19" ht="16.5" thickBot="1">
      <c r="A185" s="104" t="s">
        <v>81</v>
      </c>
      <c r="B185" s="105"/>
      <c r="C185" s="106">
        <v>0</v>
      </c>
      <c r="D185" s="107">
        <v>0</v>
      </c>
      <c r="E185" s="106">
        <v>0</v>
      </c>
      <c r="F185" s="107">
        <v>0</v>
      </c>
      <c r="G185" s="106">
        <v>0</v>
      </c>
      <c r="H185" s="107">
        <v>0</v>
      </c>
      <c r="I185" s="106">
        <v>0</v>
      </c>
      <c r="J185" s="107">
        <v>0</v>
      </c>
      <c r="K185" s="106">
        <v>0</v>
      </c>
      <c r="L185" s="107">
        <v>0</v>
      </c>
      <c r="M185" s="106">
        <v>0</v>
      </c>
      <c r="N185" s="107">
        <v>0</v>
      </c>
      <c r="O185" s="108">
        <f>SUM(C185:N185)</f>
        <v>0</v>
      </c>
      <c r="P185" s="9"/>
      <c r="Q185" s="9"/>
      <c r="R185" s="9"/>
      <c r="S185" s="70"/>
    </row>
    <row r="186" spans="1:19">
      <c r="A186" s="77" t="s">
        <v>82</v>
      </c>
      <c r="B186" s="29" t="s">
        <v>55</v>
      </c>
      <c r="C186" s="78">
        <f t="shared" ref="C186:N186" si="134">C187/C103</f>
        <v>485.1493116244294</v>
      </c>
      <c r="D186" s="79">
        <f t="shared" si="134"/>
        <v>508.67118856922775</v>
      </c>
      <c r="E186" s="78">
        <f t="shared" si="134"/>
        <v>520.73924481207553</v>
      </c>
      <c r="F186" s="79">
        <f t="shared" si="134"/>
        <v>518.27747734865659</v>
      </c>
      <c r="G186" s="78">
        <f t="shared" si="134"/>
        <v>520.92431051128688</v>
      </c>
      <c r="H186" s="79">
        <f t="shared" si="134"/>
        <v>532.54593679228424</v>
      </c>
      <c r="I186" s="78">
        <f t="shared" si="134"/>
        <v>521.0777459798428</v>
      </c>
      <c r="J186" s="79">
        <f t="shared" si="134"/>
        <v>622.57803027825594</v>
      </c>
      <c r="K186" s="78">
        <f t="shared" si="134"/>
        <v>609.71593849899079</v>
      </c>
      <c r="L186" s="79">
        <f t="shared" si="134"/>
        <v>638.50290421887371</v>
      </c>
      <c r="M186" s="78">
        <f t="shared" si="134"/>
        <v>590.66941130772545</v>
      </c>
      <c r="N186" s="79">
        <f t="shared" si="134"/>
        <v>588.5253526894694</v>
      </c>
      <c r="O186" s="32">
        <f>O187/O$103</f>
        <v>562.170449768715</v>
      </c>
      <c r="P186" s="57"/>
      <c r="Q186" s="57"/>
      <c r="R186" s="57"/>
      <c r="S186" s="41"/>
    </row>
    <row r="187" spans="1:19" ht="15.75">
      <c r="A187" s="34"/>
      <c r="B187" s="35" t="s">
        <v>57</v>
      </c>
      <c r="C187" s="36">
        <f t="shared" ref="C187:N187" si="135">C105+C110+C115+C130+C135+C140+C145+C150+C155+C160+C170+C180+C165+C125+C120+C175</f>
        <v>183637.37319706369</v>
      </c>
      <c r="D187" s="37">
        <f t="shared" si="135"/>
        <v>209535.89151589925</v>
      </c>
      <c r="E187" s="36">
        <f t="shared" si="135"/>
        <v>220825.65286888825</v>
      </c>
      <c r="F187" s="37">
        <f t="shared" si="135"/>
        <v>218363.71919233684</v>
      </c>
      <c r="G187" s="36">
        <f t="shared" si="135"/>
        <v>291468.16485350009</v>
      </c>
      <c r="H187" s="37">
        <f t="shared" si="135"/>
        <v>404464.82613358955</v>
      </c>
      <c r="I187" s="36">
        <f t="shared" si="135"/>
        <v>381283.9700542452</v>
      </c>
      <c r="J187" s="37">
        <f t="shared" si="135"/>
        <v>490958.0412256706</v>
      </c>
      <c r="K187" s="36">
        <f t="shared" si="135"/>
        <v>420555.46943985124</v>
      </c>
      <c r="L187" s="37">
        <f t="shared" si="135"/>
        <v>452076.86357576022</v>
      </c>
      <c r="M187" s="36">
        <f t="shared" si="135"/>
        <v>334145.26208172005</v>
      </c>
      <c r="N187" s="37">
        <f t="shared" si="135"/>
        <v>274701.20787438529</v>
      </c>
      <c r="O187" s="38">
        <f>SUM(C187:N187)</f>
        <v>3882016.4420129103</v>
      </c>
      <c r="P187" s="56"/>
      <c r="Q187" s="47"/>
      <c r="R187" s="47"/>
      <c r="S187" s="41"/>
    </row>
    <row r="188" spans="1:19">
      <c r="A188" s="42"/>
      <c r="B188" s="35" t="s">
        <v>58</v>
      </c>
      <c r="C188" s="81">
        <f t="shared" ref="C188:N188" si="136">C189/C187</f>
        <v>0.19814321463460088</v>
      </c>
      <c r="D188" s="82">
        <f t="shared" si="136"/>
        <v>0.19806174683073752</v>
      </c>
      <c r="E188" s="81">
        <f t="shared" si="136"/>
        <v>0.19323490324309034</v>
      </c>
      <c r="F188" s="82">
        <f t="shared" si="136"/>
        <v>0.18944311702584535</v>
      </c>
      <c r="G188" s="81">
        <f t="shared" si="136"/>
        <v>0.1928784508332349</v>
      </c>
      <c r="H188" s="82">
        <f t="shared" si="136"/>
        <v>0.19146885758957607</v>
      </c>
      <c r="I188" s="81">
        <f t="shared" si="136"/>
        <v>0.19237605605724006</v>
      </c>
      <c r="J188" s="82">
        <f t="shared" si="136"/>
        <v>0.17836383825592794</v>
      </c>
      <c r="K188" s="81">
        <f t="shared" si="136"/>
        <v>0.17806710042427723</v>
      </c>
      <c r="L188" s="82">
        <f t="shared" si="136"/>
        <v>0.17278094232330113</v>
      </c>
      <c r="M188" s="81">
        <f t="shared" si="136"/>
        <v>0.18382890573436447</v>
      </c>
      <c r="N188" s="82">
        <f t="shared" si="136"/>
        <v>0.19094100730841207</v>
      </c>
      <c r="O188" s="45">
        <f>IF(O187=0,0,+O189/O187)</f>
        <v>0.18634138683044196</v>
      </c>
      <c r="P188" s="40"/>
      <c r="Q188" s="40"/>
      <c r="R188" s="40"/>
      <c r="S188" s="41"/>
    </row>
    <row r="189" spans="1:19" ht="15.75">
      <c r="A189" s="83" t="s">
        <v>465</v>
      </c>
      <c r="B189" s="35" t="s">
        <v>15</v>
      </c>
      <c r="C189" s="48">
        <f t="shared" ref="C189:N189" si="137">C107+C112+C122+C117+C132+C137+C142+C147+C152+C157+C162+C172+C182+C185+C167+C127+C177</f>
        <v>36386.499452320095</v>
      </c>
      <c r="D189" s="49">
        <f t="shared" si="137"/>
        <v>41501.04469737492</v>
      </c>
      <c r="E189" s="48">
        <f t="shared" si="137"/>
        <v>42671.223665711877</v>
      </c>
      <c r="F189" s="49">
        <f t="shared" si="137"/>
        <v>41367.5036091527</v>
      </c>
      <c r="G189" s="48">
        <f t="shared" si="137"/>
        <v>56217.928104149025</v>
      </c>
      <c r="H189" s="49">
        <f t="shared" si="137"/>
        <v>77442.418194964906</v>
      </c>
      <c r="I189" s="48">
        <f t="shared" si="137"/>
        <v>73349.906396882521</v>
      </c>
      <c r="J189" s="49">
        <f t="shared" si="137"/>
        <v>87569.16065562272</v>
      </c>
      <c r="K189" s="48">
        <f t="shared" si="137"/>
        <v>74887.093010725046</v>
      </c>
      <c r="L189" s="49">
        <f t="shared" si="137"/>
        <v>78110.266491182294</v>
      </c>
      <c r="M189" s="48">
        <f t="shared" si="137"/>
        <v>61425.557884805028</v>
      </c>
      <c r="N189" s="49">
        <f t="shared" si="137"/>
        <v>52451.725340372628</v>
      </c>
      <c r="O189" s="50">
        <f>SUM(C189:N189)</f>
        <v>723380.32750326372</v>
      </c>
      <c r="P189" s="80"/>
      <c r="Q189" s="57"/>
      <c r="R189" s="57"/>
      <c r="S189" s="41"/>
    </row>
    <row r="190" spans="1:19" ht="13.5" thickBot="1">
      <c r="A190" s="51"/>
      <c r="B190" s="52" t="s">
        <v>59</v>
      </c>
      <c r="C190" s="53">
        <f t="shared" ref="C190:N190" si="138">C189/C103</f>
        <v>96.129044183028185</v>
      </c>
      <c r="D190" s="54">
        <f t="shared" si="138"/>
        <v>100.74830417048874</v>
      </c>
      <c r="E190" s="53">
        <f t="shared" si="138"/>
        <v>100.62499758614135</v>
      </c>
      <c r="F190" s="54">
        <f t="shared" si="138"/>
        <v>98.184100793221475</v>
      </c>
      <c r="G190" s="53">
        <f t="shared" si="138"/>
        <v>100.47507401278804</v>
      </c>
      <c r="H190" s="54">
        <f t="shared" si="138"/>
        <v>101.96596213158925</v>
      </c>
      <c r="I190" s="53">
        <f t="shared" si="138"/>
        <v>100.24288167079854</v>
      </c>
      <c r="J190" s="54">
        <f t="shared" si="138"/>
        <v>111.04540709424506</v>
      </c>
      <c r="K190" s="53">
        <f t="shared" si="138"/>
        <v>108.57034925098223</v>
      </c>
      <c r="L190" s="54">
        <f t="shared" si="138"/>
        <v>110.32113346710148</v>
      </c>
      <c r="M190" s="53">
        <f t="shared" si="138"/>
        <v>108.58211153146041</v>
      </c>
      <c r="N190" s="54">
        <f t="shared" si="138"/>
        <v>112.37362366906576</v>
      </c>
      <c r="O190" s="55">
        <f>O189/O$103</f>
        <v>104.75562124499567</v>
      </c>
      <c r="P190" s="9"/>
      <c r="Q190" s="9"/>
      <c r="R190" s="9"/>
      <c r="S190" s="70"/>
    </row>
    <row r="191" spans="1:19" ht="13.5" thickBot="1">
      <c r="A191" s="10" t="s">
        <v>1</v>
      </c>
      <c r="B191" s="73" t="s">
        <v>1</v>
      </c>
      <c r="C191" s="74" t="s">
        <v>1</v>
      </c>
      <c r="D191" s="75" t="s">
        <v>1</v>
      </c>
      <c r="E191" s="74" t="s">
        <v>1</v>
      </c>
      <c r="F191" s="75" t="s">
        <v>1</v>
      </c>
      <c r="G191" s="74" t="s">
        <v>1</v>
      </c>
      <c r="H191" s="75" t="s">
        <v>1</v>
      </c>
      <c r="I191" s="74" t="s">
        <v>1</v>
      </c>
      <c r="J191" s="75" t="s">
        <v>1</v>
      </c>
      <c r="K191" s="74" t="s">
        <v>1</v>
      </c>
      <c r="L191" s="75" t="s">
        <v>1</v>
      </c>
      <c r="M191" s="74" t="s">
        <v>1</v>
      </c>
      <c r="N191" s="75" t="s">
        <v>1</v>
      </c>
      <c r="O191" s="6" t="s">
        <v>1</v>
      </c>
      <c r="P191" s="39"/>
      <c r="Q191" s="39"/>
      <c r="R191" s="39"/>
      <c r="S191" s="41"/>
    </row>
    <row r="192" spans="1:19" ht="62.25" customHeight="1" thickBot="1">
      <c r="A192" s="580" t="s">
        <v>83</v>
      </c>
      <c r="B192" s="659"/>
      <c r="C192" s="659"/>
      <c r="D192" s="659"/>
      <c r="E192" s="659"/>
      <c r="F192" s="659"/>
      <c r="G192" s="659"/>
      <c r="H192" s="659"/>
      <c r="I192" s="659"/>
      <c r="J192" s="659"/>
      <c r="K192" s="659"/>
      <c r="L192" s="659"/>
      <c r="M192" s="659"/>
      <c r="N192" s="659"/>
      <c r="O192" s="657"/>
    </row>
    <row r="193" spans="1:20">
      <c r="A193" s="10" t="s">
        <v>1</v>
      </c>
      <c r="B193" s="11" t="s">
        <v>0</v>
      </c>
      <c r="C193" s="96"/>
      <c r="D193" s="97"/>
      <c r="E193" s="96"/>
      <c r="F193" s="97"/>
      <c r="G193" s="96"/>
      <c r="H193" s="97"/>
      <c r="I193" s="96"/>
      <c r="O193" s="2"/>
      <c r="S193" s="15"/>
    </row>
    <row r="194" spans="1:20" ht="15.75">
      <c r="A194" s="98" t="str">
        <f>A100</f>
        <v>2013 BUDGET</v>
      </c>
      <c r="B194" s="3"/>
      <c r="O194" s="2"/>
    </row>
    <row r="195" spans="1:20">
      <c r="A195" s="99" t="str">
        <f>A101</f>
        <v>Bid Dollars</v>
      </c>
      <c r="B195" s="3"/>
      <c r="O195" s="2"/>
      <c r="P195" s="9"/>
      <c r="Q195" s="9"/>
      <c r="R195" s="9"/>
      <c r="S195" s="9"/>
    </row>
    <row r="196" spans="1:20">
      <c r="A196" s="4"/>
      <c r="B196" s="3"/>
      <c r="C196" s="22" t="str">
        <f t="shared" ref="C196:N196" si="139">C102</f>
        <v>JAN</v>
      </c>
      <c r="D196" s="23" t="str">
        <f t="shared" si="139"/>
        <v>FEB</v>
      </c>
      <c r="E196" s="22" t="str">
        <f t="shared" si="139"/>
        <v>MAR</v>
      </c>
      <c r="F196" s="23" t="str">
        <f t="shared" si="139"/>
        <v>APR</v>
      </c>
      <c r="G196" s="22" t="str">
        <f t="shared" si="139"/>
        <v>MAY</v>
      </c>
      <c r="H196" s="23" t="str">
        <f t="shared" si="139"/>
        <v>JUNE</v>
      </c>
      <c r="I196" s="22" t="str">
        <f t="shared" si="139"/>
        <v>JULY</v>
      </c>
      <c r="J196" s="23" t="str">
        <f t="shared" si="139"/>
        <v>AUG</v>
      </c>
      <c r="K196" s="22" t="str">
        <f t="shared" si="139"/>
        <v>SEPT</v>
      </c>
      <c r="L196" s="23" t="str">
        <f t="shared" si="139"/>
        <v>OCT</v>
      </c>
      <c r="M196" s="22" t="str">
        <f t="shared" si="139"/>
        <v>NOV</v>
      </c>
      <c r="N196" s="23" t="str">
        <f t="shared" si="139"/>
        <v>DEC</v>
      </c>
      <c r="O196" s="24" t="s">
        <v>13</v>
      </c>
      <c r="P196" s="15"/>
      <c r="Q196" s="15"/>
      <c r="R196" s="15"/>
      <c r="S196" s="15"/>
    </row>
    <row r="197" spans="1:20" ht="16.5" thickBot="1">
      <c r="A197" s="19" t="s">
        <v>53</v>
      </c>
      <c r="B197" s="3"/>
      <c r="C197" s="110">
        <f>'Pumpage 2013'!G51</f>
        <v>25.044625664922847</v>
      </c>
      <c r="D197" s="111">
        <f>'Pumpage 2013'!H51</f>
        <v>22.620952213478702</v>
      </c>
      <c r="E197" s="112">
        <f>'Pumpage 2013'!I51</f>
        <v>25.044625664922847</v>
      </c>
      <c r="F197" s="111">
        <f>'Pumpage 2013'!J51</f>
        <v>24.236734514441466</v>
      </c>
      <c r="G197" s="112">
        <f>'Pumpage 2013'!K51</f>
        <v>25.044625664922847</v>
      </c>
      <c r="H197" s="111">
        <f>'Pumpage 2013'!L51</f>
        <v>24.236734514441466</v>
      </c>
      <c r="I197" s="112">
        <f>'Pumpage 2013'!M51</f>
        <v>25.044625664922847</v>
      </c>
      <c r="J197" s="111">
        <f>'Pumpage 2013'!N51</f>
        <v>25.044625664922847</v>
      </c>
      <c r="K197" s="112">
        <f>'Pumpage 2013'!O51</f>
        <v>0</v>
      </c>
      <c r="L197" s="111">
        <f>'Pumpage 2013'!P51</f>
        <v>0</v>
      </c>
      <c r="M197" s="112">
        <f>'Pumpage 2013'!Q51</f>
        <v>0</v>
      </c>
      <c r="N197" s="111">
        <f>'Pumpage 2013'!R51</f>
        <v>0</v>
      </c>
      <c r="O197" s="27">
        <f>SUM(C197:N197)</f>
        <v>196.31754956697586</v>
      </c>
      <c r="P197" s="15"/>
      <c r="Q197" s="72"/>
      <c r="R197" s="15"/>
      <c r="S197" s="15"/>
    </row>
    <row r="198" spans="1:20">
      <c r="A198" s="28" t="s">
        <v>54</v>
      </c>
      <c r="B198" s="29" t="s">
        <v>55</v>
      </c>
      <c r="C198" s="30">
        <v>0</v>
      </c>
      <c r="D198" s="31">
        <v>0</v>
      </c>
      <c r="E198" s="30">
        <v>0</v>
      </c>
      <c r="F198" s="31">
        <v>0</v>
      </c>
      <c r="G198" s="30">
        <v>0</v>
      </c>
      <c r="H198" s="31">
        <v>0</v>
      </c>
      <c r="I198" s="30">
        <v>0</v>
      </c>
      <c r="J198" s="31">
        <v>0</v>
      </c>
      <c r="K198" s="30">
        <v>0</v>
      </c>
      <c r="L198" s="31">
        <v>0</v>
      </c>
      <c r="M198" s="30">
        <v>0</v>
      </c>
      <c r="N198" s="31">
        <v>0</v>
      </c>
      <c r="O198" s="32">
        <f>O199/O$197</f>
        <v>0</v>
      </c>
    </row>
    <row r="199" spans="1:20">
      <c r="A199" s="34" t="s">
        <v>56</v>
      </c>
      <c r="B199" s="35" t="s">
        <v>57</v>
      </c>
      <c r="C199" s="65">
        <f t="shared" ref="C199:N199" si="140">C$197*C198</f>
        <v>0</v>
      </c>
      <c r="D199" s="66">
        <f t="shared" si="140"/>
        <v>0</v>
      </c>
      <c r="E199" s="65">
        <f t="shared" si="140"/>
        <v>0</v>
      </c>
      <c r="F199" s="66">
        <f t="shared" si="140"/>
        <v>0</v>
      </c>
      <c r="G199" s="65">
        <f t="shared" si="140"/>
        <v>0</v>
      </c>
      <c r="H199" s="66">
        <f t="shared" si="140"/>
        <v>0</v>
      </c>
      <c r="I199" s="65">
        <f t="shared" si="140"/>
        <v>0</v>
      </c>
      <c r="J199" s="66">
        <f t="shared" si="140"/>
        <v>0</v>
      </c>
      <c r="K199" s="65">
        <f t="shared" si="140"/>
        <v>0</v>
      </c>
      <c r="L199" s="66">
        <f t="shared" si="140"/>
        <v>0</v>
      </c>
      <c r="M199" s="65">
        <f t="shared" si="140"/>
        <v>0</v>
      </c>
      <c r="N199" s="66">
        <f t="shared" si="140"/>
        <v>0</v>
      </c>
      <c r="O199" s="67">
        <f>SUM(C199:N199)</f>
        <v>0</v>
      </c>
      <c r="P199" s="57"/>
      <c r="Q199" s="57"/>
      <c r="R199" s="57"/>
      <c r="S199" s="41"/>
    </row>
    <row r="200" spans="1:20" ht="15.75">
      <c r="A200" s="42"/>
      <c r="B200" s="35" t="s">
        <v>58</v>
      </c>
      <c r="C200" s="43">
        <f>'Price Changes'!D39</f>
        <v>0</v>
      </c>
      <c r="D200" s="44">
        <f t="shared" ref="D200:N200" si="141">C200</f>
        <v>0</v>
      </c>
      <c r="E200" s="43">
        <f t="shared" si="141"/>
        <v>0</v>
      </c>
      <c r="F200" s="44">
        <f t="shared" si="141"/>
        <v>0</v>
      </c>
      <c r="G200" s="43">
        <f t="shared" si="141"/>
        <v>0</v>
      </c>
      <c r="H200" s="44">
        <f t="shared" si="141"/>
        <v>0</v>
      </c>
      <c r="I200" s="43">
        <f t="shared" si="141"/>
        <v>0</v>
      </c>
      <c r="J200" s="44">
        <f t="shared" si="141"/>
        <v>0</v>
      </c>
      <c r="K200" s="43">
        <f t="shared" si="141"/>
        <v>0</v>
      </c>
      <c r="L200" s="44">
        <f t="shared" si="141"/>
        <v>0</v>
      </c>
      <c r="M200" s="43">
        <f t="shared" si="141"/>
        <v>0</v>
      </c>
      <c r="N200" s="44">
        <f t="shared" si="141"/>
        <v>0</v>
      </c>
      <c r="O200" s="45">
        <f>IF(O199=0,0,+O201/O199)</f>
        <v>0</v>
      </c>
      <c r="P200" s="80"/>
      <c r="Q200" s="68"/>
      <c r="R200" s="47"/>
      <c r="S200" s="41"/>
    </row>
    <row r="201" spans="1:20">
      <c r="A201" s="42"/>
      <c r="B201" s="35" t="s">
        <v>15</v>
      </c>
      <c r="C201" s="48">
        <f t="shared" ref="C201:N201" si="142">C199*C200</f>
        <v>0</v>
      </c>
      <c r="D201" s="49">
        <f t="shared" si="142"/>
        <v>0</v>
      </c>
      <c r="E201" s="48">
        <f t="shared" si="142"/>
        <v>0</v>
      </c>
      <c r="F201" s="49">
        <f t="shared" si="142"/>
        <v>0</v>
      </c>
      <c r="G201" s="48">
        <f t="shared" si="142"/>
        <v>0</v>
      </c>
      <c r="H201" s="49">
        <f t="shared" si="142"/>
        <v>0</v>
      </c>
      <c r="I201" s="48">
        <f t="shared" si="142"/>
        <v>0</v>
      </c>
      <c r="J201" s="49">
        <f t="shared" si="142"/>
        <v>0</v>
      </c>
      <c r="K201" s="48">
        <f t="shared" si="142"/>
        <v>0</v>
      </c>
      <c r="L201" s="49">
        <f t="shared" si="142"/>
        <v>0</v>
      </c>
      <c r="M201" s="48">
        <f t="shared" si="142"/>
        <v>0</v>
      </c>
      <c r="N201" s="49">
        <f t="shared" si="142"/>
        <v>0</v>
      </c>
      <c r="O201" s="50">
        <f>SUM(C201:N201)</f>
        <v>0</v>
      </c>
      <c r="P201" s="40"/>
      <c r="Q201" s="40"/>
      <c r="R201" s="40"/>
      <c r="S201" s="41"/>
    </row>
    <row r="202" spans="1:20" ht="16.5" thickBot="1">
      <c r="A202" s="51"/>
      <c r="B202" s="52" t="s">
        <v>59</v>
      </c>
      <c r="C202" s="53">
        <f t="shared" ref="C202:O202" si="143">C201/C$197</f>
        <v>0</v>
      </c>
      <c r="D202" s="54">
        <f t="shared" si="143"/>
        <v>0</v>
      </c>
      <c r="E202" s="53">
        <f t="shared" si="143"/>
        <v>0</v>
      </c>
      <c r="F202" s="54">
        <f t="shared" si="143"/>
        <v>0</v>
      </c>
      <c r="G202" s="53">
        <f t="shared" si="143"/>
        <v>0</v>
      </c>
      <c r="H202" s="54">
        <f t="shared" si="143"/>
        <v>0</v>
      </c>
      <c r="I202" s="53">
        <f t="shared" si="143"/>
        <v>0</v>
      </c>
      <c r="J202" s="54">
        <f t="shared" si="143"/>
        <v>0</v>
      </c>
      <c r="K202" s="53" t="e">
        <f t="shared" si="143"/>
        <v>#DIV/0!</v>
      </c>
      <c r="L202" s="54" t="e">
        <f t="shared" si="143"/>
        <v>#DIV/0!</v>
      </c>
      <c r="M202" s="53" t="e">
        <f t="shared" si="143"/>
        <v>#DIV/0!</v>
      </c>
      <c r="N202" s="54" t="e">
        <f t="shared" si="143"/>
        <v>#DIV/0!</v>
      </c>
      <c r="O202" s="55">
        <f t="shared" si="143"/>
        <v>0</v>
      </c>
      <c r="P202" s="80"/>
      <c r="Q202" s="57"/>
      <c r="R202" s="57"/>
      <c r="S202" s="41"/>
    </row>
    <row r="203" spans="1:20">
      <c r="A203" s="28" t="s">
        <v>60</v>
      </c>
      <c r="B203" s="29" t="s">
        <v>55</v>
      </c>
      <c r="C203" s="30">
        <f>'2012 Actual Costs'!C203</f>
        <v>133.29574413683648</v>
      </c>
      <c r="D203" s="31">
        <f>'2012 Actual Costs'!D203</f>
        <v>135.15491644647645</v>
      </c>
      <c r="E203" s="30">
        <f>'2012 Actual Costs'!E203</f>
        <v>139.28951849124434</v>
      </c>
      <c r="F203" s="31">
        <f>'2012 Actual Costs'!F203</f>
        <v>148.46178525404071</v>
      </c>
      <c r="G203" s="30">
        <f>'2011 Actual Costs'!G203</f>
        <v>114.80284421460891</v>
      </c>
      <c r="H203" s="31">
        <f>'2011 Actual Costs'!H203</f>
        <v>132.12945889235073</v>
      </c>
      <c r="I203" s="30">
        <f>'2011 Actual Costs'!I203</f>
        <v>117.34179467409999</v>
      </c>
      <c r="J203" s="31">
        <f>'2011 Actual Costs'!J203</f>
        <v>111.50409530900968</v>
      </c>
      <c r="K203" s="30">
        <f>'2011 Actual Costs'!K203</f>
        <v>116.03978113493237</v>
      </c>
      <c r="L203" s="31">
        <f>'2011 Actual Costs'!L203</f>
        <v>118.47146271980091</v>
      </c>
      <c r="M203" s="30">
        <f>'2011 Actual Costs'!M203</f>
        <v>129.83268066927732</v>
      </c>
      <c r="N203" s="31">
        <f>'2011 Actual Costs'!N203</f>
        <v>132.15796395691893</v>
      </c>
      <c r="O203" s="32">
        <f>O204/O$197</f>
        <v>128.82851393618466</v>
      </c>
      <c r="P203" s="58"/>
      <c r="Q203" s="58"/>
      <c r="R203" s="58"/>
      <c r="S203" s="41"/>
      <c r="T203" s="8"/>
    </row>
    <row r="204" spans="1:20">
      <c r="A204" s="34" t="s">
        <v>56</v>
      </c>
      <c r="B204" s="35" t="s">
        <v>57</v>
      </c>
      <c r="C204" s="36">
        <f>C203*C$197</f>
        <v>3338.3420146344038</v>
      </c>
      <c r="D204" s="37">
        <f t="shared" ref="D204:N204" si="144">D203*D$197</f>
        <v>3057.3329063524507</v>
      </c>
      <c r="E204" s="36">
        <f t="shared" si="144"/>
        <v>3488.4538496605633</v>
      </c>
      <c r="F204" s="37">
        <f t="shared" si="144"/>
        <v>3598.2288747422053</v>
      </c>
      <c r="G204" s="36">
        <f t="shared" si="144"/>
        <v>2875.1942586233336</v>
      </c>
      <c r="H204" s="37">
        <f t="shared" si="144"/>
        <v>3202.3866167107117</v>
      </c>
      <c r="I204" s="36">
        <f t="shared" si="144"/>
        <v>2938.7813224630718</v>
      </c>
      <c r="J204" s="37">
        <f t="shared" si="144"/>
        <v>2792.5783271200271</v>
      </c>
      <c r="K204" s="36">
        <f t="shared" si="144"/>
        <v>0</v>
      </c>
      <c r="L204" s="37">
        <f t="shared" si="144"/>
        <v>0</v>
      </c>
      <c r="M204" s="36">
        <f t="shared" si="144"/>
        <v>0</v>
      </c>
      <c r="N204" s="37">
        <f t="shared" si="144"/>
        <v>0</v>
      </c>
      <c r="O204" s="38">
        <f>SUM(C204:N204)</f>
        <v>25291.298170306771</v>
      </c>
      <c r="P204" s="57"/>
      <c r="Q204" s="57"/>
      <c r="R204" s="57"/>
      <c r="S204" s="41"/>
      <c r="T204" s="8"/>
    </row>
    <row r="205" spans="1:20" ht="15.75">
      <c r="A205" s="42"/>
      <c r="B205" s="35" t="s">
        <v>58</v>
      </c>
      <c r="C205" s="43">
        <f>'Price Changes'!D40</f>
        <v>0.86860000000000004</v>
      </c>
      <c r="D205" s="44">
        <f t="shared" ref="D205:N205" si="145">C205</f>
        <v>0.86860000000000004</v>
      </c>
      <c r="E205" s="43">
        <f t="shared" si="145"/>
        <v>0.86860000000000004</v>
      </c>
      <c r="F205" s="44">
        <f t="shared" si="145"/>
        <v>0.86860000000000004</v>
      </c>
      <c r="G205" s="43">
        <f t="shared" si="145"/>
        <v>0.86860000000000004</v>
      </c>
      <c r="H205" s="44">
        <f t="shared" si="145"/>
        <v>0.86860000000000004</v>
      </c>
      <c r="I205" s="43">
        <f t="shared" si="145"/>
        <v>0.86860000000000004</v>
      </c>
      <c r="J205" s="44">
        <f t="shared" si="145"/>
        <v>0.86860000000000004</v>
      </c>
      <c r="K205" s="43">
        <f t="shared" si="145"/>
        <v>0.86860000000000004</v>
      </c>
      <c r="L205" s="44">
        <f t="shared" si="145"/>
        <v>0.86860000000000004</v>
      </c>
      <c r="M205" s="43">
        <f t="shared" si="145"/>
        <v>0.86860000000000004</v>
      </c>
      <c r="N205" s="44">
        <f t="shared" si="145"/>
        <v>0.86860000000000004</v>
      </c>
      <c r="O205" s="45">
        <f>IF(O204=0,0,+O206/O204)</f>
        <v>0.86859999999999993</v>
      </c>
      <c r="P205" s="46"/>
      <c r="Q205" s="47"/>
      <c r="R205" s="47"/>
      <c r="S205" s="41"/>
      <c r="T205" s="8"/>
    </row>
    <row r="206" spans="1:20">
      <c r="A206" s="42"/>
      <c r="B206" s="35" t="s">
        <v>15</v>
      </c>
      <c r="C206" s="48">
        <f t="shared" ref="C206:N206" si="146">C204*C205</f>
        <v>2899.6838739114432</v>
      </c>
      <c r="D206" s="49">
        <f t="shared" si="146"/>
        <v>2655.5993624577386</v>
      </c>
      <c r="E206" s="48">
        <f t="shared" si="146"/>
        <v>3030.0710138151653</v>
      </c>
      <c r="F206" s="49">
        <f t="shared" si="146"/>
        <v>3125.4216006010797</v>
      </c>
      <c r="G206" s="48">
        <f t="shared" si="146"/>
        <v>2497.3937330402277</v>
      </c>
      <c r="H206" s="49">
        <f t="shared" si="146"/>
        <v>2781.5930152749243</v>
      </c>
      <c r="I206" s="48">
        <f t="shared" si="146"/>
        <v>2552.6254566914245</v>
      </c>
      <c r="J206" s="49">
        <f t="shared" si="146"/>
        <v>2425.6335349364558</v>
      </c>
      <c r="K206" s="48">
        <f t="shared" si="146"/>
        <v>0</v>
      </c>
      <c r="L206" s="49">
        <f t="shared" si="146"/>
        <v>0</v>
      </c>
      <c r="M206" s="48">
        <f t="shared" si="146"/>
        <v>0</v>
      </c>
      <c r="N206" s="49">
        <f t="shared" si="146"/>
        <v>0</v>
      </c>
      <c r="O206" s="50">
        <f>SUM(C206:N206)</f>
        <v>21968.021590728458</v>
      </c>
      <c r="P206" s="40"/>
      <c r="Q206" s="40"/>
      <c r="R206" s="40"/>
      <c r="S206" s="41"/>
      <c r="T206" s="8"/>
    </row>
    <row r="207" spans="1:20" ht="16.5" thickBot="1">
      <c r="A207" s="51"/>
      <c r="B207" s="52" t="s">
        <v>59</v>
      </c>
      <c r="C207" s="53">
        <f t="shared" ref="C207:O207" si="147">C206/C$197</f>
        <v>115.78068335725617</v>
      </c>
      <c r="D207" s="54">
        <f t="shared" si="147"/>
        <v>117.39556042540944</v>
      </c>
      <c r="E207" s="53">
        <f t="shared" si="147"/>
        <v>120.98687576149483</v>
      </c>
      <c r="F207" s="54">
        <f t="shared" si="147"/>
        <v>128.95390667165975</v>
      </c>
      <c r="G207" s="53">
        <f t="shared" si="147"/>
        <v>99.717750484809301</v>
      </c>
      <c r="H207" s="54">
        <f t="shared" si="147"/>
        <v>114.76764799389585</v>
      </c>
      <c r="I207" s="53">
        <f t="shared" si="147"/>
        <v>101.92308285392326</v>
      </c>
      <c r="J207" s="54">
        <f t="shared" si="147"/>
        <v>96.852457185405825</v>
      </c>
      <c r="K207" s="53" t="e">
        <f t="shared" si="147"/>
        <v>#DIV/0!</v>
      </c>
      <c r="L207" s="54" t="e">
        <f t="shared" si="147"/>
        <v>#DIV/0!</v>
      </c>
      <c r="M207" s="53" t="e">
        <f t="shared" si="147"/>
        <v>#DIV/0!</v>
      </c>
      <c r="N207" s="54" t="e">
        <f t="shared" si="147"/>
        <v>#DIV/0!</v>
      </c>
      <c r="O207" s="55">
        <f t="shared" si="147"/>
        <v>111.90044720496998</v>
      </c>
      <c r="P207" s="56"/>
      <c r="Q207" s="57"/>
      <c r="R207" s="57"/>
      <c r="S207" s="41"/>
      <c r="T207" s="8"/>
    </row>
    <row r="208" spans="1:20">
      <c r="A208" s="28" t="s">
        <v>61</v>
      </c>
      <c r="B208" s="29" t="s">
        <v>55</v>
      </c>
      <c r="C208" s="30">
        <f>'2012 Actual Costs'!C208</f>
        <v>28.176646143341575</v>
      </c>
      <c r="D208" s="31">
        <f>'2012 Actual Costs'!D208</f>
        <v>17.121934572276523</v>
      </c>
      <c r="E208" s="30">
        <f>'2012 Actual Costs'!E208</f>
        <v>33.139985712137438</v>
      </c>
      <c r="F208" s="31">
        <f>'2012 Actual Costs'!F208</f>
        <v>28.885452869606649</v>
      </c>
      <c r="G208" s="30">
        <f>'2011 Actual Costs'!G208</f>
        <v>25.048480930833872</v>
      </c>
      <c r="H208" s="31">
        <f>'2011 Actual Costs'!H208</f>
        <v>29.9484962166974</v>
      </c>
      <c r="I208" s="30">
        <f>'2011 Actual Costs'!I208</f>
        <v>30.336278987011447</v>
      </c>
      <c r="J208" s="31">
        <f>'2011 Actual Costs'!J208</f>
        <v>29.970215934475057</v>
      </c>
      <c r="K208" s="30">
        <f>'2011 Actual Costs'!K208</f>
        <v>27.220482466705668</v>
      </c>
      <c r="L208" s="31">
        <f>'2011 Actual Costs'!L208</f>
        <v>35.823045941255444</v>
      </c>
      <c r="M208" s="30">
        <f>'2011 Actual Costs'!M208</f>
        <v>33.392666429334284</v>
      </c>
      <c r="N208" s="31">
        <f>'2011 Actual Costs'!N208</f>
        <v>30.711264351473361</v>
      </c>
      <c r="O208" s="32">
        <f>O209/O$197</f>
        <v>27.947541068126114</v>
      </c>
    </row>
    <row r="209" spans="1:20">
      <c r="A209" s="34" t="s">
        <v>56</v>
      </c>
      <c r="B209" s="35" t="s">
        <v>57</v>
      </c>
      <c r="C209" s="36">
        <f t="shared" ref="C209:N209" si="148">C208*C$197</f>
        <v>705.67355515298175</v>
      </c>
      <c r="D209" s="37">
        <f t="shared" si="148"/>
        <v>387.3144637617761</v>
      </c>
      <c r="E209" s="36">
        <f t="shared" si="148"/>
        <v>829.97853670137374</v>
      </c>
      <c r="F209" s="37">
        <f t="shared" si="148"/>
        <v>700.08905253006776</v>
      </c>
      <c r="G209" s="36">
        <f t="shared" si="148"/>
        <v>627.32982838769249</v>
      </c>
      <c r="H209" s="37">
        <f t="shared" si="148"/>
        <v>725.8537519108495</v>
      </c>
      <c r="I209" s="36">
        <f t="shared" si="148"/>
        <v>759.76075129636661</v>
      </c>
      <c r="J209" s="37">
        <f t="shared" si="148"/>
        <v>750.59283917583366</v>
      </c>
      <c r="K209" s="36">
        <f t="shared" si="148"/>
        <v>0</v>
      </c>
      <c r="L209" s="37">
        <f t="shared" si="148"/>
        <v>0</v>
      </c>
      <c r="M209" s="36">
        <f t="shared" si="148"/>
        <v>0</v>
      </c>
      <c r="N209" s="37">
        <f t="shared" si="148"/>
        <v>0</v>
      </c>
      <c r="O209" s="38">
        <f>SUM(C209:N209)</f>
        <v>5486.5927789169418</v>
      </c>
      <c r="P209" s="57"/>
      <c r="Q209" s="47"/>
      <c r="R209" s="57"/>
      <c r="S209" s="41"/>
      <c r="T209" s="8"/>
    </row>
    <row r="210" spans="1:20" ht="15.75">
      <c r="A210" s="42"/>
      <c r="B210" s="35" t="s">
        <v>58</v>
      </c>
      <c r="C210" s="43">
        <f>'Price Changes'!D41</f>
        <v>0.43049999999999999</v>
      </c>
      <c r="D210" s="44">
        <f t="shared" ref="D210:N210" si="149">C210</f>
        <v>0.43049999999999999</v>
      </c>
      <c r="E210" s="43">
        <f t="shared" si="149"/>
        <v>0.43049999999999999</v>
      </c>
      <c r="F210" s="44">
        <f t="shared" si="149"/>
        <v>0.43049999999999999</v>
      </c>
      <c r="G210" s="43">
        <f t="shared" si="149"/>
        <v>0.43049999999999999</v>
      </c>
      <c r="H210" s="44">
        <f t="shared" si="149"/>
        <v>0.43049999999999999</v>
      </c>
      <c r="I210" s="43">
        <f t="shared" si="149"/>
        <v>0.43049999999999999</v>
      </c>
      <c r="J210" s="44">
        <f t="shared" si="149"/>
        <v>0.43049999999999999</v>
      </c>
      <c r="K210" s="43">
        <f t="shared" si="149"/>
        <v>0.43049999999999999</v>
      </c>
      <c r="L210" s="44">
        <f t="shared" si="149"/>
        <v>0.43049999999999999</v>
      </c>
      <c r="M210" s="43">
        <f t="shared" si="149"/>
        <v>0.43049999999999999</v>
      </c>
      <c r="N210" s="44">
        <f t="shared" si="149"/>
        <v>0.43049999999999999</v>
      </c>
      <c r="O210" s="45">
        <f>IF(O209=0,0,+O211/O209)</f>
        <v>0.43049999999999999</v>
      </c>
      <c r="P210" s="46"/>
      <c r="Q210" s="47"/>
      <c r="R210" s="47"/>
      <c r="S210" s="41"/>
      <c r="T210" s="8"/>
    </row>
    <row r="211" spans="1:20">
      <c r="A211" s="42"/>
      <c r="B211" s="35" t="s">
        <v>15</v>
      </c>
      <c r="C211" s="48">
        <f t="shared" ref="C211:N211" si="150">C209*C210</f>
        <v>303.79246549335863</v>
      </c>
      <c r="D211" s="49">
        <f t="shared" si="150"/>
        <v>166.73887664944462</v>
      </c>
      <c r="E211" s="48">
        <f t="shared" si="150"/>
        <v>357.3057600499414</v>
      </c>
      <c r="F211" s="49">
        <f t="shared" si="150"/>
        <v>301.38833711419414</v>
      </c>
      <c r="G211" s="48">
        <f t="shared" si="150"/>
        <v>270.06549112090158</v>
      </c>
      <c r="H211" s="49">
        <f t="shared" si="150"/>
        <v>312.48004019762072</v>
      </c>
      <c r="I211" s="48">
        <f t="shared" si="150"/>
        <v>327.07700343308579</v>
      </c>
      <c r="J211" s="49">
        <f t="shared" si="150"/>
        <v>323.13021726519639</v>
      </c>
      <c r="K211" s="48">
        <f t="shared" si="150"/>
        <v>0</v>
      </c>
      <c r="L211" s="49">
        <f t="shared" si="150"/>
        <v>0</v>
      </c>
      <c r="M211" s="48">
        <f t="shared" si="150"/>
        <v>0</v>
      </c>
      <c r="N211" s="49">
        <f t="shared" si="150"/>
        <v>0</v>
      </c>
      <c r="O211" s="50">
        <f>SUM(C211:N211)</f>
        <v>2361.9781913237434</v>
      </c>
      <c r="P211" s="40"/>
      <c r="Q211" s="40"/>
      <c r="R211" s="40"/>
      <c r="S211" s="41"/>
    </row>
    <row r="212" spans="1:20" ht="16.5" thickBot="1">
      <c r="A212" s="51"/>
      <c r="B212" s="52" t="s">
        <v>59</v>
      </c>
      <c r="C212" s="53">
        <f t="shared" ref="C212:O212" si="151">C211/C$197</f>
        <v>12.130046164708547</v>
      </c>
      <c r="D212" s="54">
        <f t="shared" si="151"/>
        <v>7.370992833365043</v>
      </c>
      <c r="E212" s="53">
        <f t="shared" si="151"/>
        <v>14.266763849075167</v>
      </c>
      <c r="F212" s="54">
        <f t="shared" si="151"/>
        <v>12.435187460365661</v>
      </c>
      <c r="G212" s="53">
        <f t="shared" si="151"/>
        <v>10.78337104072398</v>
      </c>
      <c r="H212" s="54">
        <f t="shared" si="151"/>
        <v>12.89282762128823</v>
      </c>
      <c r="I212" s="53">
        <f t="shared" si="151"/>
        <v>13.059768103908427</v>
      </c>
      <c r="J212" s="54">
        <f t="shared" si="151"/>
        <v>12.902177959791512</v>
      </c>
      <c r="K212" s="53" t="e">
        <f t="shared" si="151"/>
        <v>#DIV/0!</v>
      </c>
      <c r="L212" s="54" t="e">
        <f t="shared" si="151"/>
        <v>#DIV/0!</v>
      </c>
      <c r="M212" s="53" t="e">
        <f t="shared" si="151"/>
        <v>#DIV/0!</v>
      </c>
      <c r="N212" s="54" t="e">
        <f t="shared" si="151"/>
        <v>#DIV/0!</v>
      </c>
      <c r="O212" s="55">
        <f t="shared" si="151"/>
        <v>12.031416429828292</v>
      </c>
      <c r="P212" s="56"/>
      <c r="Q212" s="57"/>
      <c r="R212" s="57"/>
      <c r="S212" s="41"/>
    </row>
    <row r="213" spans="1:20">
      <c r="A213" s="28" t="s">
        <v>62</v>
      </c>
      <c r="B213" s="29" t="s">
        <v>55</v>
      </c>
      <c r="C213" s="30">
        <f>'2012 Actual Costs'!C213</f>
        <v>0</v>
      </c>
      <c r="D213" s="31">
        <f>'2012 Actual Costs'!D213</f>
        <v>0</v>
      </c>
      <c r="E213" s="30">
        <f>'2012 Actual Costs'!E213</f>
        <v>0</v>
      </c>
      <c r="F213" s="31">
        <f>'2012 Actual Costs'!F213</f>
        <v>2.1889421936849018</v>
      </c>
      <c r="G213" s="30">
        <f>'2011 Actual Costs'!G213</f>
        <v>0</v>
      </c>
      <c r="H213" s="31">
        <f>'2011 Actual Costs'!H213</f>
        <v>1.5896229414382907</v>
      </c>
      <c r="I213" s="30">
        <f>'2011 Actual Costs'!I213</f>
        <v>3.9100684261974585</v>
      </c>
      <c r="J213" s="31">
        <f>'2011 Actual Costs'!J213</f>
        <v>0</v>
      </c>
      <c r="K213" s="30">
        <f>'2011 Actual Costs'!K213</f>
        <v>3.4412746481296672</v>
      </c>
      <c r="L213" s="31">
        <f>'2011 Actual Costs'!L213</f>
        <v>0</v>
      </c>
      <c r="M213" s="30">
        <f>'2011 Actual Costs'!M213</f>
        <v>0</v>
      </c>
      <c r="N213" s="31">
        <f>'2011 Actual Costs'!N213</f>
        <v>0</v>
      </c>
      <c r="O213" s="32">
        <f>O214/O$197</f>
        <v>0.96530483648484366</v>
      </c>
    </row>
    <row r="214" spans="1:20">
      <c r="A214" s="34" t="s">
        <v>56</v>
      </c>
      <c r="B214" s="35" t="s">
        <v>57</v>
      </c>
      <c r="C214" s="36">
        <f t="shared" ref="C214:N214" si="152">C213*C$197</f>
        <v>0</v>
      </c>
      <c r="D214" s="37">
        <f t="shared" si="152"/>
        <v>0</v>
      </c>
      <c r="E214" s="36">
        <f t="shared" si="152"/>
        <v>0</v>
      </c>
      <c r="F214" s="37">
        <f t="shared" si="152"/>
        <v>53.052810815800079</v>
      </c>
      <c r="G214" s="36">
        <f t="shared" si="152"/>
        <v>0</v>
      </c>
      <c r="H214" s="37">
        <f t="shared" si="152"/>
        <v>38.527269209705388</v>
      </c>
      <c r="I214" s="36">
        <f t="shared" si="152"/>
        <v>97.926200058349352</v>
      </c>
      <c r="J214" s="37">
        <f t="shared" si="152"/>
        <v>0</v>
      </c>
      <c r="K214" s="36">
        <f t="shared" si="152"/>
        <v>0</v>
      </c>
      <c r="L214" s="37">
        <f t="shared" si="152"/>
        <v>0</v>
      </c>
      <c r="M214" s="36">
        <f t="shared" si="152"/>
        <v>0</v>
      </c>
      <c r="N214" s="37">
        <f t="shared" si="152"/>
        <v>0</v>
      </c>
      <c r="O214" s="67">
        <f>SUM(C214:N214)</f>
        <v>189.50628008385482</v>
      </c>
      <c r="P214" s="60"/>
      <c r="Q214" s="57"/>
      <c r="R214" s="57"/>
      <c r="S214" s="41"/>
      <c r="T214" s="8"/>
    </row>
    <row r="215" spans="1:20" ht="15.75">
      <c r="A215" s="42"/>
      <c r="B215" s="35" t="s">
        <v>58</v>
      </c>
      <c r="C215" s="43">
        <f>'Price Changes'!D42</f>
        <v>1.8186059999999999</v>
      </c>
      <c r="D215" s="44">
        <f t="shared" ref="D215:N215" si="153">C215</f>
        <v>1.8186059999999999</v>
      </c>
      <c r="E215" s="43">
        <f t="shared" si="153"/>
        <v>1.8186059999999999</v>
      </c>
      <c r="F215" s="44">
        <f t="shared" si="153"/>
        <v>1.8186059999999999</v>
      </c>
      <c r="G215" s="43">
        <f t="shared" si="153"/>
        <v>1.8186059999999999</v>
      </c>
      <c r="H215" s="44">
        <f t="shared" si="153"/>
        <v>1.8186059999999999</v>
      </c>
      <c r="I215" s="43">
        <f t="shared" si="153"/>
        <v>1.8186059999999999</v>
      </c>
      <c r="J215" s="44">
        <f t="shared" si="153"/>
        <v>1.8186059999999999</v>
      </c>
      <c r="K215" s="43">
        <f t="shared" si="153"/>
        <v>1.8186059999999999</v>
      </c>
      <c r="L215" s="44">
        <f t="shared" si="153"/>
        <v>1.8186059999999999</v>
      </c>
      <c r="M215" s="43">
        <f t="shared" si="153"/>
        <v>1.8186059999999999</v>
      </c>
      <c r="N215" s="44">
        <f t="shared" si="153"/>
        <v>1.8186059999999999</v>
      </c>
      <c r="O215" s="45">
        <f>IF(O214=0,0,+O216/O214)</f>
        <v>1.8186059999999999</v>
      </c>
      <c r="P215" s="46"/>
      <c r="Q215" s="47"/>
      <c r="R215" s="47"/>
      <c r="S215" s="41"/>
      <c r="T215" s="8"/>
    </row>
    <row r="216" spans="1:20">
      <c r="A216" s="42"/>
      <c r="B216" s="35" t="s">
        <v>15</v>
      </c>
      <c r="C216" s="48">
        <f t="shared" ref="C216:N216" si="154">C214*C215</f>
        <v>0</v>
      </c>
      <c r="D216" s="49">
        <f t="shared" si="154"/>
        <v>0</v>
      </c>
      <c r="E216" s="48">
        <f t="shared" si="154"/>
        <v>0</v>
      </c>
      <c r="F216" s="49">
        <f t="shared" si="154"/>
        <v>96.482160066478912</v>
      </c>
      <c r="G216" s="48">
        <f t="shared" si="154"/>
        <v>0</v>
      </c>
      <c r="H216" s="49">
        <f t="shared" si="154"/>
        <v>70.065922948385477</v>
      </c>
      <c r="I216" s="48">
        <f t="shared" si="154"/>
        <v>178.08917498331448</v>
      </c>
      <c r="J216" s="49">
        <f t="shared" si="154"/>
        <v>0</v>
      </c>
      <c r="K216" s="48">
        <f t="shared" si="154"/>
        <v>0</v>
      </c>
      <c r="L216" s="49">
        <f t="shared" si="154"/>
        <v>0</v>
      </c>
      <c r="M216" s="48">
        <f t="shared" si="154"/>
        <v>0</v>
      </c>
      <c r="N216" s="49">
        <f t="shared" si="154"/>
        <v>0</v>
      </c>
      <c r="O216" s="50">
        <f>SUM(C216:N216)</f>
        <v>344.63725799817888</v>
      </c>
      <c r="P216" s="40"/>
      <c r="Q216" s="40"/>
      <c r="R216" s="40"/>
      <c r="S216" s="41"/>
      <c r="T216" s="8"/>
    </row>
    <row r="217" spans="1:20" ht="16.5" thickBot="1">
      <c r="A217" s="51"/>
      <c r="B217" s="52" t="s">
        <v>59</v>
      </c>
      <c r="C217" s="53">
        <f t="shared" ref="C217:O217" si="155">C216/C$197</f>
        <v>0</v>
      </c>
      <c r="D217" s="54">
        <f t="shared" si="155"/>
        <v>0</v>
      </c>
      <c r="E217" s="53">
        <f t="shared" si="155"/>
        <v>0</v>
      </c>
      <c r="F217" s="54">
        <f t="shared" si="155"/>
        <v>3.9808234070885247</v>
      </c>
      <c r="G217" s="53">
        <f t="shared" si="155"/>
        <v>0</v>
      </c>
      <c r="H217" s="54">
        <f t="shared" si="155"/>
        <v>2.8908978190373245</v>
      </c>
      <c r="I217" s="53">
        <f t="shared" si="155"/>
        <v>7.1108739002932548</v>
      </c>
      <c r="J217" s="54">
        <f t="shared" si="155"/>
        <v>0</v>
      </c>
      <c r="K217" s="53" t="e">
        <f t="shared" si="155"/>
        <v>#DIV/0!</v>
      </c>
      <c r="L217" s="54" t="e">
        <f t="shared" si="155"/>
        <v>#DIV/0!</v>
      </c>
      <c r="M217" s="53" t="e">
        <f t="shared" si="155"/>
        <v>#DIV/0!</v>
      </c>
      <c r="N217" s="54" t="e">
        <f t="shared" si="155"/>
        <v>#DIV/0!</v>
      </c>
      <c r="O217" s="55">
        <f t="shared" si="155"/>
        <v>1.7555091674603556</v>
      </c>
      <c r="P217" s="56"/>
      <c r="Q217" s="57"/>
      <c r="R217" s="57"/>
      <c r="S217" s="41"/>
    </row>
    <row r="218" spans="1:20">
      <c r="A218" s="181" t="s">
        <v>63</v>
      </c>
      <c r="B218" s="29" t="s">
        <v>55</v>
      </c>
      <c r="C218" s="30">
        <f>'2012 Actual Costs'!C218</f>
        <v>0</v>
      </c>
      <c r="D218" s="31">
        <f>'2012 Actual Costs'!D218</f>
        <v>0</v>
      </c>
      <c r="E218" s="30">
        <f>'2012 Actual Costs'!E218</f>
        <v>0</v>
      </c>
      <c r="F218" s="31">
        <f>'2012 Actual Costs'!F218</f>
        <v>0</v>
      </c>
      <c r="G218" s="30">
        <f>'2011 Actual Costs'!G218</f>
        <v>0</v>
      </c>
      <c r="H218" s="31">
        <f>'2011 Actual Costs'!H218</f>
        <v>0</v>
      </c>
      <c r="I218" s="30">
        <f>'2011 Actual Costs'!I218</f>
        <v>0</v>
      </c>
      <c r="J218" s="31">
        <f>'2011 Actual Costs'!J218</f>
        <v>0</v>
      </c>
      <c r="K218" s="30">
        <f>'2011 Actual Costs'!K218</f>
        <v>0</v>
      </c>
      <c r="L218" s="31">
        <f>'2011 Actual Costs'!L218</f>
        <v>0</v>
      </c>
      <c r="M218" s="30">
        <f>'2011 Actual Costs'!M218</f>
        <v>0</v>
      </c>
      <c r="N218" s="31">
        <f>'2011 Actual Costs'!N218</f>
        <v>0</v>
      </c>
      <c r="O218" s="32">
        <f>O219/O$197</f>
        <v>0</v>
      </c>
    </row>
    <row r="219" spans="1:20">
      <c r="A219" s="34" t="s">
        <v>64</v>
      </c>
      <c r="B219" s="35" t="s">
        <v>57</v>
      </c>
      <c r="C219" s="36">
        <f t="shared" ref="C219:N219" si="156">C218*C$197</f>
        <v>0</v>
      </c>
      <c r="D219" s="37">
        <f t="shared" si="156"/>
        <v>0</v>
      </c>
      <c r="E219" s="36">
        <f t="shared" si="156"/>
        <v>0</v>
      </c>
      <c r="F219" s="37">
        <f t="shared" si="156"/>
        <v>0</v>
      </c>
      <c r="G219" s="36">
        <f t="shared" si="156"/>
        <v>0</v>
      </c>
      <c r="H219" s="37">
        <f t="shared" si="156"/>
        <v>0</v>
      </c>
      <c r="I219" s="36">
        <f t="shared" si="156"/>
        <v>0</v>
      </c>
      <c r="J219" s="37">
        <f t="shared" si="156"/>
        <v>0</v>
      </c>
      <c r="K219" s="36">
        <f t="shared" si="156"/>
        <v>0</v>
      </c>
      <c r="L219" s="37">
        <f t="shared" si="156"/>
        <v>0</v>
      </c>
      <c r="M219" s="36">
        <f t="shared" si="156"/>
        <v>0</v>
      </c>
      <c r="N219" s="37">
        <f t="shared" si="156"/>
        <v>0</v>
      </c>
      <c r="O219" s="67">
        <f>SUM(C219:N219)</f>
        <v>0</v>
      </c>
    </row>
    <row r="220" spans="1:20">
      <c r="A220" s="34"/>
      <c r="B220" s="35" t="s">
        <v>58</v>
      </c>
      <c r="C220" s="43">
        <f>'Price Changes'!D43</f>
        <v>0</v>
      </c>
      <c r="D220" s="44">
        <f t="shared" ref="D220:N220" si="157">C220</f>
        <v>0</v>
      </c>
      <c r="E220" s="43">
        <f t="shared" si="157"/>
        <v>0</v>
      </c>
      <c r="F220" s="44">
        <f t="shared" si="157"/>
        <v>0</v>
      </c>
      <c r="G220" s="43">
        <f t="shared" si="157"/>
        <v>0</v>
      </c>
      <c r="H220" s="44">
        <f t="shared" si="157"/>
        <v>0</v>
      </c>
      <c r="I220" s="43">
        <f t="shared" si="157"/>
        <v>0</v>
      </c>
      <c r="J220" s="44">
        <f t="shared" si="157"/>
        <v>0</v>
      </c>
      <c r="K220" s="43">
        <f t="shared" si="157"/>
        <v>0</v>
      </c>
      <c r="L220" s="44">
        <f t="shared" si="157"/>
        <v>0</v>
      </c>
      <c r="M220" s="43">
        <f t="shared" si="157"/>
        <v>0</v>
      </c>
      <c r="N220" s="44">
        <f t="shared" si="157"/>
        <v>0</v>
      </c>
      <c r="O220" s="45">
        <f>IF(O219=0,0,+O221/O219)</f>
        <v>0</v>
      </c>
    </row>
    <row r="221" spans="1:20">
      <c r="A221" s="42"/>
      <c r="B221" s="35" t="s">
        <v>15</v>
      </c>
      <c r="C221" s="48">
        <f t="shared" ref="C221:N221" si="158">C219*C220</f>
        <v>0</v>
      </c>
      <c r="D221" s="49">
        <f t="shared" si="158"/>
        <v>0</v>
      </c>
      <c r="E221" s="48">
        <f t="shared" si="158"/>
        <v>0</v>
      </c>
      <c r="F221" s="49">
        <f t="shared" si="158"/>
        <v>0</v>
      </c>
      <c r="G221" s="48">
        <f t="shared" si="158"/>
        <v>0</v>
      </c>
      <c r="H221" s="49">
        <f t="shared" si="158"/>
        <v>0</v>
      </c>
      <c r="I221" s="48">
        <f t="shared" si="158"/>
        <v>0</v>
      </c>
      <c r="J221" s="49">
        <f t="shared" si="158"/>
        <v>0</v>
      </c>
      <c r="K221" s="48">
        <f t="shared" si="158"/>
        <v>0</v>
      </c>
      <c r="L221" s="49">
        <f t="shared" si="158"/>
        <v>0</v>
      </c>
      <c r="M221" s="48">
        <f t="shared" si="158"/>
        <v>0</v>
      </c>
      <c r="N221" s="49">
        <f t="shared" si="158"/>
        <v>0</v>
      </c>
      <c r="O221" s="50">
        <f>SUM(C221:N221)</f>
        <v>0</v>
      </c>
    </row>
    <row r="222" spans="1:20" ht="13.5" thickBot="1">
      <c r="A222" s="51"/>
      <c r="B222" s="52" t="s">
        <v>59</v>
      </c>
      <c r="C222" s="53">
        <f t="shared" ref="C222:O222" si="159">C221/C$197</f>
        <v>0</v>
      </c>
      <c r="D222" s="54">
        <f t="shared" si="159"/>
        <v>0</v>
      </c>
      <c r="E222" s="53">
        <f t="shared" si="159"/>
        <v>0</v>
      </c>
      <c r="F222" s="54">
        <f t="shared" si="159"/>
        <v>0</v>
      </c>
      <c r="G222" s="53">
        <f t="shared" si="159"/>
        <v>0</v>
      </c>
      <c r="H222" s="54">
        <f t="shared" si="159"/>
        <v>0</v>
      </c>
      <c r="I222" s="53">
        <f t="shared" si="159"/>
        <v>0</v>
      </c>
      <c r="J222" s="54">
        <f t="shared" si="159"/>
        <v>0</v>
      </c>
      <c r="K222" s="53" t="e">
        <f t="shared" si="159"/>
        <v>#DIV/0!</v>
      </c>
      <c r="L222" s="54" t="e">
        <f t="shared" si="159"/>
        <v>#DIV/0!</v>
      </c>
      <c r="M222" s="53" t="e">
        <f t="shared" si="159"/>
        <v>#DIV/0!</v>
      </c>
      <c r="N222" s="54" t="e">
        <f t="shared" si="159"/>
        <v>#DIV/0!</v>
      </c>
      <c r="O222" s="55">
        <f t="shared" si="159"/>
        <v>0</v>
      </c>
    </row>
    <row r="223" spans="1:20">
      <c r="A223" s="28" t="s">
        <v>65</v>
      </c>
      <c r="B223" s="29" t="s">
        <v>55</v>
      </c>
      <c r="C223" s="30">
        <f>'2012 Actual Costs'!C223</f>
        <v>1322.0528124143786</v>
      </c>
      <c r="D223" s="31">
        <f>'2012 Actual Costs'!D223</f>
        <v>1607.4679029830445</v>
      </c>
      <c r="E223" s="30">
        <f>'2012 Actual Costs'!E223</f>
        <v>1385.9539873941924</v>
      </c>
      <c r="F223" s="31">
        <f>'2012 Actual Costs'!F223</f>
        <v>1510.7993179942853</v>
      </c>
      <c r="G223" s="30">
        <f>'2011 Actual Costs'!G223</f>
        <v>1115.8371040723982</v>
      </c>
      <c r="H223" s="31">
        <f>'2011 Actual Costs'!H223</f>
        <v>1053.4431232911554</v>
      </c>
      <c r="I223" s="30">
        <f>'2011 Actual Costs'!I223</f>
        <v>1000.3261965482474</v>
      </c>
      <c r="J223" s="31">
        <f>'2011 Actual Costs'!J223</f>
        <v>1067.8518242740133</v>
      </c>
      <c r="K223" s="30">
        <f>'2011 Actual Costs'!K223</f>
        <v>1059.5684641591245</v>
      </c>
      <c r="L223" s="31">
        <f>'2011 Actual Costs'!L223</f>
        <v>822.29280592029863</v>
      </c>
      <c r="M223" s="30">
        <f>'2011 Actual Costs'!M223</f>
        <v>1449.9466002135991</v>
      </c>
      <c r="N223" s="31">
        <f>'2011 Actual Costs'!N223</f>
        <v>1233.2492091138522</v>
      </c>
      <c r="O223" s="32">
        <f>O224/O$197</f>
        <v>1253.4528978925457</v>
      </c>
    </row>
    <row r="224" spans="1:20">
      <c r="A224" s="182" t="s">
        <v>64</v>
      </c>
      <c r="B224" s="35" t="s">
        <v>57</v>
      </c>
      <c r="C224" s="36">
        <f t="shared" ref="C224:N224" si="160">C223*C$197</f>
        <v>33110.317796176576</v>
      </c>
      <c r="D224" s="37">
        <f t="shared" si="160"/>
        <v>36362.454618080272</v>
      </c>
      <c r="E224" s="36">
        <f t="shared" si="160"/>
        <v>34710.698803094747</v>
      </c>
      <c r="F224" s="37">
        <f t="shared" si="160"/>
        <v>36616.841974826719</v>
      </c>
      <c r="G224" s="36">
        <f t="shared" si="160"/>
        <v>27945.722574524771</v>
      </c>
      <c r="H224" s="37">
        <f t="shared" si="160"/>
        <v>25532.021305271763</v>
      </c>
      <c r="I224" s="36">
        <f t="shared" si="160"/>
        <v>25052.795135366894</v>
      </c>
      <c r="J224" s="37">
        <f t="shared" si="160"/>
        <v>26743.949204547636</v>
      </c>
      <c r="K224" s="36">
        <f t="shared" si="160"/>
        <v>0</v>
      </c>
      <c r="L224" s="37">
        <f t="shared" si="160"/>
        <v>0</v>
      </c>
      <c r="M224" s="36">
        <f t="shared" si="160"/>
        <v>0</v>
      </c>
      <c r="N224" s="37">
        <f t="shared" si="160"/>
        <v>0</v>
      </c>
      <c r="O224" s="38">
        <f>SUM(C224:N224)</f>
        <v>246074.80141188938</v>
      </c>
      <c r="P224" s="57"/>
      <c r="Q224" s="57"/>
      <c r="R224" s="57"/>
      <c r="S224" s="41"/>
      <c r="T224" s="8"/>
    </row>
    <row r="225" spans="1:20" ht="15.75">
      <c r="A225" s="42"/>
      <c r="B225" s="35" t="s">
        <v>58</v>
      </c>
      <c r="C225" s="43">
        <f>'Price Changes'!D44</f>
        <v>0.22220000000000001</v>
      </c>
      <c r="D225" s="44">
        <f t="shared" ref="D225:N225" si="161">C225</f>
        <v>0.22220000000000001</v>
      </c>
      <c r="E225" s="43">
        <f t="shared" si="161"/>
        <v>0.22220000000000001</v>
      </c>
      <c r="F225" s="44">
        <f t="shared" si="161"/>
        <v>0.22220000000000001</v>
      </c>
      <c r="G225" s="43">
        <f t="shared" si="161"/>
        <v>0.22220000000000001</v>
      </c>
      <c r="H225" s="44">
        <f t="shared" si="161"/>
        <v>0.22220000000000001</v>
      </c>
      <c r="I225" s="43">
        <f t="shared" si="161"/>
        <v>0.22220000000000001</v>
      </c>
      <c r="J225" s="44">
        <f t="shared" si="161"/>
        <v>0.22220000000000001</v>
      </c>
      <c r="K225" s="43">
        <f t="shared" si="161"/>
        <v>0.22220000000000001</v>
      </c>
      <c r="L225" s="44">
        <f t="shared" si="161"/>
        <v>0.22220000000000001</v>
      </c>
      <c r="M225" s="43">
        <f t="shared" si="161"/>
        <v>0.22220000000000001</v>
      </c>
      <c r="N225" s="44">
        <f t="shared" si="161"/>
        <v>0.22220000000000001</v>
      </c>
      <c r="O225" s="45">
        <f>IF(O224=0,0,+O226/O224)</f>
        <v>0.22220000000000004</v>
      </c>
      <c r="P225" s="46"/>
      <c r="Q225" s="47"/>
      <c r="R225" s="47"/>
      <c r="S225" s="41"/>
      <c r="T225" s="8"/>
    </row>
    <row r="226" spans="1:20">
      <c r="A226" s="42"/>
      <c r="B226" s="35" t="s">
        <v>15</v>
      </c>
      <c r="C226" s="48">
        <f t="shared" ref="C226:N226" si="162">C224*C225</f>
        <v>7357.1126143104357</v>
      </c>
      <c r="D226" s="49">
        <f t="shared" si="162"/>
        <v>8079.7374161374364</v>
      </c>
      <c r="E226" s="48">
        <f t="shared" si="162"/>
        <v>7712.7172740476526</v>
      </c>
      <c r="F226" s="49">
        <f t="shared" si="162"/>
        <v>8136.2622868064973</v>
      </c>
      <c r="G226" s="48">
        <f t="shared" si="162"/>
        <v>6209.5395560594043</v>
      </c>
      <c r="H226" s="49">
        <f t="shared" si="162"/>
        <v>5673.2151340313858</v>
      </c>
      <c r="I226" s="48">
        <f t="shared" si="162"/>
        <v>5566.7310790785241</v>
      </c>
      <c r="J226" s="49">
        <f t="shared" si="162"/>
        <v>5942.5055132504849</v>
      </c>
      <c r="K226" s="48">
        <f t="shared" si="162"/>
        <v>0</v>
      </c>
      <c r="L226" s="49">
        <f t="shared" si="162"/>
        <v>0</v>
      </c>
      <c r="M226" s="48">
        <f t="shared" si="162"/>
        <v>0</v>
      </c>
      <c r="N226" s="49">
        <f t="shared" si="162"/>
        <v>0</v>
      </c>
      <c r="O226" s="50">
        <f>SUM(C226:N226)</f>
        <v>54677.82087372183</v>
      </c>
      <c r="P226" s="40"/>
      <c r="Q226" s="40"/>
      <c r="R226" s="40"/>
      <c r="S226" s="41"/>
    </row>
    <row r="227" spans="1:20" ht="16.5" thickBot="1">
      <c r="A227" s="51"/>
      <c r="B227" s="52" t="s">
        <v>59</v>
      </c>
      <c r="C227" s="53">
        <f t="shared" ref="C227:O227" si="163">C226/C$197</f>
        <v>293.76013491847493</v>
      </c>
      <c r="D227" s="54">
        <f t="shared" si="163"/>
        <v>357.17936804283255</v>
      </c>
      <c r="E227" s="53">
        <f t="shared" si="163"/>
        <v>307.95897599898956</v>
      </c>
      <c r="F227" s="54">
        <f t="shared" si="163"/>
        <v>335.6996084583302</v>
      </c>
      <c r="G227" s="53">
        <f t="shared" si="163"/>
        <v>247.93900452488688</v>
      </c>
      <c r="H227" s="54">
        <f t="shared" si="163"/>
        <v>234.07506199529473</v>
      </c>
      <c r="I227" s="53">
        <f t="shared" si="163"/>
        <v>222.27248087302058</v>
      </c>
      <c r="J227" s="54">
        <f t="shared" si="163"/>
        <v>237.27667535368576</v>
      </c>
      <c r="K227" s="53" t="e">
        <f t="shared" si="163"/>
        <v>#DIV/0!</v>
      </c>
      <c r="L227" s="54" t="e">
        <f t="shared" si="163"/>
        <v>#DIV/0!</v>
      </c>
      <c r="M227" s="53" t="e">
        <f t="shared" si="163"/>
        <v>#DIV/0!</v>
      </c>
      <c r="N227" s="54" t="e">
        <f t="shared" si="163"/>
        <v>#DIV/0!</v>
      </c>
      <c r="O227" s="55">
        <f t="shared" si="163"/>
        <v>278.51723391172374</v>
      </c>
      <c r="P227" s="56"/>
      <c r="Q227" s="57"/>
      <c r="R227" s="57"/>
      <c r="S227" s="41"/>
    </row>
    <row r="228" spans="1:20">
      <c r="A228" s="28" t="s">
        <v>66</v>
      </c>
      <c r="B228" s="29" t="s">
        <v>55</v>
      </c>
      <c r="C228" s="30">
        <f>'2012 Actual Costs'!C228</f>
        <v>23.753789644522058</v>
      </c>
      <c r="D228" s="31">
        <f>'2012 Actual Costs'!D228</f>
        <v>22.887041656106337</v>
      </c>
      <c r="E228" s="30">
        <f>'2012 Actual Costs'!E228</f>
        <v>37.541720723711251</v>
      </c>
      <c r="F228" s="31">
        <f>'2012 Actual Costs'!F228</f>
        <v>31.503599414994472</v>
      </c>
      <c r="G228" s="30">
        <f>'2011 Actual Costs'!G228</f>
        <v>31.027795733678087</v>
      </c>
      <c r="H228" s="31">
        <f>'2011 Actual Costs'!H228</f>
        <v>37.642271253258727</v>
      </c>
      <c r="I228" s="30">
        <f>'2011 Actual Costs'!I228</f>
        <v>19.660755589822667</v>
      </c>
      <c r="J228" s="31">
        <f>'2011 Actual Costs'!J228</f>
        <v>36.361379995035989</v>
      </c>
      <c r="K228" s="30">
        <f>'2011 Actual Costs'!K228</f>
        <v>30.007914931690696</v>
      </c>
      <c r="L228" s="31">
        <f>'2011 Actual Costs'!L228</f>
        <v>31.926389207243197</v>
      </c>
      <c r="M228" s="30">
        <f>'2011 Actual Costs'!M228</f>
        <v>24.314702741189034</v>
      </c>
      <c r="N228" s="31">
        <f>'2011 Actual Costs'!N228</f>
        <v>37.109444424696974</v>
      </c>
      <c r="O228" s="32">
        <f>O229/O$197</f>
        <v>30.098444356824878</v>
      </c>
    </row>
    <row r="229" spans="1:20">
      <c r="A229" s="34" t="s">
        <v>64</v>
      </c>
      <c r="B229" s="35" t="s">
        <v>57</v>
      </c>
      <c r="C229" s="36">
        <f t="shared" ref="C229:N229" si="164">C228*C$197</f>
        <v>594.90476977037565</v>
      </c>
      <c r="D229" s="37">
        <f t="shared" si="164"/>
        <v>517.72667561067794</v>
      </c>
      <c r="E229" s="36">
        <f t="shared" si="164"/>
        <v>940.21834234242476</v>
      </c>
      <c r="F229" s="37">
        <f t="shared" si="164"/>
        <v>763.54437527053449</v>
      </c>
      <c r="G229" s="36">
        <f t="shared" si="164"/>
        <v>777.07952935765786</v>
      </c>
      <c r="H229" s="37">
        <f t="shared" si="164"/>
        <v>912.32573488582364</v>
      </c>
      <c r="I229" s="36">
        <f t="shared" si="164"/>
        <v>492.39626403664812</v>
      </c>
      <c r="J229" s="37">
        <f t="shared" si="164"/>
        <v>910.65715063569053</v>
      </c>
      <c r="K229" s="36">
        <f t="shared" si="164"/>
        <v>0</v>
      </c>
      <c r="L229" s="37">
        <f t="shared" si="164"/>
        <v>0</v>
      </c>
      <c r="M229" s="36">
        <f t="shared" si="164"/>
        <v>0</v>
      </c>
      <c r="N229" s="37">
        <f t="shared" si="164"/>
        <v>0</v>
      </c>
      <c r="O229" s="38">
        <f>SUM(C229:N229)</f>
        <v>5908.8528419098329</v>
      </c>
      <c r="P229" s="57"/>
      <c r="Q229" s="57"/>
      <c r="R229" s="57"/>
      <c r="S229" s="41"/>
      <c r="T229" s="8"/>
    </row>
    <row r="230" spans="1:20" ht="15.75">
      <c r="A230" s="42"/>
      <c r="B230" s="35" t="s">
        <v>58</v>
      </c>
      <c r="C230" s="43">
        <f>'Price Changes'!D45</f>
        <v>0.39899999999999997</v>
      </c>
      <c r="D230" s="44">
        <f t="shared" ref="D230:N230" si="165">C230</f>
        <v>0.39899999999999997</v>
      </c>
      <c r="E230" s="43">
        <f t="shared" si="165"/>
        <v>0.39899999999999997</v>
      </c>
      <c r="F230" s="44">
        <f t="shared" si="165"/>
        <v>0.39899999999999997</v>
      </c>
      <c r="G230" s="43">
        <f t="shared" si="165"/>
        <v>0.39899999999999997</v>
      </c>
      <c r="H230" s="44">
        <f t="shared" si="165"/>
        <v>0.39899999999999997</v>
      </c>
      <c r="I230" s="43">
        <f t="shared" si="165"/>
        <v>0.39899999999999997</v>
      </c>
      <c r="J230" s="44">
        <f t="shared" si="165"/>
        <v>0.39899999999999997</v>
      </c>
      <c r="K230" s="43">
        <f t="shared" si="165"/>
        <v>0.39899999999999997</v>
      </c>
      <c r="L230" s="44">
        <f t="shared" si="165"/>
        <v>0.39899999999999997</v>
      </c>
      <c r="M230" s="43">
        <f t="shared" si="165"/>
        <v>0.39899999999999997</v>
      </c>
      <c r="N230" s="44">
        <f t="shared" si="165"/>
        <v>0.39899999999999997</v>
      </c>
      <c r="O230" s="45">
        <f>IF(O229=0,0,+O231/O229)</f>
        <v>0.39899999999999991</v>
      </c>
      <c r="P230" s="46"/>
      <c r="Q230" s="47"/>
      <c r="R230" s="47"/>
      <c r="S230" s="41"/>
      <c r="T230" s="8"/>
    </row>
    <row r="231" spans="1:20">
      <c r="A231" s="42"/>
      <c r="B231" s="35" t="s">
        <v>15</v>
      </c>
      <c r="C231" s="48">
        <f t="shared" ref="C231:N231" si="166">C229*C230</f>
        <v>237.36700313837986</v>
      </c>
      <c r="D231" s="49">
        <f t="shared" si="166"/>
        <v>206.57294356866049</v>
      </c>
      <c r="E231" s="48">
        <f t="shared" si="166"/>
        <v>375.14711859462744</v>
      </c>
      <c r="F231" s="49">
        <f t="shared" si="166"/>
        <v>304.65420573294324</v>
      </c>
      <c r="G231" s="48">
        <f t="shared" si="166"/>
        <v>310.05473221370545</v>
      </c>
      <c r="H231" s="49">
        <f t="shared" si="166"/>
        <v>364.01796821944362</v>
      </c>
      <c r="I231" s="48">
        <f t="shared" si="166"/>
        <v>196.46610935062259</v>
      </c>
      <c r="J231" s="49">
        <f t="shared" si="166"/>
        <v>363.35220310364048</v>
      </c>
      <c r="K231" s="48">
        <f t="shared" si="166"/>
        <v>0</v>
      </c>
      <c r="L231" s="49">
        <f t="shared" si="166"/>
        <v>0</v>
      </c>
      <c r="M231" s="48">
        <f t="shared" si="166"/>
        <v>0</v>
      </c>
      <c r="N231" s="49">
        <f t="shared" si="166"/>
        <v>0</v>
      </c>
      <c r="O231" s="50">
        <f>SUM(C231:N231)</f>
        <v>2357.6322839220229</v>
      </c>
      <c r="P231" s="40"/>
      <c r="Q231" s="40"/>
      <c r="R231" s="40"/>
      <c r="S231" s="41"/>
    </row>
    <row r="232" spans="1:20" ht="16.5" thickBot="1">
      <c r="A232" s="51"/>
      <c r="B232" s="52" t="s">
        <v>59</v>
      </c>
      <c r="C232" s="53">
        <f t="shared" ref="C232:O232" si="167">C231/C$197</f>
        <v>9.4777620681642993</v>
      </c>
      <c r="D232" s="54">
        <f t="shared" si="167"/>
        <v>9.131929620786428</v>
      </c>
      <c r="E232" s="53">
        <f t="shared" si="167"/>
        <v>14.979146568760788</v>
      </c>
      <c r="F232" s="54">
        <f t="shared" si="167"/>
        <v>12.569936166582794</v>
      </c>
      <c r="G232" s="53">
        <f t="shared" si="167"/>
        <v>12.380090497737555</v>
      </c>
      <c r="H232" s="54">
        <f t="shared" si="167"/>
        <v>15.019266230050231</v>
      </c>
      <c r="I232" s="53">
        <f t="shared" si="167"/>
        <v>7.8446414803392441</v>
      </c>
      <c r="J232" s="54">
        <f t="shared" si="167"/>
        <v>14.508190618019357</v>
      </c>
      <c r="K232" s="53" t="e">
        <f t="shared" si="167"/>
        <v>#DIV/0!</v>
      </c>
      <c r="L232" s="54" t="e">
        <f t="shared" si="167"/>
        <v>#DIV/0!</v>
      </c>
      <c r="M232" s="53" t="e">
        <f t="shared" si="167"/>
        <v>#DIV/0!</v>
      </c>
      <c r="N232" s="54" t="e">
        <f t="shared" si="167"/>
        <v>#DIV/0!</v>
      </c>
      <c r="O232" s="55">
        <f t="shared" si="167"/>
        <v>12.009279298373125</v>
      </c>
      <c r="P232" s="56"/>
      <c r="Q232" s="57"/>
      <c r="R232" s="57"/>
      <c r="S232" s="41"/>
    </row>
    <row r="233" spans="1:20">
      <c r="A233" s="69" t="s">
        <v>67</v>
      </c>
      <c r="B233" s="29" t="s">
        <v>55</v>
      </c>
      <c r="C233" s="30">
        <f>'2012 Actual Costs'!C233</f>
        <v>0</v>
      </c>
      <c r="D233" s="31">
        <f>'2012 Actual Costs'!D233</f>
        <v>0</v>
      </c>
      <c r="E233" s="30">
        <f>'2012 Actual Costs'!E233</f>
        <v>0</v>
      </c>
      <c r="F233" s="31">
        <f>'2012 Actual Costs'!F233</f>
        <v>0</v>
      </c>
      <c r="G233" s="30">
        <f>'2011 Actual Costs'!G233</f>
        <v>0</v>
      </c>
      <c r="H233" s="31">
        <f>'2011 Actual Costs'!H233</f>
        <v>0</v>
      </c>
      <c r="I233" s="30">
        <f>'2011 Actual Costs'!I233</f>
        <v>0</v>
      </c>
      <c r="J233" s="31">
        <f>'2011 Actual Costs'!J233</f>
        <v>0</v>
      </c>
      <c r="K233" s="30">
        <f>'2011 Actual Costs'!K233</f>
        <v>0</v>
      </c>
      <c r="L233" s="31">
        <f>'2011 Actual Costs'!L233</f>
        <v>0</v>
      </c>
      <c r="M233" s="30">
        <f>'2011 Actual Costs'!M233</f>
        <v>0</v>
      </c>
      <c r="N233" s="31">
        <f>'2011 Actual Costs'!N233</f>
        <v>0</v>
      </c>
      <c r="O233" s="32">
        <f>O234/O$197</f>
        <v>0</v>
      </c>
    </row>
    <row r="234" spans="1:20">
      <c r="A234" s="34" t="s">
        <v>64</v>
      </c>
      <c r="B234" s="35" t="s">
        <v>57</v>
      </c>
      <c r="C234" s="65">
        <f t="shared" ref="C234:N234" si="168">C$197*C233</f>
        <v>0</v>
      </c>
      <c r="D234" s="66">
        <f t="shared" si="168"/>
        <v>0</v>
      </c>
      <c r="E234" s="65">
        <f t="shared" si="168"/>
        <v>0</v>
      </c>
      <c r="F234" s="66">
        <f t="shared" si="168"/>
        <v>0</v>
      </c>
      <c r="G234" s="65">
        <f t="shared" si="168"/>
        <v>0</v>
      </c>
      <c r="H234" s="66">
        <f t="shared" si="168"/>
        <v>0</v>
      </c>
      <c r="I234" s="65">
        <f t="shared" si="168"/>
        <v>0</v>
      </c>
      <c r="J234" s="66">
        <f t="shared" si="168"/>
        <v>0</v>
      </c>
      <c r="K234" s="65">
        <f t="shared" si="168"/>
        <v>0</v>
      </c>
      <c r="L234" s="66">
        <f t="shared" si="168"/>
        <v>0</v>
      </c>
      <c r="M234" s="65">
        <f t="shared" si="168"/>
        <v>0</v>
      </c>
      <c r="N234" s="66">
        <f t="shared" si="168"/>
        <v>0</v>
      </c>
      <c r="O234" s="67">
        <f>SUM(C234:N234)</f>
        <v>0</v>
      </c>
    </row>
    <row r="235" spans="1:20">
      <c r="A235" s="42"/>
      <c r="B235" s="35" t="s">
        <v>58</v>
      </c>
      <c r="C235" s="43">
        <f>'Price Changes'!D46</f>
        <v>0</v>
      </c>
      <c r="D235" s="44">
        <f t="shared" ref="D235:N235" si="169">C235</f>
        <v>0</v>
      </c>
      <c r="E235" s="43">
        <f t="shared" si="169"/>
        <v>0</v>
      </c>
      <c r="F235" s="44">
        <f t="shared" si="169"/>
        <v>0</v>
      </c>
      <c r="G235" s="43">
        <f t="shared" si="169"/>
        <v>0</v>
      </c>
      <c r="H235" s="44">
        <f t="shared" si="169"/>
        <v>0</v>
      </c>
      <c r="I235" s="43">
        <f t="shared" si="169"/>
        <v>0</v>
      </c>
      <c r="J235" s="44">
        <f t="shared" si="169"/>
        <v>0</v>
      </c>
      <c r="K235" s="43">
        <f t="shared" si="169"/>
        <v>0</v>
      </c>
      <c r="L235" s="44">
        <f t="shared" si="169"/>
        <v>0</v>
      </c>
      <c r="M235" s="43">
        <f t="shared" si="169"/>
        <v>0</v>
      </c>
      <c r="N235" s="44">
        <f t="shared" si="169"/>
        <v>0</v>
      </c>
      <c r="O235" s="45">
        <f>IF(O234=0,0,+O236/O234)</f>
        <v>0</v>
      </c>
    </row>
    <row r="236" spans="1:20">
      <c r="A236" s="42"/>
      <c r="B236" s="35" t="s">
        <v>15</v>
      </c>
      <c r="C236" s="48">
        <f t="shared" ref="C236:N236" si="170">C234*C235</f>
        <v>0</v>
      </c>
      <c r="D236" s="49">
        <f t="shared" si="170"/>
        <v>0</v>
      </c>
      <c r="E236" s="48">
        <f t="shared" si="170"/>
        <v>0</v>
      </c>
      <c r="F236" s="49">
        <f t="shared" si="170"/>
        <v>0</v>
      </c>
      <c r="G236" s="48">
        <f t="shared" si="170"/>
        <v>0</v>
      </c>
      <c r="H236" s="49">
        <f t="shared" si="170"/>
        <v>0</v>
      </c>
      <c r="I236" s="48">
        <f t="shared" si="170"/>
        <v>0</v>
      </c>
      <c r="J236" s="49">
        <f t="shared" si="170"/>
        <v>0</v>
      </c>
      <c r="K236" s="48">
        <f t="shared" si="170"/>
        <v>0</v>
      </c>
      <c r="L236" s="49">
        <f t="shared" si="170"/>
        <v>0</v>
      </c>
      <c r="M236" s="48">
        <f t="shared" si="170"/>
        <v>0</v>
      </c>
      <c r="N236" s="49">
        <f t="shared" si="170"/>
        <v>0</v>
      </c>
      <c r="O236" s="50">
        <f>SUM(C236:N236)</f>
        <v>0</v>
      </c>
    </row>
    <row r="237" spans="1:20" ht="13.5" thickBot="1">
      <c r="A237" s="51"/>
      <c r="B237" s="52" t="s">
        <v>59</v>
      </c>
      <c r="C237" s="53">
        <f t="shared" ref="C237:O237" si="171">C236/C$197</f>
        <v>0</v>
      </c>
      <c r="D237" s="54">
        <f t="shared" si="171"/>
        <v>0</v>
      </c>
      <c r="E237" s="53">
        <f t="shared" si="171"/>
        <v>0</v>
      </c>
      <c r="F237" s="54">
        <f t="shared" si="171"/>
        <v>0</v>
      </c>
      <c r="G237" s="53">
        <f t="shared" si="171"/>
        <v>0</v>
      </c>
      <c r="H237" s="54">
        <f t="shared" si="171"/>
        <v>0</v>
      </c>
      <c r="I237" s="53">
        <f t="shared" si="171"/>
        <v>0</v>
      </c>
      <c r="J237" s="54">
        <f t="shared" si="171"/>
        <v>0</v>
      </c>
      <c r="K237" s="53" t="e">
        <f t="shared" si="171"/>
        <v>#DIV/0!</v>
      </c>
      <c r="L237" s="54" t="e">
        <f t="shared" si="171"/>
        <v>#DIV/0!</v>
      </c>
      <c r="M237" s="53" t="e">
        <f t="shared" si="171"/>
        <v>#DIV/0!</v>
      </c>
      <c r="N237" s="54" t="e">
        <f t="shared" si="171"/>
        <v>#DIV/0!</v>
      </c>
      <c r="O237" s="55">
        <f t="shared" si="171"/>
        <v>0</v>
      </c>
    </row>
    <row r="238" spans="1:20">
      <c r="A238" s="28" t="s">
        <v>68</v>
      </c>
      <c r="B238" s="29" t="s">
        <v>55</v>
      </c>
      <c r="C238" s="30">
        <f>'2012 Actual Costs'!C238</f>
        <v>8.9982252907017752</v>
      </c>
      <c r="D238" s="31">
        <f>'2012 Actual Costs'!D238</f>
        <v>0</v>
      </c>
      <c r="E238" s="30">
        <f>'2012 Actual Costs'!E238</f>
        <v>0</v>
      </c>
      <c r="F238" s="31">
        <f>'2012 Actual Costs'!F238</f>
        <v>9.6570979133157451</v>
      </c>
      <c r="G238" s="30">
        <f>'2011 Actual Costs'!G238</f>
        <v>3.1674208144796379</v>
      </c>
      <c r="H238" s="31">
        <f>'2011 Actual Costs'!H238</f>
        <v>8.7747186367393653</v>
      </c>
      <c r="I238" s="30">
        <f>'2011 Actual Costs'!I238</f>
        <v>5.337761698594389</v>
      </c>
      <c r="J238" s="31">
        <f>'2011 Actual Costs'!J238</f>
        <v>4.4055596922313232</v>
      </c>
      <c r="K238" s="30">
        <f>'2011 Actual Costs'!K238</f>
        <v>0</v>
      </c>
      <c r="L238" s="31">
        <f>'2011 Actual Costs'!L238</f>
        <v>1.2443105537181964</v>
      </c>
      <c r="M238" s="30">
        <f>'2011 Actual Costs'!M238</f>
        <v>0.96119615521537916</v>
      </c>
      <c r="N238" s="31">
        <f>'2011 Actual Costs'!N238</f>
        <v>7.5711797533146132</v>
      </c>
      <c r="O238" s="32">
        <f>O239/O$197</f>
        <v>5.0705040694562724</v>
      </c>
    </row>
    <row r="239" spans="1:20">
      <c r="A239" s="34" t="s">
        <v>64</v>
      </c>
      <c r="B239" s="35" t="s">
        <v>57</v>
      </c>
      <c r="C239" s="36">
        <f t="shared" ref="C239:N239" si="172">C238*C$197</f>
        <v>225.35718405426752</v>
      </c>
      <c r="D239" s="37">
        <f t="shared" si="172"/>
        <v>0</v>
      </c>
      <c r="E239" s="36">
        <f t="shared" si="172"/>
        <v>0</v>
      </c>
      <c r="F239" s="37">
        <f t="shared" si="172"/>
        <v>234.05651830500037</v>
      </c>
      <c r="G239" s="36">
        <f t="shared" si="172"/>
        <v>79.326868621927574</v>
      </c>
      <c r="H239" s="37">
        <f t="shared" si="172"/>
        <v>212.67052603757375</v>
      </c>
      <c r="I239" s="36">
        <f t="shared" si="172"/>
        <v>133.68224362985922</v>
      </c>
      <c r="J239" s="37">
        <f t="shared" si="172"/>
        <v>110.33559333640619</v>
      </c>
      <c r="K239" s="36">
        <f t="shared" si="172"/>
        <v>0</v>
      </c>
      <c r="L239" s="37">
        <f t="shared" si="172"/>
        <v>0</v>
      </c>
      <c r="M239" s="36">
        <f t="shared" si="172"/>
        <v>0</v>
      </c>
      <c r="N239" s="37">
        <f t="shared" si="172"/>
        <v>0</v>
      </c>
      <c r="O239" s="38">
        <f>SUM(C239:N239)</f>
        <v>995.42893398503452</v>
      </c>
      <c r="P239" s="68"/>
      <c r="Q239" s="68"/>
      <c r="R239" s="33"/>
      <c r="S239" s="41"/>
    </row>
    <row r="240" spans="1:20" ht="15.75">
      <c r="A240" s="42"/>
      <c r="B240" s="35" t="s">
        <v>58</v>
      </c>
      <c r="C240" s="43">
        <f>'Price Changes'!D47</f>
        <v>1.375</v>
      </c>
      <c r="D240" s="44">
        <f t="shared" ref="D240:N240" si="173">C240</f>
        <v>1.375</v>
      </c>
      <c r="E240" s="43">
        <f t="shared" si="173"/>
        <v>1.375</v>
      </c>
      <c r="F240" s="44">
        <f t="shared" si="173"/>
        <v>1.375</v>
      </c>
      <c r="G240" s="43">
        <f t="shared" si="173"/>
        <v>1.375</v>
      </c>
      <c r="H240" s="44">
        <f t="shared" si="173"/>
        <v>1.375</v>
      </c>
      <c r="I240" s="43">
        <f t="shared" si="173"/>
        <v>1.375</v>
      </c>
      <c r="J240" s="44">
        <f t="shared" si="173"/>
        <v>1.375</v>
      </c>
      <c r="K240" s="43">
        <f t="shared" si="173"/>
        <v>1.375</v>
      </c>
      <c r="L240" s="44">
        <f t="shared" si="173"/>
        <v>1.375</v>
      </c>
      <c r="M240" s="43">
        <f t="shared" si="173"/>
        <v>1.375</v>
      </c>
      <c r="N240" s="44">
        <f t="shared" si="173"/>
        <v>1.375</v>
      </c>
      <c r="O240" s="45">
        <f>IF(O239=0,0,+O241/O239)</f>
        <v>1.375</v>
      </c>
      <c r="P240" s="80"/>
      <c r="Q240" s="46"/>
      <c r="R240" s="47"/>
      <c r="S240" s="41"/>
    </row>
    <row r="241" spans="1:19">
      <c r="A241" s="42"/>
      <c r="B241" s="35" t="s">
        <v>15</v>
      </c>
      <c r="C241" s="48">
        <f t="shared" ref="C241:N241" si="174">C239*C240</f>
        <v>309.86612807461785</v>
      </c>
      <c r="D241" s="49">
        <f t="shared" si="174"/>
        <v>0</v>
      </c>
      <c r="E241" s="48">
        <f t="shared" si="174"/>
        <v>0</v>
      </c>
      <c r="F241" s="49">
        <f t="shared" si="174"/>
        <v>321.8277126693755</v>
      </c>
      <c r="G241" s="48">
        <f t="shared" si="174"/>
        <v>109.07444435515042</v>
      </c>
      <c r="H241" s="49">
        <f t="shared" si="174"/>
        <v>292.42197330166391</v>
      </c>
      <c r="I241" s="48">
        <f t="shared" si="174"/>
        <v>183.81308499105643</v>
      </c>
      <c r="J241" s="49">
        <f t="shared" si="174"/>
        <v>151.71144083755851</v>
      </c>
      <c r="K241" s="48">
        <f t="shared" si="174"/>
        <v>0</v>
      </c>
      <c r="L241" s="49">
        <f t="shared" si="174"/>
        <v>0</v>
      </c>
      <c r="M241" s="48">
        <f t="shared" si="174"/>
        <v>0</v>
      </c>
      <c r="N241" s="49">
        <f t="shared" si="174"/>
        <v>0</v>
      </c>
      <c r="O241" s="50">
        <f>SUM(C241:N241)</f>
        <v>1368.7147842294225</v>
      </c>
      <c r="P241" s="40"/>
      <c r="Q241" s="40"/>
      <c r="R241" s="40"/>
      <c r="S241" s="41"/>
    </row>
    <row r="242" spans="1:19" ht="16.5" thickBot="1">
      <c r="A242" s="51"/>
      <c r="B242" s="52" t="s">
        <v>59</v>
      </c>
      <c r="C242" s="53">
        <f t="shared" ref="C242:O242" si="175">C241/C$197</f>
        <v>12.37255977471494</v>
      </c>
      <c r="D242" s="54">
        <f t="shared" si="175"/>
        <v>0</v>
      </c>
      <c r="E242" s="53">
        <f t="shared" si="175"/>
        <v>0</v>
      </c>
      <c r="F242" s="54">
        <f t="shared" si="175"/>
        <v>13.278509630809149</v>
      </c>
      <c r="G242" s="53">
        <f t="shared" si="175"/>
        <v>4.3552036199095028</v>
      </c>
      <c r="H242" s="54">
        <f t="shared" si="175"/>
        <v>12.065238125516627</v>
      </c>
      <c r="I242" s="53">
        <f t="shared" si="175"/>
        <v>7.3394223355672858</v>
      </c>
      <c r="J242" s="54">
        <f t="shared" si="175"/>
        <v>6.0576445768180687</v>
      </c>
      <c r="K242" s="53" t="e">
        <f t="shared" si="175"/>
        <v>#DIV/0!</v>
      </c>
      <c r="L242" s="54" t="e">
        <f t="shared" si="175"/>
        <v>#DIV/0!</v>
      </c>
      <c r="M242" s="53" t="e">
        <f t="shared" si="175"/>
        <v>#DIV/0!</v>
      </c>
      <c r="N242" s="54" t="e">
        <f t="shared" si="175"/>
        <v>#DIV/0!</v>
      </c>
      <c r="O242" s="55">
        <f t="shared" si="175"/>
        <v>6.9719430955023745</v>
      </c>
      <c r="P242" s="80"/>
      <c r="Q242" s="56"/>
      <c r="R242" s="57"/>
      <c r="S242" s="41"/>
    </row>
    <row r="243" spans="1:19">
      <c r="A243" s="28" t="s">
        <v>69</v>
      </c>
      <c r="B243" s="29" t="s">
        <v>55</v>
      </c>
      <c r="C243" s="30">
        <f>'2012 Actual Costs'!C243</f>
        <v>0</v>
      </c>
      <c r="D243" s="31">
        <f>'2012 Actual Costs'!D243</f>
        <v>0</v>
      </c>
      <c r="E243" s="30">
        <f>'2012 Actual Costs'!E243</f>
        <v>0</v>
      </c>
      <c r="F243" s="31">
        <f>'2012 Actual Costs'!F243</f>
        <v>0</v>
      </c>
      <c r="G243" s="30">
        <f>'2011 Actual Costs'!G243</f>
        <v>0</v>
      </c>
      <c r="H243" s="31">
        <f>'2011 Actual Costs'!H243</f>
        <v>0</v>
      </c>
      <c r="I243" s="30">
        <f>'2011 Actual Costs'!I243</f>
        <v>0</v>
      </c>
      <c r="J243" s="31">
        <f>'2011 Actual Costs'!J243</f>
        <v>0</v>
      </c>
      <c r="K243" s="30">
        <f>'2011 Actual Costs'!K243</f>
        <v>0</v>
      </c>
      <c r="L243" s="31">
        <f>'2011 Actual Costs'!L243</f>
        <v>0</v>
      </c>
      <c r="M243" s="30">
        <f>'2011 Actual Costs'!M243</f>
        <v>0</v>
      </c>
      <c r="N243" s="31">
        <f>'2011 Actual Costs'!N243</f>
        <v>0</v>
      </c>
      <c r="O243" s="32">
        <f>O244/O$197</f>
        <v>0</v>
      </c>
    </row>
    <row r="244" spans="1:19">
      <c r="A244" s="34" t="s">
        <v>64</v>
      </c>
      <c r="B244" s="35" t="s">
        <v>57</v>
      </c>
      <c r="C244" s="65">
        <f t="shared" ref="C244:N244" si="176">C$197*C243</f>
        <v>0</v>
      </c>
      <c r="D244" s="66">
        <f t="shared" si="176"/>
        <v>0</v>
      </c>
      <c r="E244" s="65">
        <f t="shared" si="176"/>
        <v>0</v>
      </c>
      <c r="F244" s="66">
        <f t="shared" si="176"/>
        <v>0</v>
      </c>
      <c r="G244" s="65">
        <f t="shared" si="176"/>
        <v>0</v>
      </c>
      <c r="H244" s="66">
        <f t="shared" si="176"/>
        <v>0</v>
      </c>
      <c r="I244" s="65">
        <f t="shared" si="176"/>
        <v>0</v>
      </c>
      <c r="J244" s="66">
        <f t="shared" si="176"/>
        <v>0</v>
      </c>
      <c r="K244" s="65">
        <f t="shared" si="176"/>
        <v>0</v>
      </c>
      <c r="L244" s="66">
        <f t="shared" si="176"/>
        <v>0</v>
      </c>
      <c r="M244" s="65">
        <f t="shared" si="176"/>
        <v>0</v>
      </c>
      <c r="N244" s="66">
        <f t="shared" si="176"/>
        <v>0</v>
      </c>
      <c r="O244" s="67">
        <f>SUM(C244:N244)</f>
        <v>0</v>
      </c>
      <c r="P244" s="39"/>
      <c r="Q244" s="39"/>
      <c r="R244" s="39"/>
      <c r="S244" s="41"/>
    </row>
    <row r="245" spans="1:19" ht="15.75">
      <c r="A245" s="42"/>
      <c r="B245" s="35" t="s">
        <v>58</v>
      </c>
      <c r="C245" s="43">
        <f>'Price Changes'!D48</f>
        <v>0</v>
      </c>
      <c r="D245" s="44">
        <f t="shared" ref="D245:N245" si="177">C245</f>
        <v>0</v>
      </c>
      <c r="E245" s="43">
        <f t="shared" si="177"/>
        <v>0</v>
      </c>
      <c r="F245" s="44">
        <f t="shared" si="177"/>
        <v>0</v>
      </c>
      <c r="G245" s="43">
        <f t="shared" si="177"/>
        <v>0</v>
      </c>
      <c r="H245" s="44">
        <f t="shared" si="177"/>
        <v>0</v>
      </c>
      <c r="I245" s="43">
        <f t="shared" si="177"/>
        <v>0</v>
      </c>
      <c r="J245" s="44">
        <f t="shared" si="177"/>
        <v>0</v>
      </c>
      <c r="K245" s="43">
        <f t="shared" si="177"/>
        <v>0</v>
      </c>
      <c r="L245" s="44">
        <f t="shared" si="177"/>
        <v>0</v>
      </c>
      <c r="M245" s="43">
        <f t="shared" si="177"/>
        <v>0</v>
      </c>
      <c r="N245" s="44">
        <f t="shared" si="177"/>
        <v>0</v>
      </c>
      <c r="O245" s="45">
        <f>IF(O244=0,0,+O246/O244)</f>
        <v>0</v>
      </c>
      <c r="P245" s="46"/>
      <c r="Q245" s="47"/>
      <c r="R245" s="47"/>
      <c r="S245" s="41"/>
    </row>
    <row r="246" spans="1:19">
      <c r="A246" s="42"/>
      <c r="B246" s="35" t="s">
        <v>15</v>
      </c>
      <c r="C246" s="48">
        <f t="shared" ref="C246:N246" si="178">C244*C245</f>
        <v>0</v>
      </c>
      <c r="D246" s="49">
        <f t="shared" si="178"/>
        <v>0</v>
      </c>
      <c r="E246" s="48">
        <f t="shared" si="178"/>
        <v>0</v>
      </c>
      <c r="F246" s="49">
        <f t="shared" si="178"/>
        <v>0</v>
      </c>
      <c r="G246" s="48">
        <f t="shared" si="178"/>
        <v>0</v>
      </c>
      <c r="H246" s="49">
        <f t="shared" si="178"/>
        <v>0</v>
      </c>
      <c r="I246" s="48">
        <f t="shared" si="178"/>
        <v>0</v>
      </c>
      <c r="J246" s="49">
        <f t="shared" si="178"/>
        <v>0</v>
      </c>
      <c r="K246" s="48">
        <f t="shared" si="178"/>
        <v>0</v>
      </c>
      <c r="L246" s="49">
        <f t="shared" si="178"/>
        <v>0</v>
      </c>
      <c r="M246" s="48">
        <f t="shared" si="178"/>
        <v>0</v>
      </c>
      <c r="N246" s="49">
        <f t="shared" si="178"/>
        <v>0</v>
      </c>
      <c r="O246" s="50">
        <f>SUM(C246:N246)</f>
        <v>0</v>
      </c>
      <c r="P246" s="40"/>
      <c r="Q246" s="40"/>
      <c r="R246" s="40"/>
      <c r="S246" s="41"/>
    </row>
    <row r="247" spans="1:19" ht="16.5" thickBot="1">
      <c r="A247" s="51"/>
      <c r="B247" s="52" t="s">
        <v>59</v>
      </c>
      <c r="C247" s="53">
        <f t="shared" ref="C247:O247" si="179">C246/C$197</f>
        <v>0</v>
      </c>
      <c r="D247" s="54">
        <f t="shared" si="179"/>
        <v>0</v>
      </c>
      <c r="E247" s="53">
        <f t="shared" si="179"/>
        <v>0</v>
      </c>
      <c r="F247" s="54">
        <f t="shared" si="179"/>
        <v>0</v>
      </c>
      <c r="G247" s="53">
        <f t="shared" si="179"/>
        <v>0</v>
      </c>
      <c r="H247" s="54">
        <f t="shared" si="179"/>
        <v>0</v>
      </c>
      <c r="I247" s="53">
        <f t="shared" si="179"/>
        <v>0</v>
      </c>
      <c r="J247" s="54">
        <f t="shared" si="179"/>
        <v>0</v>
      </c>
      <c r="K247" s="53" t="e">
        <f t="shared" si="179"/>
        <v>#DIV/0!</v>
      </c>
      <c r="L247" s="54" t="e">
        <f t="shared" si="179"/>
        <v>#DIV/0!</v>
      </c>
      <c r="M247" s="53" t="e">
        <f t="shared" si="179"/>
        <v>#DIV/0!</v>
      </c>
      <c r="N247" s="54" t="e">
        <f t="shared" si="179"/>
        <v>#DIV/0!</v>
      </c>
      <c r="O247" s="55">
        <f t="shared" si="179"/>
        <v>0</v>
      </c>
      <c r="P247" s="56"/>
      <c r="Q247" s="57"/>
      <c r="R247" s="57"/>
      <c r="S247" s="41"/>
    </row>
    <row r="248" spans="1:19">
      <c r="A248" s="28" t="s">
        <v>70</v>
      </c>
      <c r="B248" s="29" t="s">
        <v>55</v>
      </c>
      <c r="C248" s="30">
        <f>'2012 Actual Costs'!C248</f>
        <v>0</v>
      </c>
      <c r="D248" s="31">
        <f>'2012 Actual Costs'!D248</f>
        <v>0</v>
      </c>
      <c r="E248" s="30">
        <f>'2012 Actual Costs'!E248</f>
        <v>0</v>
      </c>
      <c r="F248" s="31">
        <f>'2012 Actual Costs'!F248</f>
        <v>0</v>
      </c>
      <c r="G248" s="30">
        <f>'2011 Actual Costs'!G248</f>
        <v>0</v>
      </c>
      <c r="H248" s="31">
        <f>'2011 Actual Costs'!H248</f>
        <v>15.260380237807592</v>
      </c>
      <c r="I248" s="30">
        <f>'2011 Actual Costs'!I248</f>
        <v>0.78201368523949166</v>
      </c>
      <c r="J248" s="31">
        <f>'2011 Actual Costs'!J248</f>
        <v>0</v>
      </c>
      <c r="K248" s="30">
        <f>'2011 Actual Costs'!K248</f>
        <v>0</v>
      </c>
      <c r="L248" s="31">
        <f>'2011 Actual Costs'!L248</f>
        <v>0</v>
      </c>
      <c r="M248" s="30">
        <f>'2011 Actual Costs'!M248</f>
        <v>0</v>
      </c>
      <c r="N248" s="31">
        <f>'2011 Actual Costs'!N248</f>
        <v>0.78201368523949166</v>
      </c>
      <c r="O248" s="32">
        <f>O249/O$197</f>
        <v>1.9837606229491855</v>
      </c>
      <c r="P248" s="9"/>
      <c r="Q248" s="9"/>
      <c r="R248" s="9"/>
      <c r="S248" s="70"/>
    </row>
    <row r="249" spans="1:19">
      <c r="A249" s="34" t="s">
        <v>71</v>
      </c>
      <c r="B249" s="35" t="s">
        <v>57</v>
      </c>
      <c r="C249" s="36">
        <f t="shared" ref="C249:N249" si="180">C248*C$197</f>
        <v>0</v>
      </c>
      <c r="D249" s="37">
        <f t="shared" si="180"/>
        <v>0</v>
      </c>
      <c r="E249" s="36">
        <f t="shared" si="180"/>
        <v>0</v>
      </c>
      <c r="F249" s="37">
        <f t="shared" si="180"/>
        <v>0</v>
      </c>
      <c r="G249" s="36">
        <f t="shared" si="180"/>
        <v>0</v>
      </c>
      <c r="H249" s="37">
        <f t="shared" si="180"/>
        <v>369.86178441317173</v>
      </c>
      <c r="I249" s="36">
        <f t="shared" si="180"/>
        <v>19.585240011669871</v>
      </c>
      <c r="J249" s="37">
        <f t="shared" si="180"/>
        <v>0</v>
      </c>
      <c r="K249" s="36">
        <f t="shared" si="180"/>
        <v>0</v>
      </c>
      <c r="L249" s="37">
        <f t="shared" si="180"/>
        <v>0</v>
      </c>
      <c r="M249" s="36">
        <f t="shared" si="180"/>
        <v>0</v>
      </c>
      <c r="N249" s="37">
        <f t="shared" si="180"/>
        <v>0</v>
      </c>
      <c r="O249" s="38">
        <f>SUM(C249:N249)</f>
        <v>389.44702442484163</v>
      </c>
      <c r="P249" s="15"/>
      <c r="Q249" s="15"/>
      <c r="R249" s="15"/>
      <c r="S249" s="71"/>
    </row>
    <row r="250" spans="1:19" ht="15.75">
      <c r="A250" s="34" t="s">
        <v>56</v>
      </c>
      <c r="B250" s="35" t="s">
        <v>58</v>
      </c>
      <c r="C250" s="43">
        <f>'Price Changes'!D49</f>
        <v>0</v>
      </c>
      <c r="D250" s="44">
        <f t="shared" ref="D250:N250" si="181">C250</f>
        <v>0</v>
      </c>
      <c r="E250" s="43">
        <f t="shared" si="181"/>
        <v>0</v>
      </c>
      <c r="F250" s="44">
        <f t="shared" si="181"/>
        <v>0</v>
      </c>
      <c r="G250" s="43">
        <f t="shared" si="181"/>
        <v>0</v>
      </c>
      <c r="H250" s="44">
        <f t="shared" si="181"/>
        <v>0</v>
      </c>
      <c r="I250" s="43">
        <f t="shared" si="181"/>
        <v>0</v>
      </c>
      <c r="J250" s="44">
        <f t="shared" si="181"/>
        <v>0</v>
      </c>
      <c r="K250" s="43">
        <f t="shared" si="181"/>
        <v>0</v>
      </c>
      <c r="L250" s="44">
        <f t="shared" si="181"/>
        <v>0</v>
      </c>
      <c r="M250" s="43">
        <f t="shared" si="181"/>
        <v>0</v>
      </c>
      <c r="N250" s="44">
        <f t="shared" si="181"/>
        <v>0</v>
      </c>
      <c r="O250" s="45">
        <f>IF(O249=0,0,+O251/O249)</f>
        <v>0</v>
      </c>
      <c r="P250" s="15"/>
      <c r="Q250" s="72"/>
      <c r="R250" s="15"/>
      <c r="S250" s="15"/>
    </row>
    <row r="251" spans="1:19">
      <c r="A251" s="42"/>
      <c r="B251" s="35" t="s">
        <v>15</v>
      </c>
      <c r="C251" s="48">
        <f t="shared" ref="C251:N251" si="182">C249*C250</f>
        <v>0</v>
      </c>
      <c r="D251" s="49">
        <f t="shared" si="182"/>
        <v>0</v>
      </c>
      <c r="E251" s="48">
        <f t="shared" si="182"/>
        <v>0</v>
      </c>
      <c r="F251" s="49">
        <f t="shared" si="182"/>
        <v>0</v>
      </c>
      <c r="G251" s="48">
        <f t="shared" si="182"/>
        <v>0</v>
      </c>
      <c r="H251" s="49">
        <f t="shared" si="182"/>
        <v>0</v>
      </c>
      <c r="I251" s="48">
        <f t="shared" si="182"/>
        <v>0</v>
      </c>
      <c r="J251" s="49">
        <f t="shared" si="182"/>
        <v>0</v>
      </c>
      <c r="K251" s="48">
        <f t="shared" si="182"/>
        <v>0</v>
      </c>
      <c r="L251" s="49">
        <f t="shared" si="182"/>
        <v>0</v>
      </c>
      <c r="M251" s="48">
        <f t="shared" si="182"/>
        <v>0</v>
      </c>
      <c r="N251" s="49">
        <f t="shared" si="182"/>
        <v>0</v>
      </c>
      <c r="O251" s="50">
        <f>SUM(C251:N251)</f>
        <v>0</v>
      </c>
      <c r="P251" s="15"/>
      <c r="Q251" s="15"/>
      <c r="R251" s="15"/>
      <c r="S251" s="15"/>
    </row>
    <row r="252" spans="1:19" ht="13.5" thickBot="1">
      <c r="A252" s="51"/>
      <c r="B252" s="52" t="s">
        <v>59</v>
      </c>
      <c r="C252" s="53">
        <f t="shared" ref="C252:O252" si="183">C251/C$197</f>
        <v>0</v>
      </c>
      <c r="D252" s="54">
        <f t="shared" si="183"/>
        <v>0</v>
      </c>
      <c r="E252" s="53">
        <f t="shared" si="183"/>
        <v>0</v>
      </c>
      <c r="F252" s="54">
        <f t="shared" si="183"/>
        <v>0</v>
      </c>
      <c r="G252" s="53">
        <f t="shared" si="183"/>
        <v>0</v>
      </c>
      <c r="H252" s="54">
        <f t="shared" si="183"/>
        <v>0</v>
      </c>
      <c r="I252" s="53">
        <f t="shared" si="183"/>
        <v>0</v>
      </c>
      <c r="J252" s="54">
        <f t="shared" si="183"/>
        <v>0</v>
      </c>
      <c r="K252" s="53" t="e">
        <f t="shared" si="183"/>
        <v>#DIV/0!</v>
      </c>
      <c r="L252" s="54" t="e">
        <f t="shared" si="183"/>
        <v>#DIV/0!</v>
      </c>
      <c r="M252" s="53" t="e">
        <f t="shared" si="183"/>
        <v>#DIV/0!</v>
      </c>
      <c r="N252" s="54" t="e">
        <f t="shared" si="183"/>
        <v>#DIV/0!</v>
      </c>
      <c r="O252" s="55">
        <f t="shared" si="183"/>
        <v>0</v>
      </c>
      <c r="P252" s="8"/>
      <c r="S252" s="41"/>
    </row>
    <row r="253" spans="1:19">
      <c r="A253" s="28" t="s">
        <v>72</v>
      </c>
      <c r="B253" s="29" t="s">
        <v>55</v>
      </c>
      <c r="C253" s="30">
        <f>'2012 Actual Costs'!C253</f>
        <v>0</v>
      </c>
      <c r="D253" s="31">
        <f>'2012 Actual Costs'!D253</f>
        <v>0</v>
      </c>
      <c r="E253" s="30">
        <f>'2012 Actual Costs'!E253</f>
        <v>0</v>
      </c>
      <c r="F253" s="31">
        <f>'2012 Actual Costs'!F253</f>
        <v>0</v>
      </c>
      <c r="G253" s="30">
        <f>'2011 Actual Costs'!G253</f>
        <v>0</v>
      </c>
      <c r="H253" s="31">
        <f>'2011 Actual Costs'!H253</f>
        <v>0</v>
      </c>
      <c r="I253" s="30">
        <f>'2011 Actual Costs'!I253</f>
        <v>0</v>
      </c>
      <c r="J253" s="31">
        <f>'2011 Actual Costs'!J253</f>
        <v>0</v>
      </c>
      <c r="K253" s="30">
        <f>'2011 Actual Costs'!K253</f>
        <v>0</v>
      </c>
      <c r="L253" s="31">
        <f>'2011 Actual Costs'!L253</f>
        <v>0</v>
      </c>
      <c r="M253" s="30">
        <f>'2011 Actual Costs'!M253</f>
        <v>0</v>
      </c>
      <c r="N253" s="31">
        <f>'2011 Actual Costs'!N253</f>
        <v>0</v>
      </c>
      <c r="O253" s="32">
        <f>O254/O$197</f>
        <v>0</v>
      </c>
    </row>
    <row r="254" spans="1:19">
      <c r="A254" s="34" t="s">
        <v>56</v>
      </c>
      <c r="B254" s="35" t="s">
        <v>57</v>
      </c>
      <c r="C254" s="65">
        <f t="shared" ref="C254:N254" si="184">C$197*C253</f>
        <v>0</v>
      </c>
      <c r="D254" s="66">
        <f t="shared" si="184"/>
        <v>0</v>
      </c>
      <c r="E254" s="65">
        <f t="shared" si="184"/>
        <v>0</v>
      </c>
      <c r="F254" s="66">
        <f t="shared" si="184"/>
        <v>0</v>
      </c>
      <c r="G254" s="65">
        <f t="shared" si="184"/>
        <v>0</v>
      </c>
      <c r="H254" s="66">
        <f t="shared" si="184"/>
        <v>0</v>
      </c>
      <c r="I254" s="65">
        <f t="shared" si="184"/>
        <v>0</v>
      </c>
      <c r="J254" s="66">
        <f t="shared" si="184"/>
        <v>0</v>
      </c>
      <c r="K254" s="65">
        <f t="shared" si="184"/>
        <v>0</v>
      </c>
      <c r="L254" s="66">
        <f t="shared" si="184"/>
        <v>0</v>
      </c>
      <c r="M254" s="65">
        <f t="shared" si="184"/>
        <v>0</v>
      </c>
      <c r="N254" s="66">
        <f t="shared" si="184"/>
        <v>0</v>
      </c>
      <c r="O254" s="67">
        <f>SUM(C254:N254)</f>
        <v>0</v>
      </c>
      <c r="P254" s="57"/>
      <c r="Q254" s="57"/>
      <c r="R254" s="60"/>
      <c r="S254" s="41"/>
    </row>
    <row r="255" spans="1:19" ht="15.75">
      <c r="A255" s="42"/>
      <c r="B255" s="35" t="s">
        <v>58</v>
      </c>
      <c r="C255" s="43">
        <f>'Price Changes'!D50</f>
        <v>0</v>
      </c>
      <c r="D255" s="44">
        <f t="shared" ref="D255:N255" si="185">C255</f>
        <v>0</v>
      </c>
      <c r="E255" s="43">
        <f t="shared" si="185"/>
        <v>0</v>
      </c>
      <c r="F255" s="44">
        <f t="shared" si="185"/>
        <v>0</v>
      </c>
      <c r="G255" s="43">
        <f t="shared" si="185"/>
        <v>0</v>
      </c>
      <c r="H255" s="44">
        <f t="shared" si="185"/>
        <v>0</v>
      </c>
      <c r="I255" s="43">
        <f t="shared" si="185"/>
        <v>0</v>
      </c>
      <c r="J255" s="44">
        <f t="shared" si="185"/>
        <v>0</v>
      </c>
      <c r="K255" s="43">
        <f t="shared" si="185"/>
        <v>0</v>
      </c>
      <c r="L255" s="44">
        <f t="shared" si="185"/>
        <v>0</v>
      </c>
      <c r="M255" s="43">
        <f t="shared" si="185"/>
        <v>0</v>
      </c>
      <c r="N255" s="44">
        <f t="shared" si="185"/>
        <v>0</v>
      </c>
      <c r="O255" s="45">
        <f>IF(O254=0,0,+O256/O254)</f>
        <v>0</v>
      </c>
      <c r="P255" s="46"/>
      <c r="Q255" s="47"/>
      <c r="R255" s="47"/>
      <c r="S255" s="41"/>
    </row>
    <row r="256" spans="1:19">
      <c r="A256" s="42"/>
      <c r="B256" s="35" t="s">
        <v>15</v>
      </c>
      <c r="C256" s="48">
        <f>C254*C255</f>
        <v>0</v>
      </c>
      <c r="D256" s="49">
        <f t="shared" ref="D256:N256" si="186">D254*D255</f>
        <v>0</v>
      </c>
      <c r="E256" s="48">
        <f t="shared" si="186"/>
        <v>0</v>
      </c>
      <c r="F256" s="49">
        <f t="shared" si="186"/>
        <v>0</v>
      </c>
      <c r="G256" s="48">
        <f t="shared" si="186"/>
        <v>0</v>
      </c>
      <c r="H256" s="49">
        <f t="shared" si="186"/>
        <v>0</v>
      </c>
      <c r="I256" s="48">
        <f t="shared" si="186"/>
        <v>0</v>
      </c>
      <c r="J256" s="49">
        <f t="shared" si="186"/>
        <v>0</v>
      </c>
      <c r="K256" s="48">
        <f t="shared" si="186"/>
        <v>0</v>
      </c>
      <c r="L256" s="49">
        <f t="shared" si="186"/>
        <v>0</v>
      </c>
      <c r="M256" s="48">
        <f t="shared" si="186"/>
        <v>0</v>
      </c>
      <c r="N256" s="49">
        <f t="shared" si="186"/>
        <v>0</v>
      </c>
      <c r="O256" s="50">
        <f>SUM(C256:N256)</f>
        <v>0</v>
      </c>
      <c r="P256" s="40"/>
      <c r="Q256" s="40"/>
      <c r="R256" s="40"/>
      <c r="S256" s="41"/>
    </row>
    <row r="257" spans="1:20" ht="16.5" thickBot="1">
      <c r="A257" s="51"/>
      <c r="B257" s="52" t="s">
        <v>59</v>
      </c>
      <c r="C257" s="53">
        <f t="shared" ref="C257:O257" si="187">C256/C$197</f>
        <v>0</v>
      </c>
      <c r="D257" s="54">
        <f t="shared" si="187"/>
        <v>0</v>
      </c>
      <c r="E257" s="53">
        <f t="shared" si="187"/>
        <v>0</v>
      </c>
      <c r="F257" s="54">
        <f t="shared" si="187"/>
        <v>0</v>
      </c>
      <c r="G257" s="53">
        <f t="shared" si="187"/>
        <v>0</v>
      </c>
      <c r="H257" s="54">
        <f t="shared" si="187"/>
        <v>0</v>
      </c>
      <c r="I257" s="53">
        <f t="shared" si="187"/>
        <v>0</v>
      </c>
      <c r="J257" s="54">
        <f t="shared" si="187"/>
        <v>0</v>
      </c>
      <c r="K257" s="53" t="e">
        <f t="shared" si="187"/>
        <v>#DIV/0!</v>
      </c>
      <c r="L257" s="54" t="e">
        <f t="shared" si="187"/>
        <v>#DIV/0!</v>
      </c>
      <c r="M257" s="53" t="e">
        <f t="shared" si="187"/>
        <v>#DIV/0!</v>
      </c>
      <c r="N257" s="54" t="e">
        <f t="shared" si="187"/>
        <v>#DIV/0!</v>
      </c>
      <c r="O257" s="55">
        <f t="shared" si="187"/>
        <v>0</v>
      </c>
      <c r="P257" s="56"/>
      <c r="Q257" s="57"/>
      <c r="R257" s="57"/>
      <c r="S257" s="41"/>
    </row>
    <row r="258" spans="1:20">
      <c r="A258" s="181" t="s">
        <v>73</v>
      </c>
      <c r="B258" s="29" t="s">
        <v>55</v>
      </c>
      <c r="C258" s="30">
        <f>'2012 Actual Costs'!C258</f>
        <v>576.99213272961845</v>
      </c>
      <c r="D258" s="31">
        <f>'2012 Actual Costs'!D258</f>
        <v>642.13756646507443</v>
      </c>
      <c r="E258" s="30">
        <f>'2012 Actual Costs'!E258</f>
        <v>669.31766800988692</v>
      </c>
      <c r="F258" s="31">
        <f>'2012 Actual Costs'!F258</f>
        <v>303.36163578362527</v>
      </c>
      <c r="G258" s="30">
        <f>'2011 Actual Costs'!G258</f>
        <v>57.466063348416284</v>
      </c>
      <c r="H258" s="31">
        <f>'2011 Actual Costs'!H258</f>
        <v>11.445285178355693</v>
      </c>
      <c r="I258" s="30">
        <f>'2011 Actual Costs'!I258</f>
        <v>0</v>
      </c>
      <c r="J258" s="31">
        <f>'2011 Actual Costs'!J258</f>
        <v>0</v>
      </c>
      <c r="K258" s="30">
        <f>'2011 Actual Costs'!K258</f>
        <v>0</v>
      </c>
      <c r="L258" s="31">
        <f>'2011 Actual Costs'!L258</f>
        <v>0</v>
      </c>
      <c r="M258" s="30">
        <f>'2011 Actual Costs'!M258</f>
        <v>325.3826984692061</v>
      </c>
      <c r="N258" s="31">
        <f>'2011 Actual Costs'!N258</f>
        <v>644.61664237727939</v>
      </c>
      <c r="O258" s="32">
        <f>O259/O$197</f>
        <v>279.18152788727201</v>
      </c>
    </row>
    <row r="259" spans="1:20">
      <c r="A259" s="103" t="s">
        <v>64</v>
      </c>
      <c r="B259" s="35" t="s">
        <v>57</v>
      </c>
      <c r="C259" s="36">
        <f t="shared" ref="C259:N259" si="188">C258*C$197</f>
        <v>14450.551975818773</v>
      </c>
      <c r="D259" s="37">
        <f t="shared" si="188"/>
        <v>14525.763205485953</v>
      </c>
      <c r="E259" s="36">
        <f t="shared" si="188"/>
        <v>16762.810446226722</v>
      </c>
      <c r="F259" s="37">
        <f t="shared" si="188"/>
        <v>7352.4954283544121</v>
      </c>
      <c r="G259" s="36">
        <f t="shared" si="188"/>
        <v>1439.2160449978287</v>
      </c>
      <c r="H259" s="37">
        <f t="shared" si="188"/>
        <v>277.39633830987879</v>
      </c>
      <c r="I259" s="36">
        <f t="shared" si="188"/>
        <v>0</v>
      </c>
      <c r="J259" s="37">
        <f t="shared" si="188"/>
        <v>0</v>
      </c>
      <c r="K259" s="36">
        <f t="shared" si="188"/>
        <v>0</v>
      </c>
      <c r="L259" s="37">
        <f t="shared" si="188"/>
        <v>0</v>
      </c>
      <c r="M259" s="36">
        <f t="shared" si="188"/>
        <v>0</v>
      </c>
      <c r="N259" s="37">
        <f t="shared" si="188"/>
        <v>0</v>
      </c>
      <c r="O259" s="38">
        <f>SUM(C259:N259)</f>
        <v>54808.233439193573</v>
      </c>
      <c r="P259" s="57"/>
      <c r="Q259" s="57"/>
      <c r="R259" s="60"/>
      <c r="S259" s="41"/>
      <c r="T259" s="8"/>
    </row>
    <row r="260" spans="1:20" ht="15.75">
      <c r="A260" s="42"/>
      <c r="B260" s="35" t="s">
        <v>58</v>
      </c>
      <c r="C260" s="43">
        <f>'Price Changes'!D51</f>
        <v>0.21000000000000002</v>
      </c>
      <c r="D260" s="44">
        <f t="shared" ref="D260:N260" si="189">C260</f>
        <v>0.21000000000000002</v>
      </c>
      <c r="E260" s="43">
        <f t="shared" si="189"/>
        <v>0.21000000000000002</v>
      </c>
      <c r="F260" s="44">
        <f t="shared" si="189"/>
        <v>0.21000000000000002</v>
      </c>
      <c r="G260" s="43">
        <f t="shared" si="189"/>
        <v>0.21000000000000002</v>
      </c>
      <c r="H260" s="44">
        <f t="shared" si="189"/>
        <v>0.21000000000000002</v>
      </c>
      <c r="I260" s="43">
        <f t="shared" si="189"/>
        <v>0.21000000000000002</v>
      </c>
      <c r="J260" s="44">
        <f t="shared" si="189"/>
        <v>0.21000000000000002</v>
      </c>
      <c r="K260" s="43">
        <f t="shared" si="189"/>
        <v>0.21000000000000002</v>
      </c>
      <c r="L260" s="44">
        <f t="shared" si="189"/>
        <v>0.21000000000000002</v>
      </c>
      <c r="M260" s="43">
        <f t="shared" si="189"/>
        <v>0.21000000000000002</v>
      </c>
      <c r="N260" s="44">
        <f t="shared" si="189"/>
        <v>0.21000000000000002</v>
      </c>
      <c r="O260" s="45">
        <f>IF(O259=0,0,+O261/O259)</f>
        <v>0.21</v>
      </c>
      <c r="P260" s="46"/>
      <c r="Q260" s="46"/>
      <c r="R260" s="47"/>
      <c r="S260" s="41"/>
      <c r="T260" s="8"/>
    </row>
    <row r="261" spans="1:20">
      <c r="A261" s="42"/>
      <c r="B261" s="35" t="s">
        <v>15</v>
      </c>
      <c r="C261" s="48">
        <f t="shared" ref="C261:N261" si="190">C259*C260</f>
        <v>3034.6159149219425</v>
      </c>
      <c r="D261" s="49">
        <f t="shared" si="190"/>
        <v>3050.4102731520506</v>
      </c>
      <c r="E261" s="48">
        <f t="shared" si="190"/>
        <v>3520.1901937076118</v>
      </c>
      <c r="F261" s="49">
        <f t="shared" si="190"/>
        <v>1544.0240399544266</v>
      </c>
      <c r="G261" s="48">
        <f t="shared" si="190"/>
        <v>302.23536944954407</v>
      </c>
      <c r="H261" s="49">
        <f t="shared" si="190"/>
        <v>58.25323104507455</v>
      </c>
      <c r="I261" s="48">
        <f t="shared" si="190"/>
        <v>0</v>
      </c>
      <c r="J261" s="49">
        <f t="shared" si="190"/>
        <v>0</v>
      </c>
      <c r="K261" s="48">
        <f t="shared" si="190"/>
        <v>0</v>
      </c>
      <c r="L261" s="49">
        <f t="shared" si="190"/>
        <v>0</v>
      </c>
      <c r="M261" s="48">
        <f t="shared" si="190"/>
        <v>0</v>
      </c>
      <c r="N261" s="49">
        <f t="shared" si="190"/>
        <v>0</v>
      </c>
      <c r="O261" s="50">
        <f>SUM(C261:N261)</f>
        <v>11509.729022230649</v>
      </c>
      <c r="P261" s="40"/>
      <c r="Q261" s="40"/>
      <c r="R261" s="40"/>
      <c r="S261" s="41"/>
      <c r="T261" s="8"/>
    </row>
    <row r="262" spans="1:20" ht="16.5" thickBot="1">
      <c r="A262" s="51"/>
      <c r="B262" s="52" t="s">
        <v>59</v>
      </c>
      <c r="C262" s="53">
        <f t="shared" ref="C262:O262" si="191">C261/C$197</f>
        <v>121.16834787321989</v>
      </c>
      <c r="D262" s="54">
        <f t="shared" si="191"/>
        <v>134.84888895766565</v>
      </c>
      <c r="E262" s="53">
        <f t="shared" si="191"/>
        <v>140.55671028207624</v>
      </c>
      <c r="F262" s="54">
        <f t="shared" si="191"/>
        <v>63.705943514561312</v>
      </c>
      <c r="G262" s="53">
        <f t="shared" si="191"/>
        <v>12.067873303167422</v>
      </c>
      <c r="H262" s="54">
        <f t="shared" si="191"/>
        <v>2.4035098874546961</v>
      </c>
      <c r="I262" s="53">
        <f t="shared" si="191"/>
        <v>0</v>
      </c>
      <c r="J262" s="54">
        <f t="shared" si="191"/>
        <v>0</v>
      </c>
      <c r="K262" s="53" t="e">
        <f t="shared" si="191"/>
        <v>#DIV/0!</v>
      </c>
      <c r="L262" s="54" t="e">
        <f t="shared" si="191"/>
        <v>#DIV/0!</v>
      </c>
      <c r="M262" s="53" t="e">
        <f t="shared" si="191"/>
        <v>#DIV/0!</v>
      </c>
      <c r="N262" s="54" t="e">
        <f t="shared" si="191"/>
        <v>#DIV/0!</v>
      </c>
      <c r="O262" s="55">
        <f t="shared" si="191"/>
        <v>58.628120856327115</v>
      </c>
      <c r="P262" s="56"/>
      <c r="Q262" s="56"/>
      <c r="R262" s="57"/>
      <c r="S262" s="41"/>
      <c r="T262" s="8"/>
    </row>
    <row r="263" spans="1:20">
      <c r="A263" s="28" t="s">
        <v>74</v>
      </c>
      <c r="B263" s="29" t="s">
        <v>55</v>
      </c>
      <c r="C263" s="30">
        <f>'2012 Actual Costs'!C263</f>
        <v>0</v>
      </c>
      <c r="D263" s="31">
        <f>'2012 Actual Costs'!D263</f>
        <v>0</v>
      </c>
      <c r="E263" s="30">
        <f>'2012 Actual Costs'!E263</f>
        <v>0</v>
      </c>
      <c r="F263" s="31">
        <f>'2012 Actual Costs'!F263</f>
        <v>198.29241048674996</v>
      </c>
      <c r="G263" s="30">
        <f>'2011 Actual Costs'!G263</f>
        <v>306.14091790562378</v>
      </c>
      <c r="H263" s="31">
        <f>'2011 Actual Costs'!H263</f>
        <v>367.39365422521774</v>
      </c>
      <c r="I263" s="30">
        <f>'2011 Actual Costs'!I263</f>
        <v>305.14204376964591</v>
      </c>
      <c r="J263" s="31">
        <f>'2011 Actual Costs'!J263</f>
        <v>323.59146190121618</v>
      </c>
      <c r="K263" s="30">
        <f>'2011 Actual Costs'!K263</f>
        <v>384.08066347775213</v>
      </c>
      <c r="L263" s="31">
        <f>'2011 Actual Costs'!L263</f>
        <v>310.84842332754835</v>
      </c>
      <c r="M263" s="30">
        <f>'2011 Actual Costs'!M263</f>
        <v>128.08828764684941</v>
      </c>
      <c r="N263" s="31">
        <f>'2011 Actual Costs'!N263</f>
        <v>0</v>
      </c>
      <c r="O263" s="32">
        <f>O264/O$197</f>
        <v>189.10160112028845</v>
      </c>
    </row>
    <row r="264" spans="1:20">
      <c r="A264" s="103" t="s">
        <v>64</v>
      </c>
      <c r="B264" s="35" t="s">
        <v>57</v>
      </c>
      <c r="C264" s="36">
        <f t="shared" ref="C264:N264" si="192">C263*C$197</f>
        <v>0</v>
      </c>
      <c r="D264" s="37">
        <f t="shared" si="192"/>
        <v>0</v>
      </c>
      <c r="E264" s="36">
        <f t="shared" si="192"/>
        <v>0</v>
      </c>
      <c r="F264" s="37">
        <f t="shared" si="192"/>
        <v>4805.9605091960075</v>
      </c>
      <c r="G264" s="36">
        <f t="shared" si="192"/>
        <v>7667.1846896622237</v>
      </c>
      <c r="H264" s="37">
        <f t="shared" si="192"/>
        <v>8904.4224597471093</v>
      </c>
      <c r="I264" s="36">
        <f t="shared" si="192"/>
        <v>7642.1682608402843</v>
      </c>
      <c r="J264" s="37">
        <f t="shared" si="192"/>
        <v>8104.2270316811027</v>
      </c>
      <c r="K264" s="36">
        <f t="shared" si="192"/>
        <v>0</v>
      </c>
      <c r="L264" s="37">
        <f t="shared" si="192"/>
        <v>0</v>
      </c>
      <c r="M264" s="36">
        <f t="shared" si="192"/>
        <v>0</v>
      </c>
      <c r="N264" s="37">
        <f t="shared" si="192"/>
        <v>0</v>
      </c>
      <c r="O264" s="38">
        <f>SUM(C264:N264)</f>
        <v>37123.962951126727</v>
      </c>
      <c r="P264" s="57"/>
      <c r="Q264" s="57"/>
      <c r="R264" s="60"/>
      <c r="S264" s="41"/>
      <c r="T264" s="8"/>
    </row>
    <row r="265" spans="1:20" ht="15.75">
      <c r="A265" s="42"/>
      <c r="B265" s="35" t="s">
        <v>58</v>
      </c>
      <c r="C265" s="43">
        <f>'Price Changes'!D52</f>
        <v>0.23100000000000001</v>
      </c>
      <c r="D265" s="44">
        <f t="shared" ref="D265:N265" si="193">C265</f>
        <v>0.23100000000000001</v>
      </c>
      <c r="E265" s="43">
        <f t="shared" si="193"/>
        <v>0.23100000000000001</v>
      </c>
      <c r="F265" s="44">
        <f t="shared" si="193"/>
        <v>0.23100000000000001</v>
      </c>
      <c r="G265" s="43">
        <f t="shared" si="193"/>
        <v>0.23100000000000001</v>
      </c>
      <c r="H265" s="44">
        <f t="shared" si="193"/>
        <v>0.23100000000000001</v>
      </c>
      <c r="I265" s="43">
        <f t="shared" si="193"/>
        <v>0.23100000000000001</v>
      </c>
      <c r="J265" s="44">
        <f t="shared" si="193"/>
        <v>0.23100000000000001</v>
      </c>
      <c r="K265" s="43">
        <f t="shared" si="193"/>
        <v>0.23100000000000001</v>
      </c>
      <c r="L265" s="44">
        <f t="shared" si="193"/>
        <v>0.23100000000000001</v>
      </c>
      <c r="M265" s="43">
        <f t="shared" si="193"/>
        <v>0.23100000000000001</v>
      </c>
      <c r="N265" s="44">
        <f t="shared" si="193"/>
        <v>0.23100000000000001</v>
      </c>
      <c r="O265" s="45">
        <f>IF(O264=0,0,+O266/O264)</f>
        <v>0.23100000000000001</v>
      </c>
      <c r="P265" s="46"/>
      <c r="Q265" s="46"/>
      <c r="R265" s="47"/>
      <c r="S265" s="41"/>
      <c r="T265" s="8"/>
    </row>
    <row r="266" spans="1:20">
      <c r="A266" s="42"/>
      <c r="B266" s="35" t="s">
        <v>15</v>
      </c>
      <c r="C266" s="48">
        <f t="shared" ref="C266:N266" si="194">C264*C265</f>
        <v>0</v>
      </c>
      <c r="D266" s="49">
        <f t="shared" si="194"/>
        <v>0</v>
      </c>
      <c r="E266" s="48">
        <f t="shared" si="194"/>
        <v>0</v>
      </c>
      <c r="F266" s="49">
        <f t="shared" si="194"/>
        <v>1110.1768776242777</v>
      </c>
      <c r="G266" s="48">
        <f t="shared" si="194"/>
        <v>1771.1196633119737</v>
      </c>
      <c r="H266" s="49">
        <f t="shared" si="194"/>
        <v>2056.9215882015824</v>
      </c>
      <c r="I266" s="48">
        <f t="shared" si="194"/>
        <v>1765.3408682541058</v>
      </c>
      <c r="J266" s="49">
        <f t="shared" si="194"/>
        <v>1872.0764443183348</v>
      </c>
      <c r="K266" s="48">
        <f t="shared" si="194"/>
        <v>0</v>
      </c>
      <c r="L266" s="49">
        <f t="shared" si="194"/>
        <v>0</v>
      </c>
      <c r="M266" s="48">
        <f t="shared" si="194"/>
        <v>0</v>
      </c>
      <c r="N266" s="49">
        <f t="shared" si="194"/>
        <v>0</v>
      </c>
      <c r="O266" s="50">
        <f>SUM(C266:N266)</f>
        <v>8575.6354417102739</v>
      </c>
      <c r="P266" s="40"/>
      <c r="Q266" s="40"/>
      <c r="R266" s="40"/>
      <c r="S266" s="41"/>
      <c r="T266" s="8"/>
    </row>
    <row r="267" spans="1:20" ht="16.5" thickBot="1">
      <c r="A267" s="51"/>
      <c r="B267" s="52" t="s">
        <v>59</v>
      </c>
      <c r="C267" s="53">
        <f t="shared" ref="C267:O267" si="195">C266/C$197</f>
        <v>0</v>
      </c>
      <c r="D267" s="54">
        <f t="shared" si="195"/>
        <v>0</v>
      </c>
      <c r="E267" s="53">
        <f t="shared" si="195"/>
        <v>0</v>
      </c>
      <c r="F267" s="54">
        <f t="shared" si="195"/>
        <v>45.80554682243924</v>
      </c>
      <c r="G267" s="53">
        <f t="shared" si="195"/>
        <v>70.7185520361991</v>
      </c>
      <c r="H267" s="54">
        <f t="shared" si="195"/>
        <v>84.867934126025318</v>
      </c>
      <c r="I267" s="53">
        <f t="shared" si="195"/>
        <v>70.487812110788198</v>
      </c>
      <c r="J267" s="54">
        <f t="shared" si="195"/>
        <v>74.749627699180948</v>
      </c>
      <c r="K267" s="53" t="e">
        <f t="shared" si="195"/>
        <v>#DIV/0!</v>
      </c>
      <c r="L267" s="54" t="e">
        <f t="shared" si="195"/>
        <v>#DIV/0!</v>
      </c>
      <c r="M267" s="53" t="e">
        <f t="shared" si="195"/>
        <v>#DIV/0!</v>
      </c>
      <c r="N267" s="54" t="e">
        <f t="shared" si="195"/>
        <v>#DIV/0!</v>
      </c>
      <c r="O267" s="55">
        <f t="shared" si="195"/>
        <v>43.682469858786632</v>
      </c>
      <c r="P267" s="56"/>
      <c r="Q267" s="56"/>
      <c r="R267" s="57"/>
      <c r="S267" s="41"/>
      <c r="T267" s="8"/>
    </row>
    <row r="268" spans="1:20">
      <c r="A268" s="181" t="s">
        <v>75</v>
      </c>
      <c r="B268" s="29" t="s">
        <v>55</v>
      </c>
      <c r="C268" s="30">
        <f>'2012 Actual Costs'!C268</f>
        <v>77.666885242201346</v>
      </c>
      <c r="D268" s="31">
        <f>'2012 Actual Costs'!D268</f>
        <v>90.377806539738103</v>
      </c>
      <c r="E268" s="30">
        <f>'2012 Actual Costs'!E268</f>
        <v>55.444931395785495</v>
      </c>
      <c r="F268" s="31">
        <f>'2012 Actual Costs'!F268</f>
        <v>79.102362018848524</v>
      </c>
      <c r="G268" s="30">
        <f>'2011 Actual Costs'!G268</f>
        <v>47.414350355526821</v>
      </c>
      <c r="H268" s="31">
        <f>'2011 Actual Costs'!H268</f>
        <v>86.507280473071788</v>
      </c>
      <c r="I268" s="30">
        <f>'2011 Actual Costs'!I268</f>
        <v>80.540893185457563</v>
      </c>
      <c r="J268" s="31">
        <f>'2011 Actual Costs'!J268</f>
        <v>135.51749813849591</v>
      </c>
      <c r="K268" s="30">
        <f>'2011 Actual Costs'!K268</f>
        <v>100.14109226057332</v>
      </c>
      <c r="L268" s="31">
        <f>'2011 Actual Costs'!L268</f>
        <v>95.287992403156622</v>
      </c>
      <c r="M268" s="30">
        <f>'2011 Actual Costs'!M268</f>
        <v>158.20576717693129</v>
      </c>
      <c r="N268" s="31">
        <f>'2011 Actual Costs'!N268</f>
        <v>40.308534461308781</v>
      </c>
      <c r="O268" s="32">
        <f>O269/O$197</f>
        <v>81.452630311571028</v>
      </c>
      <c r="P268" s="9"/>
      <c r="Q268" s="9"/>
      <c r="R268" s="9"/>
      <c r="S268" s="70"/>
    </row>
    <row r="269" spans="1:20">
      <c r="A269" s="34" t="s">
        <v>71</v>
      </c>
      <c r="B269" s="35" t="s">
        <v>57</v>
      </c>
      <c r="C269" s="36">
        <f t="shared" ref="C269:N269" si="196">C268*C$197</f>
        <v>1945.1380674514533</v>
      </c>
      <c r="D269" s="37">
        <f t="shared" si="196"/>
        <v>2044.4320428944386</v>
      </c>
      <c r="E269" s="36">
        <f t="shared" si="196"/>
        <v>1388.597551824776</v>
      </c>
      <c r="F269" s="37">
        <f t="shared" si="196"/>
        <v>1917.1829477160697</v>
      </c>
      <c r="G269" s="36">
        <f t="shared" si="196"/>
        <v>1187.4746557996707</v>
      </c>
      <c r="H269" s="37">
        <f t="shared" si="196"/>
        <v>2096.6539903921671</v>
      </c>
      <c r="I269" s="36">
        <f t="shared" si="196"/>
        <v>2017.1165205483201</v>
      </c>
      <c r="J269" s="37">
        <f t="shared" si="196"/>
        <v>3393.9850119255088</v>
      </c>
      <c r="K269" s="36">
        <f t="shared" si="196"/>
        <v>0</v>
      </c>
      <c r="L269" s="37">
        <f t="shared" si="196"/>
        <v>0</v>
      </c>
      <c r="M269" s="36">
        <f t="shared" si="196"/>
        <v>0</v>
      </c>
      <c r="N269" s="37">
        <f t="shared" si="196"/>
        <v>0</v>
      </c>
      <c r="O269" s="67">
        <f>SUM(C269:N269)</f>
        <v>15990.580788552405</v>
      </c>
      <c r="P269" s="15"/>
      <c r="Q269" s="15"/>
      <c r="R269" s="15"/>
      <c r="S269" s="71"/>
    </row>
    <row r="270" spans="1:20" ht="15.75">
      <c r="A270" s="182" t="s">
        <v>64</v>
      </c>
      <c r="B270" s="35" t="s">
        <v>58</v>
      </c>
      <c r="C270" s="43">
        <f>'Price Changes'!D53</f>
        <v>1.2423</v>
      </c>
      <c r="D270" s="44">
        <f t="shared" ref="D270:N270" si="197">C270</f>
        <v>1.2423</v>
      </c>
      <c r="E270" s="43">
        <f t="shared" si="197"/>
        <v>1.2423</v>
      </c>
      <c r="F270" s="44">
        <f t="shared" si="197"/>
        <v>1.2423</v>
      </c>
      <c r="G270" s="43">
        <f t="shared" si="197"/>
        <v>1.2423</v>
      </c>
      <c r="H270" s="44">
        <f t="shared" si="197"/>
        <v>1.2423</v>
      </c>
      <c r="I270" s="43">
        <f t="shared" si="197"/>
        <v>1.2423</v>
      </c>
      <c r="J270" s="44">
        <f t="shared" si="197"/>
        <v>1.2423</v>
      </c>
      <c r="K270" s="43">
        <f t="shared" si="197"/>
        <v>1.2423</v>
      </c>
      <c r="L270" s="44">
        <f t="shared" si="197"/>
        <v>1.2423</v>
      </c>
      <c r="M270" s="43">
        <f t="shared" si="197"/>
        <v>1.2423</v>
      </c>
      <c r="N270" s="44">
        <f t="shared" si="197"/>
        <v>1.2423</v>
      </c>
      <c r="O270" s="45">
        <f>IF(O269=0,0,+O271/O269)</f>
        <v>1.2423</v>
      </c>
      <c r="P270" s="15"/>
      <c r="Q270" s="72"/>
      <c r="R270" s="15"/>
      <c r="S270" s="15"/>
    </row>
    <row r="271" spans="1:20">
      <c r="A271" s="42"/>
      <c r="B271" s="35" t="s">
        <v>15</v>
      </c>
      <c r="C271" s="48">
        <f t="shared" ref="C271:N271" si="198">C269*C270</f>
        <v>2416.4450211949402</v>
      </c>
      <c r="D271" s="49">
        <f t="shared" si="198"/>
        <v>2539.7979268877612</v>
      </c>
      <c r="E271" s="48">
        <f t="shared" si="198"/>
        <v>1725.0547386319192</v>
      </c>
      <c r="F271" s="49">
        <f t="shared" si="198"/>
        <v>2381.7163759476734</v>
      </c>
      <c r="G271" s="48">
        <f t="shared" si="198"/>
        <v>1475.1997648999309</v>
      </c>
      <c r="H271" s="49">
        <f t="shared" si="198"/>
        <v>2604.6732522641892</v>
      </c>
      <c r="I271" s="48">
        <f t="shared" si="198"/>
        <v>2505.8638534771781</v>
      </c>
      <c r="J271" s="49">
        <f t="shared" si="198"/>
        <v>4216.3475803150595</v>
      </c>
      <c r="K271" s="48">
        <f t="shared" si="198"/>
        <v>0</v>
      </c>
      <c r="L271" s="49">
        <f t="shared" si="198"/>
        <v>0</v>
      </c>
      <c r="M271" s="48">
        <f t="shared" si="198"/>
        <v>0</v>
      </c>
      <c r="N271" s="49">
        <f t="shared" si="198"/>
        <v>0</v>
      </c>
      <c r="O271" s="50">
        <f>SUM(C271:N271)</f>
        <v>19865.09851361865</v>
      </c>
      <c r="P271" s="15"/>
      <c r="Q271" s="15"/>
      <c r="R271" s="15"/>
      <c r="S271" s="15"/>
    </row>
    <row r="272" spans="1:20" ht="13.5" thickBot="1">
      <c r="A272" s="51"/>
      <c r="B272" s="52" t="s">
        <v>59</v>
      </c>
      <c r="C272" s="53">
        <f t="shared" ref="C272:O272" si="199">C271/C$197</f>
        <v>96.485571536386715</v>
      </c>
      <c r="D272" s="54">
        <f t="shared" si="199"/>
        <v>112.27634906431665</v>
      </c>
      <c r="E272" s="53">
        <f t="shared" si="199"/>
        <v>68.879238272984324</v>
      </c>
      <c r="F272" s="54">
        <f t="shared" si="199"/>
        <v>98.268864336015525</v>
      </c>
      <c r="G272" s="53">
        <f t="shared" si="199"/>
        <v>58.902847446670968</v>
      </c>
      <c r="H272" s="54">
        <f t="shared" si="199"/>
        <v>107.46799453169707</v>
      </c>
      <c r="I272" s="53">
        <f t="shared" si="199"/>
        <v>100.05595160429392</v>
      </c>
      <c r="J272" s="54">
        <f t="shared" si="199"/>
        <v>168.35338793745348</v>
      </c>
      <c r="K272" s="53" t="e">
        <f t="shared" si="199"/>
        <v>#DIV/0!</v>
      </c>
      <c r="L272" s="54" t="e">
        <f t="shared" si="199"/>
        <v>#DIV/0!</v>
      </c>
      <c r="M272" s="53" t="e">
        <f t="shared" si="199"/>
        <v>#DIV/0!</v>
      </c>
      <c r="N272" s="54" t="e">
        <f t="shared" si="199"/>
        <v>#DIV/0!</v>
      </c>
      <c r="O272" s="55">
        <f t="shared" si="199"/>
        <v>101.18860263606467</v>
      </c>
      <c r="P272" s="8"/>
      <c r="S272" s="41"/>
    </row>
    <row r="273" spans="1:19">
      <c r="A273" s="181" t="s">
        <v>76</v>
      </c>
      <c r="B273" s="29" t="s">
        <v>55</v>
      </c>
      <c r="C273" s="30">
        <f>'2012 Actual Costs'!C273</f>
        <v>170.58499979067687</v>
      </c>
      <c r="D273" s="31">
        <f>'2012 Actual Costs'!D273</f>
        <v>494.62884912467695</v>
      </c>
      <c r="E273" s="30">
        <f>'2012 Actual Costs'!E273</f>
        <v>206.41597741774493</v>
      </c>
      <c r="F273" s="31">
        <f>'2012 Actual Costs'!F273</f>
        <v>422.12247989982376</v>
      </c>
      <c r="G273" s="30">
        <f>'2011 Actual Costs'!G273</f>
        <v>167.51777634130573</v>
      </c>
      <c r="H273" s="31">
        <f>'2011 Actual Costs'!H273</f>
        <v>187.48012971323203</v>
      </c>
      <c r="I273" s="30">
        <f>'2011 Actual Costs'!I273</f>
        <v>224.39357096257635</v>
      </c>
      <c r="J273" s="31">
        <f>'2011 Actual Costs'!J273</f>
        <v>67.913874410523704</v>
      </c>
      <c r="K273" s="30">
        <f>'2011 Actual Costs'!K273</f>
        <v>152.41405416566295</v>
      </c>
      <c r="L273" s="31">
        <f>'2011 Actual Costs'!L273</f>
        <v>175.02210288483579</v>
      </c>
      <c r="M273" s="30">
        <f>'2011 Actual Costs'!M273</f>
        <v>133.89106443574227</v>
      </c>
      <c r="N273" s="31">
        <f>'2011 Actual Costs'!N273</f>
        <v>188.81740304979917</v>
      </c>
      <c r="O273" s="32">
        <f>O274/O$197</f>
        <v>239.00945773864316</v>
      </c>
    </row>
    <row r="274" spans="1:19">
      <c r="A274" s="34" t="s">
        <v>64</v>
      </c>
      <c r="B274" s="35" t="s">
        <v>57</v>
      </c>
      <c r="C274" s="36">
        <f t="shared" ref="C274:N274" si="200">C273*C$197</f>
        <v>4272.2374638084448</v>
      </c>
      <c r="D274" s="37">
        <f t="shared" si="200"/>
        <v>11188.975559457283</v>
      </c>
      <c r="E274" s="36">
        <f t="shared" si="200"/>
        <v>5169.6108856865894</v>
      </c>
      <c r="F274" s="37">
        <f t="shared" si="200"/>
        <v>10230.870477909682</v>
      </c>
      <c r="G274" s="36">
        <f t="shared" si="200"/>
        <v>4195.4200006882711</v>
      </c>
      <c r="H274" s="37">
        <f t="shared" si="200"/>
        <v>4543.9061305926534</v>
      </c>
      <c r="I274" s="36">
        <f t="shared" si="200"/>
        <v>5619.8529863730255</v>
      </c>
      <c r="J274" s="37">
        <f t="shared" si="200"/>
        <v>1700.877562066149</v>
      </c>
      <c r="K274" s="36">
        <f t="shared" si="200"/>
        <v>0</v>
      </c>
      <c r="L274" s="37">
        <f t="shared" si="200"/>
        <v>0</v>
      </c>
      <c r="M274" s="36">
        <f t="shared" si="200"/>
        <v>0</v>
      </c>
      <c r="N274" s="37">
        <f t="shared" si="200"/>
        <v>0</v>
      </c>
      <c r="O274" s="38">
        <f>SUM(C274:N274)</f>
        <v>46921.751066582103</v>
      </c>
    </row>
    <row r="275" spans="1:19">
      <c r="A275" s="34"/>
      <c r="B275" s="35" t="s">
        <v>58</v>
      </c>
      <c r="C275" s="43">
        <f>'Price Changes'!D54</f>
        <v>0.28280000000000005</v>
      </c>
      <c r="D275" s="44">
        <f t="shared" ref="D275:N275" si="201">C275</f>
        <v>0.28280000000000005</v>
      </c>
      <c r="E275" s="43">
        <f t="shared" si="201"/>
        <v>0.28280000000000005</v>
      </c>
      <c r="F275" s="44">
        <f t="shared" si="201"/>
        <v>0.28280000000000005</v>
      </c>
      <c r="G275" s="43">
        <f t="shared" si="201"/>
        <v>0.28280000000000005</v>
      </c>
      <c r="H275" s="44">
        <f t="shared" si="201"/>
        <v>0.28280000000000005</v>
      </c>
      <c r="I275" s="43">
        <f t="shared" si="201"/>
        <v>0.28280000000000005</v>
      </c>
      <c r="J275" s="44">
        <f t="shared" si="201"/>
        <v>0.28280000000000005</v>
      </c>
      <c r="K275" s="43">
        <f t="shared" si="201"/>
        <v>0.28280000000000005</v>
      </c>
      <c r="L275" s="44">
        <f t="shared" si="201"/>
        <v>0.28280000000000005</v>
      </c>
      <c r="M275" s="43">
        <f t="shared" si="201"/>
        <v>0.28280000000000005</v>
      </c>
      <c r="N275" s="44">
        <f t="shared" si="201"/>
        <v>0.28280000000000005</v>
      </c>
      <c r="O275" s="45">
        <f>IF(O274=0,0,+O276/O274)</f>
        <v>0.28280000000000005</v>
      </c>
    </row>
    <row r="276" spans="1:19">
      <c r="A276" s="42"/>
      <c r="B276" s="35" t="s">
        <v>15</v>
      </c>
      <c r="C276" s="48">
        <f t="shared" ref="C276:N276" si="202">C274*C275</f>
        <v>1208.1887547650283</v>
      </c>
      <c r="D276" s="49">
        <f t="shared" si="202"/>
        <v>3164.2422882145202</v>
      </c>
      <c r="E276" s="48">
        <f t="shared" si="202"/>
        <v>1461.9659584721678</v>
      </c>
      <c r="F276" s="49">
        <f t="shared" si="202"/>
        <v>2893.2901711528589</v>
      </c>
      <c r="G276" s="48">
        <f t="shared" si="202"/>
        <v>1186.4647761946433</v>
      </c>
      <c r="H276" s="49">
        <f t="shared" si="202"/>
        <v>1285.0166537316027</v>
      </c>
      <c r="I276" s="48">
        <f t="shared" si="202"/>
        <v>1589.2944245462918</v>
      </c>
      <c r="J276" s="49">
        <f t="shared" si="202"/>
        <v>481.00817455230703</v>
      </c>
      <c r="K276" s="48">
        <f t="shared" si="202"/>
        <v>0</v>
      </c>
      <c r="L276" s="49">
        <f t="shared" si="202"/>
        <v>0</v>
      </c>
      <c r="M276" s="48">
        <f t="shared" si="202"/>
        <v>0</v>
      </c>
      <c r="N276" s="49">
        <f t="shared" si="202"/>
        <v>0</v>
      </c>
      <c r="O276" s="50">
        <f>SUM(C276:N276)</f>
        <v>13269.471201629422</v>
      </c>
    </row>
    <row r="277" spans="1:19" ht="15.75" customHeight="1" thickBot="1">
      <c r="A277" s="51"/>
      <c r="B277" s="52" t="s">
        <v>59</v>
      </c>
      <c r="C277" s="53">
        <f t="shared" ref="C277:O277" si="203">C276/C$197</f>
        <v>48.241437940803429</v>
      </c>
      <c r="D277" s="54">
        <f t="shared" si="203"/>
        <v>139.88103853245866</v>
      </c>
      <c r="E277" s="53">
        <f t="shared" si="203"/>
        <v>58.374438413738275</v>
      </c>
      <c r="F277" s="54">
        <f t="shared" si="203"/>
        <v>119.37623731567018</v>
      </c>
      <c r="G277" s="53">
        <f t="shared" si="203"/>
        <v>47.374027149321272</v>
      </c>
      <c r="H277" s="54">
        <f t="shared" si="203"/>
        <v>53.019380682902025</v>
      </c>
      <c r="I277" s="53">
        <f t="shared" si="203"/>
        <v>63.458501868216594</v>
      </c>
      <c r="J277" s="54">
        <f t="shared" si="203"/>
        <v>19.206043683296109</v>
      </c>
      <c r="K277" s="53" t="e">
        <f t="shared" si="203"/>
        <v>#DIV/0!</v>
      </c>
      <c r="L277" s="54" t="e">
        <f t="shared" si="203"/>
        <v>#DIV/0!</v>
      </c>
      <c r="M277" s="53" t="e">
        <f t="shared" si="203"/>
        <v>#DIV/0!</v>
      </c>
      <c r="N277" s="54" t="e">
        <f t="shared" si="203"/>
        <v>#DIV/0!</v>
      </c>
      <c r="O277" s="55">
        <f t="shared" si="203"/>
        <v>67.5918746484883</v>
      </c>
    </row>
    <row r="278" spans="1:19" ht="13.5" thickBot="1">
      <c r="A278" s="10" t="s">
        <v>1</v>
      </c>
      <c r="B278" s="73" t="s">
        <v>1</v>
      </c>
      <c r="C278" s="74" t="s">
        <v>1</v>
      </c>
      <c r="D278" s="75" t="s">
        <v>1</v>
      </c>
      <c r="E278" s="74" t="s">
        <v>1</v>
      </c>
      <c r="F278" s="75" t="s">
        <v>1</v>
      </c>
      <c r="G278" s="74" t="s">
        <v>1</v>
      </c>
      <c r="H278" s="75" t="s">
        <v>1</v>
      </c>
      <c r="I278" s="74" t="s">
        <v>1</v>
      </c>
      <c r="J278" s="75" t="s">
        <v>1</v>
      </c>
      <c r="K278" s="74" t="s">
        <v>1</v>
      </c>
      <c r="L278" s="75" t="s">
        <v>1</v>
      </c>
      <c r="M278" s="74" t="s">
        <v>1</v>
      </c>
      <c r="N278" s="75" t="s">
        <v>1</v>
      </c>
      <c r="O278" s="6" t="s">
        <v>1</v>
      </c>
      <c r="P278" s="9"/>
      <c r="Q278" s="9"/>
      <c r="R278" s="9"/>
      <c r="S278" s="70"/>
    </row>
    <row r="279" spans="1:19" ht="16.5" thickBot="1">
      <c r="A279" s="104" t="s">
        <v>81</v>
      </c>
      <c r="B279" s="105"/>
      <c r="C279" s="106">
        <v>0</v>
      </c>
      <c r="D279" s="107">
        <v>0</v>
      </c>
      <c r="E279" s="106">
        <v>0</v>
      </c>
      <c r="F279" s="107">
        <v>0</v>
      </c>
      <c r="G279" s="106">
        <v>0</v>
      </c>
      <c r="H279" s="107">
        <v>0</v>
      </c>
      <c r="I279" s="106">
        <v>0</v>
      </c>
      <c r="J279" s="107">
        <v>0</v>
      </c>
      <c r="K279" s="106">
        <v>0</v>
      </c>
      <c r="L279" s="107">
        <v>0</v>
      </c>
      <c r="M279" s="106">
        <v>0</v>
      </c>
      <c r="N279" s="107">
        <v>0</v>
      </c>
      <c r="O279" s="108">
        <f>SUM(C279:N279)</f>
        <v>0</v>
      </c>
      <c r="P279" s="9"/>
      <c r="Q279" s="9"/>
      <c r="R279" s="9"/>
      <c r="S279" s="70"/>
    </row>
    <row r="280" spans="1:19">
      <c r="A280" s="28" t="s">
        <v>84</v>
      </c>
      <c r="B280" s="29" t="s">
        <v>55</v>
      </c>
      <c r="C280" s="113">
        <f t="shared" ref="C280:O280" si="204">C281/C$197</f>
        <v>2341.521235392277</v>
      </c>
      <c r="D280" s="114">
        <f t="shared" si="204"/>
        <v>3009.7760177873934</v>
      </c>
      <c r="E280" s="113">
        <f t="shared" si="204"/>
        <v>2527.1037891447022</v>
      </c>
      <c r="F280" s="114">
        <f t="shared" si="204"/>
        <v>2734.3750838289748</v>
      </c>
      <c r="G280" s="113">
        <f t="shared" si="204"/>
        <v>1868.4227537168713</v>
      </c>
      <c r="H280" s="114">
        <f t="shared" si="204"/>
        <v>1931.614421059325</v>
      </c>
      <c r="I280" s="113">
        <f t="shared" si="204"/>
        <v>1787.7713775268926</v>
      </c>
      <c r="J280" s="114">
        <f t="shared" si="204"/>
        <v>1777.1159096550011</v>
      </c>
      <c r="K280" s="113" t="e">
        <f t="shared" si="204"/>
        <v>#DIV/0!</v>
      </c>
      <c r="L280" s="114" t="e">
        <f t="shared" si="204"/>
        <v>#DIV/0!</v>
      </c>
      <c r="M280" s="113" t="e">
        <f t="shared" si="204"/>
        <v>#DIV/0!</v>
      </c>
      <c r="N280" s="114" t="e">
        <f t="shared" si="204"/>
        <v>#DIV/0!</v>
      </c>
      <c r="O280" s="32">
        <f t="shared" si="204"/>
        <v>2237.0921838403465</v>
      </c>
      <c r="P280" s="57"/>
      <c r="Q280" s="57"/>
      <c r="R280" s="57"/>
      <c r="S280" s="41"/>
    </row>
    <row r="281" spans="1:19" ht="15.75">
      <c r="A281" s="34"/>
      <c r="B281" s="35" t="s">
        <v>57</v>
      </c>
      <c r="C281" s="36">
        <f t="shared" ref="C281:N281" si="205">C199+C204+C209+C224+C229+C234+C239+C244+C249+C254+C264+C274+C259+C219+C214+C269</f>
        <v>58642.522826867273</v>
      </c>
      <c r="D281" s="37">
        <f t="shared" si="205"/>
        <v>68083.999471642848</v>
      </c>
      <c r="E281" s="36">
        <f t="shared" si="205"/>
        <v>63290.368415537188</v>
      </c>
      <c r="F281" s="37">
        <f t="shared" si="205"/>
        <v>66272.322969666493</v>
      </c>
      <c r="G281" s="36">
        <f t="shared" si="205"/>
        <v>46793.948450663374</v>
      </c>
      <c r="H281" s="37">
        <f t="shared" si="205"/>
        <v>46816.025907481409</v>
      </c>
      <c r="I281" s="36">
        <f t="shared" si="205"/>
        <v>44774.064924624487</v>
      </c>
      <c r="J281" s="37">
        <f t="shared" si="205"/>
        <v>44507.202720488356</v>
      </c>
      <c r="K281" s="36">
        <f t="shared" si="205"/>
        <v>0</v>
      </c>
      <c r="L281" s="37">
        <f t="shared" si="205"/>
        <v>0</v>
      </c>
      <c r="M281" s="36">
        <f t="shared" si="205"/>
        <v>0</v>
      </c>
      <c r="N281" s="37">
        <f t="shared" si="205"/>
        <v>0</v>
      </c>
      <c r="O281" s="38">
        <f>SUM(C281:N281)</f>
        <v>439180.45568697149</v>
      </c>
      <c r="P281" s="56"/>
      <c r="Q281" s="47"/>
      <c r="R281" s="47"/>
      <c r="S281" s="41"/>
    </row>
    <row r="282" spans="1:19">
      <c r="A282" s="42"/>
      <c r="B282" s="35" t="s">
        <v>58</v>
      </c>
      <c r="C282" s="81">
        <f t="shared" ref="C282:N282" si="206">C283/C281</f>
        <v>0.30297250048850388</v>
      </c>
      <c r="D282" s="82">
        <f t="shared" si="206"/>
        <v>0.29174401094548857</v>
      </c>
      <c r="E282" s="81">
        <f t="shared" si="206"/>
        <v>0.28728624137469022</v>
      </c>
      <c r="F282" s="82">
        <f t="shared" si="206"/>
        <v>0.305032973975011</v>
      </c>
      <c r="G282" s="81">
        <f t="shared" si="206"/>
        <v>0.30198664567800865</v>
      </c>
      <c r="H282" s="82">
        <f t="shared" si="206"/>
        <v>0.33105455832249781</v>
      </c>
      <c r="I282" s="81">
        <f t="shared" si="206"/>
        <v>0.33200695714876005</v>
      </c>
      <c r="J282" s="82">
        <f t="shared" si="206"/>
        <v>0.35445420391061455</v>
      </c>
      <c r="K282" s="81" t="e">
        <f t="shared" si="206"/>
        <v>#DIV/0!</v>
      </c>
      <c r="L282" s="82" t="e">
        <f t="shared" si="206"/>
        <v>#DIV/0!</v>
      </c>
      <c r="M282" s="81" t="e">
        <f t="shared" si="206"/>
        <v>#DIV/0!</v>
      </c>
      <c r="N282" s="82" t="e">
        <f t="shared" si="206"/>
        <v>#DIV/0!</v>
      </c>
      <c r="O282" s="45">
        <f>IF(O281=0,0,+O283/O281)</f>
        <v>0.31034791597889405</v>
      </c>
      <c r="P282" s="40"/>
      <c r="Q282" s="40"/>
      <c r="R282" s="40"/>
      <c r="S282" s="41"/>
    </row>
    <row r="283" spans="1:19" ht="15.75">
      <c r="A283" s="83" t="s">
        <v>89</v>
      </c>
      <c r="B283" s="35" t="s">
        <v>15</v>
      </c>
      <c r="C283" s="48">
        <f t="shared" ref="C283:N283" si="207">C201+C206+C211+C216+C226+C231+C236+C241+C246+C251+C256+C266+C276+C279+C261+C221+C271</f>
        <v>17767.071775810145</v>
      </c>
      <c r="D283" s="49">
        <f t="shared" si="207"/>
        <v>19863.099087067611</v>
      </c>
      <c r="E283" s="48">
        <f t="shared" si="207"/>
        <v>18182.452057319086</v>
      </c>
      <c r="F283" s="49">
        <f t="shared" si="207"/>
        <v>20215.243767669803</v>
      </c>
      <c r="G283" s="48">
        <f t="shared" si="207"/>
        <v>14131.147530645483</v>
      </c>
      <c r="H283" s="49">
        <f t="shared" si="207"/>
        <v>15498.658779215872</v>
      </c>
      <c r="I283" s="48">
        <f t="shared" si="207"/>
        <v>14865.301054805603</v>
      </c>
      <c r="J283" s="49">
        <f t="shared" si="207"/>
        <v>15775.765108579038</v>
      </c>
      <c r="K283" s="48">
        <f t="shared" si="207"/>
        <v>0</v>
      </c>
      <c r="L283" s="49">
        <f t="shared" si="207"/>
        <v>0</v>
      </c>
      <c r="M283" s="48">
        <f t="shared" si="207"/>
        <v>0</v>
      </c>
      <c r="N283" s="49">
        <f t="shared" si="207"/>
        <v>0</v>
      </c>
      <c r="O283" s="50">
        <f>SUM(C283:N283)</f>
        <v>136298.73916111264</v>
      </c>
      <c r="P283" s="80"/>
      <c r="Q283" s="57"/>
      <c r="R283" s="57"/>
      <c r="S283" s="41"/>
    </row>
    <row r="284" spans="1:19" ht="13.5" thickBot="1">
      <c r="A284" s="51"/>
      <c r="B284" s="52" t="s">
        <v>59</v>
      </c>
      <c r="C284" s="53">
        <f t="shared" ref="C284:O284" si="208">C283/C$197</f>
        <v>709.41654363372891</v>
      </c>
      <c r="D284" s="54">
        <f t="shared" si="208"/>
        <v>878.08412747683428</v>
      </c>
      <c r="E284" s="53">
        <f t="shared" si="208"/>
        <v>726.00214914711921</v>
      </c>
      <c r="F284" s="54">
        <f t="shared" si="208"/>
        <v>834.07456378352219</v>
      </c>
      <c r="G284" s="53">
        <f t="shared" si="208"/>
        <v>564.23872010342609</v>
      </c>
      <c r="H284" s="54">
        <f t="shared" si="208"/>
        <v>639.46975901316205</v>
      </c>
      <c r="I284" s="53">
        <f t="shared" si="208"/>
        <v>593.55253513035075</v>
      </c>
      <c r="J284" s="54">
        <f t="shared" si="208"/>
        <v>629.90620501365106</v>
      </c>
      <c r="K284" s="53" t="e">
        <f t="shared" si="208"/>
        <v>#DIV/0!</v>
      </c>
      <c r="L284" s="54" t="e">
        <f t="shared" si="208"/>
        <v>#DIV/0!</v>
      </c>
      <c r="M284" s="53" t="e">
        <f t="shared" si="208"/>
        <v>#DIV/0!</v>
      </c>
      <c r="N284" s="54" t="e">
        <f t="shared" si="208"/>
        <v>#DIV/0!</v>
      </c>
      <c r="O284" s="55">
        <f t="shared" si="208"/>
        <v>694.27689710752452</v>
      </c>
      <c r="P284" s="9"/>
      <c r="Q284" s="9"/>
      <c r="R284" s="9"/>
      <c r="S284" s="70"/>
    </row>
    <row r="285" spans="1:19" ht="13.5" thickBot="1">
      <c r="A285" s="10" t="s">
        <v>1</v>
      </c>
      <c r="B285" s="73" t="s">
        <v>1</v>
      </c>
      <c r="C285" s="74" t="s">
        <v>1</v>
      </c>
      <c r="D285" s="75" t="s">
        <v>1</v>
      </c>
      <c r="E285" s="74" t="s">
        <v>1</v>
      </c>
      <c r="F285" s="75" t="s">
        <v>1</v>
      </c>
      <c r="G285" s="74" t="s">
        <v>1</v>
      </c>
      <c r="H285" s="75" t="s">
        <v>1</v>
      </c>
      <c r="I285" s="74" t="s">
        <v>1</v>
      </c>
      <c r="J285" s="75" t="s">
        <v>1</v>
      </c>
      <c r="K285" s="74" t="s">
        <v>1</v>
      </c>
      <c r="L285" s="75" t="s">
        <v>1</v>
      </c>
      <c r="M285" s="74" t="s">
        <v>1</v>
      </c>
      <c r="N285" s="75" t="s">
        <v>1</v>
      </c>
      <c r="O285" s="6" t="s">
        <v>1</v>
      </c>
      <c r="P285" s="39"/>
      <c r="Q285" s="39"/>
      <c r="R285" s="39"/>
      <c r="S285" s="41"/>
    </row>
    <row r="286" spans="1:19" ht="50.25" customHeight="1" thickBot="1">
      <c r="A286" s="580" t="s">
        <v>85</v>
      </c>
      <c r="B286" s="658"/>
      <c r="C286" s="658"/>
      <c r="D286" s="658"/>
      <c r="E286" s="658"/>
      <c r="F286" s="658"/>
      <c r="G286" s="658"/>
      <c r="H286" s="658"/>
      <c r="I286" s="658"/>
      <c r="J286" s="658"/>
      <c r="K286" s="658"/>
      <c r="L286" s="658"/>
      <c r="M286" s="658"/>
      <c r="N286" s="658"/>
      <c r="O286" s="657"/>
    </row>
    <row r="287" spans="1:19">
      <c r="A287" s="10" t="s">
        <v>1</v>
      </c>
      <c r="B287" s="11" t="s">
        <v>0</v>
      </c>
      <c r="C287" s="96"/>
      <c r="D287" s="97"/>
      <c r="E287" s="96"/>
      <c r="F287" s="97"/>
      <c r="G287" s="96"/>
      <c r="H287" s="97"/>
      <c r="I287" s="96"/>
      <c r="O287" s="2"/>
      <c r="S287" s="15"/>
    </row>
    <row r="288" spans="1:19" ht="15.75">
      <c r="A288" s="115" t="str">
        <f>A4</f>
        <v>2013 BUDGET</v>
      </c>
      <c r="B288" s="3"/>
      <c r="O288" s="2"/>
    </row>
    <row r="289" spans="1:20">
      <c r="A289" s="99"/>
      <c r="B289" s="3"/>
      <c r="O289" s="2"/>
      <c r="P289" s="9"/>
      <c r="Q289" s="9"/>
      <c r="R289" s="9"/>
      <c r="S289" s="9"/>
    </row>
    <row r="290" spans="1:20">
      <c r="A290" s="4"/>
      <c r="B290" s="3"/>
      <c r="C290" s="22" t="s">
        <v>2</v>
      </c>
      <c r="D290" s="23" t="s">
        <v>3</v>
      </c>
      <c r="E290" s="22" t="s">
        <v>4</v>
      </c>
      <c r="F290" s="23" t="s">
        <v>5</v>
      </c>
      <c r="G290" s="22" t="s">
        <v>6</v>
      </c>
      <c r="H290" s="23" t="s">
        <v>86</v>
      </c>
      <c r="I290" s="22" t="s">
        <v>87</v>
      </c>
      <c r="J290" s="23" t="s">
        <v>52</v>
      </c>
      <c r="K290" s="22" t="s">
        <v>88</v>
      </c>
      <c r="L290" s="23" t="s">
        <v>10</v>
      </c>
      <c r="M290" s="22" t="s">
        <v>11</v>
      </c>
      <c r="N290" s="23" t="s">
        <v>12</v>
      </c>
      <c r="O290" s="24" t="s">
        <v>13</v>
      </c>
      <c r="P290" s="15"/>
      <c r="Q290" s="15"/>
      <c r="R290" s="15"/>
      <c r="S290" s="15"/>
    </row>
    <row r="291" spans="1:20" ht="16.5" thickBot="1">
      <c r="A291" s="19" t="s">
        <v>53</v>
      </c>
      <c r="B291" s="3"/>
      <c r="C291" s="100">
        <f>'Pumpage 2013'!G49</f>
        <v>223.32089302393751</v>
      </c>
      <c r="D291" s="101">
        <f>'Pumpage 2013'!H49</f>
        <v>201.70919369904033</v>
      </c>
      <c r="E291" s="100">
        <f>'Pumpage 2013'!I49</f>
        <v>223.32089302393751</v>
      </c>
      <c r="F291" s="101">
        <f>'Pumpage 2013'!J49</f>
        <v>216.1169932489718</v>
      </c>
      <c r="G291" s="100">
        <f>'Pumpage 2013'!K49</f>
        <v>223.32089302393751</v>
      </c>
      <c r="H291" s="101">
        <f>'Pumpage 2013'!L49</f>
        <v>308.73856178424541</v>
      </c>
      <c r="I291" s="100">
        <f>'Pumpage 2013'!M49</f>
        <v>319.02984717705357</v>
      </c>
      <c r="J291" s="101">
        <f>'Pumpage 2013'!N49</f>
        <v>319.02984717705357</v>
      </c>
      <c r="K291" s="100">
        <f>'Pumpage 2013'!O49</f>
        <v>216.1169932489718</v>
      </c>
      <c r="L291" s="101">
        <f>'Pumpage 2013'!P49</f>
        <v>223.32089302393751</v>
      </c>
      <c r="M291" s="100">
        <f>'Pumpage 2013'!Q49</f>
        <v>216.1169932489718</v>
      </c>
      <c r="N291" s="101">
        <f>'Pumpage 2013'!R49</f>
        <v>223.32089302393751</v>
      </c>
      <c r="O291" s="102">
        <f>SUM(C291:N291)</f>
        <v>2913.462894703996</v>
      </c>
      <c r="P291" s="15"/>
      <c r="Q291" s="72"/>
      <c r="R291" s="15"/>
      <c r="S291" s="15"/>
    </row>
    <row r="292" spans="1:20">
      <c r="A292" s="28" t="s">
        <v>54</v>
      </c>
      <c r="B292" s="29" t="s">
        <v>55</v>
      </c>
      <c r="C292" s="30">
        <f>'2012 Actual Costs'!C292</f>
        <v>55.900372631049542</v>
      </c>
      <c r="D292" s="31">
        <f>'2012 Actual Costs'!D292</f>
        <v>51.181079083518107</v>
      </c>
      <c r="E292" s="30">
        <f>'2012 Actual Costs'!E292</f>
        <v>53.763090957409297</v>
      </c>
      <c r="F292" s="31">
        <f>'2012 Actual Costs'!F292</f>
        <v>56.209744952288403</v>
      </c>
      <c r="G292" s="30">
        <f>'2011 Actual Costs'!G292</f>
        <v>37.329871109853464</v>
      </c>
      <c r="H292" s="31">
        <f>'2011 Actual Costs'!H292</f>
        <v>55.643703341344619</v>
      </c>
      <c r="I292" s="30">
        <f>'2011 Actual Costs'!I292</f>
        <v>48.519745188452966</v>
      </c>
      <c r="J292" s="31">
        <f>'2011 Actual Costs'!J292</f>
        <v>59.161780315131026</v>
      </c>
      <c r="K292" s="30">
        <f>'2011 Actual Costs'!K292</f>
        <v>60.31651525918528</v>
      </c>
      <c r="L292" s="31">
        <f>'2011 Actual Costs'!L292</f>
        <v>61.860780366410054</v>
      </c>
      <c r="M292" s="30">
        <f>'2011 Actual Costs'!M292</f>
        <v>45.183488904646218</v>
      </c>
      <c r="N292" s="31">
        <f>'2011 Actual Costs'!N292</f>
        <v>55.768740257899957</v>
      </c>
      <c r="O292" s="32">
        <f>O293/O$7</f>
        <v>35.586996222680497</v>
      </c>
    </row>
    <row r="293" spans="1:20">
      <c r="A293" s="34" t="s">
        <v>56</v>
      </c>
      <c r="B293" s="35" t="s">
        <v>57</v>
      </c>
      <c r="C293" s="36">
        <f t="shared" ref="C293:N293" si="209">C$291*C292</f>
        <v>12483.721136336859</v>
      </c>
      <c r="D293" s="37">
        <f t="shared" si="209"/>
        <v>10323.694194583255</v>
      </c>
      <c r="E293" s="36">
        <f t="shared" si="209"/>
        <v>12006.421484335824</v>
      </c>
      <c r="F293" s="37">
        <f t="shared" si="209"/>
        <v>12147.881070380139</v>
      </c>
      <c r="G293" s="36">
        <f t="shared" si="209"/>
        <v>8336.5401527209615</v>
      </c>
      <c r="H293" s="37">
        <f t="shared" si="209"/>
        <v>17179.35694195595</v>
      </c>
      <c r="I293" s="36">
        <f t="shared" si="209"/>
        <v>15479.246892541731</v>
      </c>
      <c r="J293" s="37">
        <f t="shared" si="209"/>
        <v>18874.373732658667</v>
      </c>
      <c r="K293" s="36">
        <f t="shared" si="209"/>
        <v>13035.423921070849</v>
      </c>
      <c r="L293" s="37">
        <f t="shared" si="209"/>
        <v>13814.804714584354</v>
      </c>
      <c r="M293" s="36">
        <f t="shared" si="209"/>
        <v>9764.9197665704196</v>
      </c>
      <c r="N293" s="37">
        <f t="shared" si="209"/>
        <v>12454.324877214234</v>
      </c>
      <c r="O293" s="38">
        <f>SUM(C293:N293)</f>
        <v>155900.70888495326</v>
      </c>
      <c r="P293" s="57"/>
      <c r="Q293" s="57"/>
      <c r="R293" s="57"/>
      <c r="S293" s="41"/>
    </row>
    <row r="294" spans="1:20" ht="15.75">
      <c r="A294" s="42"/>
      <c r="B294" s="35" t="s">
        <v>58</v>
      </c>
      <c r="C294" s="43">
        <f>'Price Changes'!D57</f>
        <v>0.13887500000000003</v>
      </c>
      <c r="D294" s="44">
        <f t="shared" ref="D294:N294" si="210">C294</f>
        <v>0.13887500000000003</v>
      </c>
      <c r="E294" s="43">
        <f t="shared" si="210"/>
        <v>0.13887500000000003</v>
      </c>
      <c r="F294" s="44">
        <f t="shared" si="210"/>
        <v>0.13887500000000003</v>
      </c>
      <c r="G294" s="43">
        <f t="shared" si="210"/>
        <v>0.13887500000000003</v>
      </c>
      <c r="H294" s="44">
        <f t="shared" si="210"/>
        <v>0.13887500000000003</v>
      </c>
      <c r="I294" s="43">
        <f t="shared" si="210"/>
        <v>0.13887500000000003</v>
      </c>
      <c r="J294" s="44">
        <f t="shared" si="210"/>
        <v>0.13887500000000003</v>
      </c>
      <c r="K294" s="43">
        <f t="shared" si="210"/>
        <v>0.13887500000000003</v>
      </c>
      <c r="L294" s="44">
        <f t="shared" si="210"/>
        <v>0.13887500000000003</v>
      </c>
      <c r="M294" s="43">
        <f t="shared" si="210"/>
        <v>0.13887500000000003</v>
      </c>
      <c r="N294" s="44">
        <f t="shared" si="210"/>
        <v>0.13887500000000003</v>
      </c>
      <c r="O294" s="45">
        <f>IF(O293=0,0,+O295/O293)</f>
        <v>0.13887500000000003</v>
      </c>
      <c r="P294" s="80"/>
      <c r="Q294" s="68"/>
      <c r="R294" s="47"/>
      <c r="S294" s="41"/>
    </row>
    <row r="295" spans="1:20">
      <c r="A295" s="42"/>
      <c r="B295" s="35" t="s">
        <v>15</v>
      </c>
      <c r="C295" s="48">
        <f t="shared" ref="C295:N295" si="211">C293*C294</f>
        <v>1733.6767728087816</v>
      </c>
      <c r="D295" s="49">
        <f t="shared" si="211"/>
        <v>1433.7030312727497</v>
      </c>
      <c r="E295" s="48">
        <f t="shared" si="211"/>
        <v>1667.3917836371379</v>
      </c>
      <c r="F295" s="49">
        <f t="shared" si="211"/>
        <v>1687.0369836490422</v>
      </c>
      <c r="G295" s="48">
        <f t="shared" si="211"/>
        <v>1157.7370137091239</v>
      </c>
      <c r="H295" s="49">
        <f t="shared" si="211"/>
        <v>2385.7831953141331</v>
      </c>
      <c r="I295" s="48">
        <f t="shared" si="211"/>
        <v>2149.6804122017334</v>
      </c>
      <c r="J295" s="49">
        <f t="shared" si="211"/>
        <v>2621.1786521229728</v>
      </c>
      <c r="K295" s="48">
        <f t="shared" si="211"/>
        <v>1810.2944970387146</v>
      </c>
      <c r="L295" s="49">
        <f t="shared" si="211"/>
        <v>1918.5310047379025</v>
      </c>
      <c r="M295" s="48">
        <f t="shared" si="211"/>
        <v>1356.1032325824672</v>
      </c>
      <c r="N295" s="49">
        <f t="shared" si="211"/>
        <v>1729.594367323127</v>
      </c>
      <c r="O295" s="50">
        <f>SUM(C295:N295)</f>
        <v>21650.710946397889</v>
      </c>
      <c r="P295" s="40"/>
      <c r="Q295" s="40"/>
      <c r="R295" s="40"/>
      <c r="S295" s="41"/>
    </row>
    <row r="296" spans="1:20" ht="16.5" thickBot="1">
      <c r="A296" s="51"/>
      <c r="B296" s="52" t="s">
        <v>59</v>
      </c>
      <c r="C296" s="53">
        <f t="shared" ref="C296:N296" si="212">C295/C$291</f>
        <v>7.7631642491370068</v>
      </c>
      <c r="D296" s="54">
        <f t="shared" si="212"/>
        <v>7.1077723577235776</v>
      </c>
      <c r="E296" s="53">
        <f t="shared" si="212"/>
        <v>7.4663492567102177</v>
      </c>
      <c r="F296" s="54">
        <f t="shared" si="212"/>
        <v>7.8061283302490541</v>
      </c>
      <c r="G296" s="53">
        <f t="shared" si="212"/>
        <v>5.184185850380902</v>
      </c>
      <c r="H296" s="54">
        <f t="shared" si="212"/>
        <v>7.7275193015292363</v>
      </c>
      <c r="I296" s="53">
        <f t="shared" si="212"/>
        <v>6.738179613046408</v>
      </c>
      <c r="J296" s="54">
        <f t="shared" si="212"/>
        <v>8.2160922412638229</v>
      </c>
      <c r="K296" s="53">
        <f t="shared" si="212"/>
        <v>8.3764560566193573</v>
      </c>
      <c r="L296" s="54">
        <f t="shared" si="212"/>
        <v>8.5909158733851978</v>
      </c>
      <c r="M296" s="53">
        <f t="shared" si="212"/>
        <v>6.2748570216327444</v>
      </c>
      <c r="N296" s="54">
        <f t="shared" si="212"/>
        <v>7.744883803315858</v>
      </c>
      <c r="O296" s="55">
        <f>O295/O$7</f>
        <v>4.9421441004247555</v>
      </c>
      <c r="P296" s="80"/>
      <c r="Q296" s="57"/>
      <c r="R296" s="57"/>
      <c r="S296" s="41"/>
    </row>
    <row r="297" spans="1:20">
      <c r="A297" s="28" t="s">
        <v>60</v>
      </c>
      <c r="B297" s="29" t="s">
        <v>55</v>
      </c>
      <c r="C297" s="30">
        <f>'2012 Actual Costs'!C297</f>
        <v>0</v>
      </c>
      <c r="D297" s="31">
        <f>'2012 Actual Costs'!D297</f>
        <v>0</v>
      </c>
      <c r="E297" s="30">
        <f>'2012 Actual Costs'!E297</f>
        <v>0</v>
      </c>
      <c r="F297" s="31">
        <f>'2012 Actual Costs'!F297</f>
        <v>0</v>
      </c>
      <c r="G297" s="30">
        <f>'2011 Actual Costs'!G297</f>
        <v>9.7603445011195111E-3</v>
      </c>
      <c r="H297" s="31">
        <f>'2011 Actual Costs'!H297</f>
        <v>0</v>
      </c>
      <c r="I297" s="30">
        <f>'2011 Actual Costs'!I297</f>
        <v>0</v>
      </c>
      <c r="J297" s="31">
        <f>'2011 Actual Costs'!J297</f>
        <v>0</v>
      </c>
      <c r="K297" s="30">
        <f>'2011 Actual Costs'!K297</f>
        <v>0</v>
      </c>
      <c r="L297" s="31">
        <f>'2011 Actual Costs'!L297</f>
        <v>0</v>
      </c>
      <c r="M297" s="30">
        <f>'2011 Actual Costs'!M297</f>
        <v>0</v>
      </c>
      <c r="N297" s="31">
        <f>'2011 Actual Costs'!N297</f>
        <v>0</v>
      </c>
      <c r="O297" s="32">
        <f>O298/O$7</f>
        <v>4.9755116210747647E-4</v>
      </c>
      <c r="P297" s="58"/>
      <c r="Q297" s="58"/>
      <c r="R297" s="58"/>
      <c r="S297" s="41"/>
      <c r="T297" s="8"/>
    </row>
    <row r="298" spans="1:20">
      <c r="A298" s="34" t="s">
        <v>56</v>
      </c>
      <c r="B298" s="35" t="s">
        <v>57</v>
      </c>
      <c r="C298" s="65">
        <f t="shared" ref="C298:N298" si="213">C$291*C297</f>
        <v>0</v>
      </c>
      <c r="D298" s="66">
        <f t="shared" si="213"/>
        <v>0</v>
      </c>
      <c r="E298" s="65">
        <f t="shared" si="213"/>
        <v>0</v>
      </c>
      <c r="F298" s="66">
        <f t="shared" si="213"/>
        <v>0</v>
      </c>
      <c r="G298" s="65">
        <f t="shared" si="213"/>
        <v>2.1796888502112872</v>
      </c>
      <c r="H298" s="66">
        <f t="shared" si="213"/>
        <v>0</v>
      </c>
      <c r="I298" s="65">
        <f t="shared" si="213"/>
        <v>0</v>
      </c>
      <c r="J298" s="66">
        <f t="shared" si="213"/>
        <v>0</v>
      </c>
      <c r="K298" s="65">
        <f t="shared" si="213"/>
        <v>0</v>
      </c>
      <c r="L298" s="66">
        <f t="shared" si="213"/>
        <v>0</v>
      </c>
      <c r="M298" s="65">
        <f t="shared" si="213"/>
        <v>0</v>
      </c>
      <c r="N298" s="66">
        <f t="shared" si="213"/>
        <v>0</v>
      </c>
      <c r="O298" s="67">
        <f>SUM(C298:N298)</f>
        <v>2.1796888502112872</v>
      </c>
      <c r="P298" s="57"/>
      <c r="Q298" s="57"/>
      <c r="R298" s="57"/>
      <c r="S298" s="41"/>
      <c r="T298" s="8"/>
    </row>
    <row r="299" spans="1:20" ht="15.75">
      <c r="A299" s="42"/>
      <c r="B299" s="35" t="s">
        <v>58</v>
      </c>
      <c r="C299" s="43">
        <f>'Price Changes'!D58</f>
        <v>0</v>
      </c>
      <c r="D299" s="44">
        <f t="shared" ref="D299:N299" si="214">C299</f>
        <v>0</v>
      </c>
      <c r="E299" s="43">
        <f t="shared" si="214"/>
        <v>0</v>
      </c>
      <c r="F299" s="44">
        <f t="shared" si="214"/>
        <v>0</v>
      </c>
      <c r="G299" s="43">
        <f t="shared" si="214"/>
        <v>0</v>
      </c>
      <c r="H299" s="44">
        <f t="shared" si="214"/>
        <v>0</v>
      </c>
      <c r="I299" s="43">
        <f t="shared" si="214"/>
        <v>0</v>
      </c>
      <c r="J299" s="44">
        <f t="shared" si="214"/>
        <v>0</v>
      </c>
      <c r="K299" s="43">
        <f t="shared" si="214"/>
        <v>0</v>
      </c>
      <c r="L299" s="44">
        <f t="shared" si="214"/>
        <v>0</v>
      </c>
      <c r="M299" s="43">
        <f t="shared" si="214"/>
        <v>0</v>
      </c>
      <c r="N299" s="44">
        <f t="shared" si="214"/>
        <v>0</v>
      </c>
      <c r="O299" s="45">
        <f>IF(O298=0,0,+O300/O298)</f>
        <v>0</v>
      </c>
      <c r="P299" s="46"/>
      <c r="Q299" s="47"/>
      <c r="R299" s="47"/>
      <c r="S299" s="41"/>
      <c r="T299" s="8"/>
    </row>
    <row r="300" spans="1:20">
      <c r="A300" s="42"/>
      <c r="B300" s="35" t="s">
        <v>15</v>
      </c>
      <c r="C300" s="48">
        <f t="shared" ref="C300:N300" si="215">C298*C299</f>
        <v>0</v>
      </c>
      <c r="D300" s="49">
        <f t="shared" si="215"/>
        <v>0</v>
      </c>
      <c r="E300" s="48">
        <f t="shared" si="215"/>
        <v>0</v>
      </c>
      <c r="F300" s="49">
        <f t="shared" si="215"/>
        <v>0</v>
      </c>
      <c r="G300" s="48">
        <f t="shared" si="215"/>
        <v>0</v>
      </c>
      <c r="H300" s="49">
        <f t="shared" si="215"/>
        <v>0</v>
      </c>
      <c r="I300" s="48">
        <f t="shared" si="215"/>
        <v>0</v>
      </c>
      <c r="J300" s="49">
        <f t="shared" si="215"/>
        <v>0</v>
      </c>
      <c r="K300" s="48">
        <f t="shared" si="215"/>
        <v>0</v>
      </c>
      <c r="L300" s="49">
        <f t="shared" si="215"/>
        <v>0</v>
      </c>
      <c r="M300" s="48">
        <f t="shared" si="215"/>
        <v>0</v>
      </c>
      <c r="N300" s="49">
        <f t="shared" si="215"/>
        <v>0</v>
      </c>
      <c r="O300" s="50">
        <f>SUM(C300:N300)</f>
        <v>0</v>
      </c>
      <c r="P300" s="40"/>
      <c r="Q300" s="40"/>
      <c r="R300" s="40"/>
      <c r="S300" s="41"/>
      <c r="T300" s="8"/>
    </row>
    <row r="301" spans="1:20" ht="16.5" thickBot="1">
      <c r="A301" s="51"/>
      <c r="B301" s="52" t="s">
        <v>59</v>
      </c>
      <c r="C301" s="53">
        <f t="shared" ref="C301:N301" si="216">C300/C$291</f>
        <v>0</v>
      </c>
      <c r="D301" s="54">
        <f t="shared" si="216"/>
        <v>0</v>
      </c>
      <c r="E301" s="53">
        <f t="shared" si="216"/>
        <v>0</v>
      </c>
      <c r="F301" s="54">
        <f t="shared" si="216"/>
        <v>0</v>
      </c>
      <c r="G301" s="53">
        <f t="shared" si="216"/>
        <v>0</v>
      </c>
      <c r="H301" s="54">
        <f t="shared" si="216"/>
        <v>0</v>
      </c>
      <c r="I301" s="53">
        <f t="shared" si="216"/>
        <v>0</v>
      </c>
      <c r="J301" s="54">
        <f t="shared" si="216"/>
        <v>0</v>
      </c>
      <c r="K301" s="53">
        <f t="shared" si="216"/>
        <v>0</v>
      </c>
      <c r="L301" s="54">
        <f t="shared" si="216"/>
        <v>0</v>
      </c>
      <c r="M301" s="53">
        <f t="shared" si="216"/>
        <v>0</v>
      </c>
      <c r="N301" s="54">
        <f t="shared" si="216"/>
        <v>0</v>
      </c>
      <c r="O301" s="55">
        <f>O300/O$7</f>
        <v>0</v>
      </c>
      <c r="P301" s="56"/>
      <c r="Q301" s="57"/>
      <c r="R301" s="57"/>
      <c r="S301" s="41"/>
      <c r="T301" s="8"/>
    </row>
    <row r="302" spans="1:20">
      <c r="A302" s="28" t="s">
        <v>61</v>
      </c>
      <c r="B302" s="29" t="s">
        <v>55</v>
      </c>
      <c r="C302" s="30">
        <f>'2012 Actual Costs'!C302</f>
        <v>52.882746953798325</v>
      </c>
      <c r="D302" s="31">
        <f>'2012 Actual Costs'!D302</f>
        <v>49.72062084257206</v>
      </c>
      <c r="E302" s="30">
        <f>'2012 Actual Costs'!E302</f>
        <v>54.218664410493361</v>
      </c>
      <c r="F302" s="31">
        <f>'2012 Actual Costs'!F302</f>
        <v>42.998646630576815</v>
      </c>
      <c r="G302" s="30">
        <f>'2011 Actual Costs'!G302</f>
        <v>48.615388029806198</v>
      </c>
      <c r="H302" s="31">
        <f>'2011 Actual Costs'!H302</f>
        <v>53.04464342684561</v>
      </c>
      <c r="I302" s="30">
        <f>'2011 Actual Costs'!I302</f>
        <v>54.592325206112498</v>
      </c>
      <c r="J302" s="31">
        <f>'2011 Actual Costs'!J302</f>
        <v>64.218166579073014</v>
      </c>
      <c r="K302" s="30">
        <f>'2011 Actual Costs'!K302</f>
        <v>65.233257149442068</v>
      </c>
      <c r="L302" s="31">
        <f>'2011 Actual Costs'!L302</f>
        <v>54.374766062052991</v>
      </c>
      <c r="M302" s="30">
        <f>'2011 Actual Costs'!M302</f>
        <v>56.575261255187321</v>
      </c>
      <c r="N302" s="31">
        <f>'2011 Actual Costs'!N302</f>
        <v>57.418166359642903</v>
      </c>
      <c r="O302" s="32">
        <f>O303/O$7</f>
        <v>36.447005739358701</v>
      </c>
    </row>
    <row r="303" spans="1:20">
      <c r="A303" s="34" t="s">
        <v>56</v>
      </c>
      <c r="B303" s="35" t="s">
        <v>57</v>
      </c>
      <c r="C303" s="36">
        <f t="shared" ref="C303:N303" si="217">C$291*C302</f>
        <v>11809.822275281153</v>
      </c>
      <c r="D303" s="37">
        <f t="shared" si="217"/>
        <v>10029.106340370909</v>
      </c>
      <c r="E303" s="36">
        <f t="shared" si="217"/>
        <v>12108.160554716556</v>
      </c>
      <c r="F303" s="37">
        <f t="shared" si="217"/>
        <v>9292.7382235752939</v>
      </c>
      <c r="G303" s="36">
        <f t="shared" si="217"/>
        <v>10856.831869521562</v>
      </c>
      <c r="H303" s="37">
        <f t="shared" si="217"/>
        <v>16376.92692196244</v>
      </c>
      <c r="I303" s="36">
        <f t="shared" si="217"/>
        <v>17416.581167546079</v>
      </c>
      <c r="J303" s="37">
        <f t="shared" si="217"/>
        <v>20487.511869712231</v>
      </c>
      <c r="K303" s="36">
        <f t="shared" si="217"/>
        <v>14098.015394974413</v>
      </c>
      <c r="L303" s="37">
        <f t="shared" si="217"/>
        <v>12143.021314945365</v>
      </c>
      <c r="M303" s="36">
        <f t="shared" si="217"/>
        <v>12226.875354746135</v>
      </c>
      <c r="N303" s="37">
        <f t="shared" si="217"/>
        <v>12822.676187232461</v>
      </c>
      <c r="O303" s="38">
        <f>SUM(C303:N303)</f>
        <v>159668.2674745846</v>
      </c>
      <c r="P303" s="57"/>
      <c r="Q303" s="47"/>
      <c r="R303" s="57"/>
      <c r="S303" s="41"/>
      <c r="T303" s="8"/>
    </row>
    <row r="304" spans="1:20" ht="15.75">
      <c r="A304" s="42"/>
      <c r="B304" s="35" t="s">
        <v>58</v>
      </c>
      <c r="C304" s="43">
        <f>'Price Changes'!D59</f>
        <v>0.21000000000000002</v>
      </c>
      <c r="D304" s="44">
        <f t="shared" ref="D304:N304" si="218">C304</f>
        <v>0.21000000000000002</v>
      </c>
      <c r="E304" s="43">
        <f t="shared" si="218"/>
        <v>0.21000000000000002</v>
      </c>
      <c r="F304" s="44">
        <f t="shared" si="218"/>
        <v>0.21000000000000002</v>
      </c>
      <c r="G304" s="43">
        <f t="shared" si="218"/>
        <v>0.21000000000000002</v>
      </c>
      <c r="H304" s="44">
        <f t="shared" si="218"/>
        <v>0.21000000000000002</v>
      </c>
      <c r="I304" s="43">
        <f t="shared" si="218"/>
        <v>0.21000000000000002</v>
      </c>
      <c r="J304" s="44">
        <f t="shared" si="218"/>
        <v>0.21000000000000002</v>
      </c>
      <c r="K304" s="43">
        <f t="shared" si="218"/>
        <v>0.21000000000000002</v>
      </c>
      <c r="L304" s="44">
        <f t="shared" si="218"/>
        <v>0.21000000000000002</v>
      </c>
      <c r="M304" s="43">
        <f t="shared" si="218"/>
        <v>0.21000000000000002</v>
      </c>
      <c r="N304" s="44">
        <f t="shared" si="218"/>
        <v>0.21000000000000002</v>
      </c>
      <c r="O304" s="45">
        <f>IF(O303=0,0,+O305/O303)</f>
        <v>0.21000000000000002</v>
      </c>
      <c r="P304" s="46"/>
      <c r="Q304" s="47"/>
      <c r="R304" s="47"/>
      <c r="S304" s="41"/>
      <c r="T304" s="8"/>
    </row>
    <row r="305" spans="1:20">
      <c r="A305" s="42"/>
      <c r="B305" s="35" t="s">
        <v>15</v>
      </c>
      <c r="C305" s="48">
        <f t="shared" ref="C305:N305" si="219">C303*C304</f>
        <v>2480.0626778090423</v>
      </c>
      <c r="D305" s="49">
        <f t="shared" si="219"/>
        <v>2106.1123314778911</v>
      </c>
      <c r="E305" s="48">
        <f t="shared" si="219"/>
        <v>2542.7137164904771</v>
      </c>
      <c r="F305" s="49">
        <f t="shared" si="219"/>
        <v>1951.475026950812</v>
      </c>
      <c r="G305" s="48">
        <f t="shared" si="219"/>
        <v>2279.9346925995283</v>
      </c>
      <c r="H305" s="49">
        <f t="shared" si="219"/>
        <v>3439.1546536121127</v>
      </c>
      <c r="I305" s="48">
        <f t="shared" si="219"/>
        <v>3657.4820451846767</v>
      </c>
      <c r="J305" s="49">
        <f t="shared" si="219"/>
        <v>4302.377492639569</v>
      </c>
      <c r="K305" s="48">
        <f t="shared" si="219"/>
        <v>2960.5832329446271</v>
      </c>
      <c r="L305" s="49">
        <f t="shared" si="219"/>
        <v>2550.0344761385268</v>
      </c>
      <c r="M305" s="48">
        <f t="shared" si="219"/>
        <v>2567.6438244966885</v>
      </c>
      <c r="N305" s="49">
        <f t="shared" si="219"/>
        <v>2692.7619993188168</v>
      </c>
      <c r="O305" s="50">
        <f>SUM(C305:N305)</f>
        <v>33530.336169662769</v>
      </c>
      <c r="P305" s="40"/>
      <c r="Q305" s="40"/>
      <c r="R305" s="40"/>
      <c r="S305" s="41"/>
    </row>
    <row r="306" spans="1:20" ht="16.5" thickBot="1">
      <c r="A306" s="51"/>
      <c r="B306" s="52" t="s">
        <v>59</v>
      </c>
      <c r="C306" s="53">
        <f t="shared" ref="C306:N306" si="220">C305/C$291</f>
        <v>11.105376860297648</v>
      </c>
      <c r="D306" s="54">
        <f t="shared" si="220"/>
        <v>10.441330376940133</v>
      </c>
      <c r="E306" s="53">
        <f t="shared" si="220"/>
        <v>11.385919526203606</v>
      </c>
      <c r="F306" s="54">
        <f t="shared" si="220"/>
        <v>9.0297157924211326</v>
      </c>
      <c r="G306" s="53">
        <f t="shared" si="220"/>
        <v>10.209231486259302</v>
      </c>
      <c r="H306" s="54">
        <f t="shared" si="220"/>
        <v>11.139375119637579</v>
      </c>
      <c r="I306" s="53">
        <f t="shared" si="220"/>
        <v>11.464388293283625</v>
      </c>
      <c r="J306" s="54">
        <f t="shared" si="220"/>
        <v>13.485814981605333</v>
      </c>
      <c r="K306" s="53">
        <f t="shared" si="220"/>
        <v>13.698984001382836</v>
      </c>
      <c r="L306" s="54">
        <f t="shared" si="220"/>
        <v>11.418700873031129</v>
      </c>
      <c r="M306" s="53">
        <f t="shared" si="220"/>
        <v>11.88080486358934</v>
      </c>
      <c r="N306" s="54">
        <f t="shared" si="220"/>
        <v>12.057814935525011</v>
      </c>
      <c r="O306" s="55">
        <f>O305/O$7</f>
        <v>7.6538712052653288</v>
      </c>
      <c r="P306" s="56"/>
      <c r="Q306" s="57"/>
      <c r="R306" s="57"/>
      <c r="S306" s="41"/>
    </row>
    <row r="307" spans="1:20">
      <c r="A307" s="28" t="s">
        <v>62</v>
      </c>
      <c r="B307" s="29" t="s">
        <v>55</v>
      </c>
      <c r="C307" s="30">
        <f>'2012 Actual Costs'!C307</f>
        <v>0</v>
      </c>
      <c r="D307" s="31">
        <f>'2012 Actual Costs'!D307</f>
        <v>0</v>
      </c>
      <c r="E307" s="30">
        <f>'2012 Actual Costs'!E307</f>
        <v>0</v>
      </c>
      <c r="F307" s="31">
        <f>'2012 Actual Costs'!F307</f>
        <v>0</v>
      </c>
      <c r="G307" s="30">
        <f>'2011 Actual Costs'!G307</f>
        <v>0</v>
      </c>
      <c r="H307" s="31">
        <f>'2011 Actual Costs'!H307</f>
        <v>0</v>
      </c>
      <c r="I307" s="30">
        <f>'2011 Actual Costs'!I307</f>
        <v>0</v>
      </c>
      <c r="J307" s="31">
        <f>'2011 Actual Costs'!J307</f>
        <v>0</v>
      </c>
      <c r="K307" s="30">
        <f>'2011 Actual Costs'!K307</f>
        <v>0</v>
      </c>
      <c r="L307" s="31">
        <f>'2011 Actual Costs'!L307</f>
        <v>0</v>
      </c>
      <c r="M307" s="30">
        <f>'2011 Actual Costs'!M307</f>
        <v>0</v>
      </c>
      <c r="N307" s="31">
        <f>'2011 Actual Costs'!N307</f>
        <v>0</v>
      </c>
      <c r="O307" s="32">
        <f>O308/O$7</f>
        <v>0</v>
      </c>
    </row>
    <row r="308" spans="1:20">
      <c r="A308" s="34" t="s">
        <v>56</v>
      </c>
      <c r="B308" s="35" t="s">
        <v>57</v>
      </c>
      <c r="C308" s="65">
        <f t="shared" ref="C308:N308" si="221">C$291*C307</f>
        <v>0</v>
      </c>
      <c r="D308" s="66">
        <f t="shared" si="221"/>
        <v>0</v>
      </c>
      <c r="E308" s="65">
        <f t="shared" si="221"/>
        <v>0</v>
      </c>
      <c r="F308" s="66">
        <f t="shared" si="221"/>
        <v>0</v>
      </c>
      <c r="G308" s="65">
        <f t="shared" si="221"/>
        <v>0</v>
      </c>
      <c r="H308" s="66">
        <f t="shared" si="221"/>
        <v>0</v>
      </c>
      <c r="I308" s="65">
        <f t="shared" si="221"/>
        <v>0</v>
      </c>
      <c r="J308" s="66">
        <f t="shared" si="221"/>
        <v>0</v>
      </c>
      <c r="K308" s="65">
        <f t="shared" si="221"/>
        <v>0</v>
      </c>
      <c r="L308" s="66">
        <f t="shared" si="221"/>
        <v>0</v>
      </c>
      <c r="M308" s="65">
        <f t="shared" si="221"/>
        <v>0</v>
      </c>
      <c r="N308" s="66">
        <f t="shared" si="221"/>
        <v>0</v>
      </c>
      <c r="O308" s="67">
        <f>SUM(C308:N308)</f>
        <v>0</v>
      </c>
      <c r="P308" s="60"/>
      <c r="Q308" s="57"/>
      <c r="R308" s="57"/>
      <c r="S308" s="41"/>
      <c r="T308" s="8"/>
    </row>
    <row r="309" spans="1:20" ht="15.75">
      <c r="A309" s="42"/>
      <c r="B309" s="35" t="s">
        <v>58</v>
      </c>
      <c r="C309" s="43">
        <f>'Price Changes'!D60</f>
        <v>0</v>
      </c>
      <c r="D309" s="44">
        <f t="shared" ref="D309:N309" si="222">C309</f>
        <v>0</v>
      </c>
      <c r="E309" s="43">
        <f t="shared" si="222"/>
        <v>0</v>
      </c>
      <c r="F309" s="44">
        <f t="shared" si="222"/>
        <v>0</v>
      </c>
      <c r="G309" s="43">
        <f t="shared" si="222"/>
        <v>0</v>
      </c>
      <c r="H309" s="44">
        <f t="shared" si="222"/>
        <v>0</v>
      </c>
      <c r="I309" s="43">
        <f t="shared" si="222"/>
        <v>0</v>
      </c>
      <c r="J309" s="44">
        <f t="shared" si="222"/>
        <v>0</v>
      </c>
      <c r="K309" s="43">
        <f t="shared" si="222"/>
        <v>0</v>
      </c>
      <c r="L309" s="44">
        <f t="shared" si="222"/>
        <v>0</v>
      </c>
      <c r="M309" s="43">
        <f t="shared" si="222"/>
        <v>0</v>
      </c>
      <c r="N309" s="44">
        <f t="shared" si="222"/>
        <v>0</v>
      </c>
      <c r="O309" s="45">
        <f>IF(O308=0,0,+O310/O308)</f>
        <v>0</v>
      </c>
      <c r="P309" s="46"/>
      <c r="Q309" s="47"/>
      <c r="R309" s="47"/>
      <c r="S309" s="41"/>
      <c r="T309" s="8"/>
    </row>
    <row r="310" spans="1:20">
      <c r="A310" s="42"/>
      <c r="B310" s="35" t="s">
        <v>15</v>
      </c>
      <c r="C310" s="48">
        <f t="shared" ref="C310:N310" si="223">C308*C309</f>
        <v>0</v>
      </c>
      <c r="D310" s="49">
        <f t="shared" si="223"/>
        <v>0</v>
      </c>
      <c r="E310" s="48">
        <f t="shared" si="223"/>
        <v>0</v>
      </c>
      <c r="F310" s="49">
        <f t="shared" si="223"/>
        <v>0</v>
      </c>
      <c r="G310" s="48">
        <f t="shared" si="223"/>
        <v>0</v>
      </c>
      <c r="H310" s="49">
        <f t="shared" si="223"/>
        <v>0</v>
      </c>
      <c r="I310" s="48">
        <f t="shared" si="223"/>
        <v>0</v>
      </c>
      <c r="J310" s="49">
        <f t="shared" si="223"/>
        <v>0</v>
      </c>
      <c r="K310" s="48">
        <f t="shared" si="223"/>
        <v>0</v>
      </c>
      <c r="L310" s="49">
        <f t="shared" si="223"/>
        <v>0</v>
      </c>
      <c r="M310" s="48">
        <f t="shared" si="223"/>
        <v>0</v>
      </c>
      <c r="N310" s="49">
        <f t="shared" si="223"/>
        <v>0</v>
      </c>
      <c r="O310" s="50">
        <f>SUM(C310:N310)</f>
        <v>0</v>
      </c>
      <c r="P310" s="40"/>
      <c r="Q310" s="40"/>
      <c r="R310" s="40"/>
      <c r="S310" s="41"/>
      <c r="T310" s="8"/>
    </row>
    <row r="311" spans="1:20" ht="16.5" thickBot="1">
      <c r="A311" s="51"/>
      <c r="B311" s="52" t="s">
        <v>59</v>
      </c>
      <c r="C311" s="53">
        <f t="shared" ref="C311:N311" si="224">C310/C$291</f>
        <v>0</v>
      </c>
      <c r="D311" s="54">
        <f t="shared" si="224"/>
        <v>0</v>
      </c>
      <c r="E311" s="53">
        <f t="shared" si="224"/>
        <v>0</v>
      </c>
      <c r="F311" s="54">
        <f t="shared" si="224"/>
        <v>0</v>
      </c>
      <c r="G311" s="53">
        <f t="shared" si="224"/>
        <v>0</v>
      </c>
      <c r="H311" s="54">
        <f t="shared" si="224"/>
        <v>0</v>
      </c>
      <c r="I311" s="53">
        <f t="shared" si="224"/>
        <v>0</v>
      </c>
      <c r="J311" s="54">
        <f t="shared" si="224"/>
        <v>0</v>
      </c>
      <c r="K311" s="53">
        <f t="shared" si="224"/>
        <v>0</v>
      </c>
      <c r="L311" s="54">
        <f t="shared" si="224"/>
        <v>0</v>
      </c>
      <c r="M311" s="53">
        <f t="shared" si="224"/>
        <v>0</v>
      </c>
      <c r="N311" s="54">
        <f t="shared" si="224"/>
        <v>0</v>
      </c>
      <c r="O311" s="55">
        <f>O310/O$7</f>
        <v>0</v>
      </c>
      <c r="P311" s="56"/>
      <c r="Q311" s="57"/>
      <c r="R311" s="57"/>
      <c r="S311" s="41"/>
    </row>
    <row r="312" spans="1:20">
      <c r="A312" s="181" t="s">
        <v>63</v>
      </c>
      <c r="B312" s="29" t="s">
        <v>55</v>
      </c>
      <c r="C312" s="30">
        <f>'2012 Actual Costs'!C312</f>
        <v>27.775872711062345</v>
      </c>
      <c r="D312" s="31">
        <f>'2012 Actual Costs'!D312</f>
        <v>16.975609756097562</v>
      </c>
      <c r="E312" s="30">
        <f>'2012 Actual Costs'!E312</f>
        <v>18.087350786135378</v>
      </c>
      <c r="F312" s="31">
        <f>'2012 Actual Costs'!F312</f>
        <v>20.358876236699643</v>
      </c>
      <c r="G312" s="30">
        <f>'2011 Actual Costs'!G312</f>
        <v>19.991011535196499</v>
      </c>
      <c r="H312" s="31">
        <f>'2011 Actual Costs'!H312</f>
        <v>22.621604951400556</v>
      </c>
      <c r="I312" s="30">
        <f>'2011 Actual Costs'!I312</f>
        <v>18.786092945996327</v>
      </c>
      <c r="J312" s="31">
        <f>'2011 Actual Costs'!J312</f>
        <v>22.052989004420901</v>
      </c>
      <c r="K312" s="30">
        <f>'2011 Actual Costs'!K312</f>
        <v>23.16246374863157</v>
      </c>
      <c r="L312" s="31">
        <f>'2011 Actual Costs'!L312</f>
        <v>22.655309506226544</v>
      </c>
      <c r="M312" s="30">
        <f>'2011 Actual Costs'!M312</f>
        <v>22.899787276087739</v>
      </c>
      <c r="N312" s="31">
        <f>'2011 Actual Costs'!N312</f>
        <v>23.057956638798355</v>
      </c>
      <c r="O312" s="32">
        <f>O313/O$7</f>
        <v>14.314004684213236</v>
      </c>
    </row>
    <row r="313" spans="1:20">
      <c r="A313" s="34" t="s">
        <v>64</v>
      </c>
      <c r="B313" s="35" t="s">
        <v>57</v>
      </c>
      <c r="C313" s="36">
        <f t="shared" ref="C313:N313" si="225">C$291*C312</f>
        <v>6202.9326983536594</v>
      </c>
      <c r="D313" s="37">
        <f t="shared" si="225"/>
        <v>3424.136556452002</v>
      </c>
      <c r="E313" s="36">
        <f t="shared" si="225"/>
        <v>4039.2833299969707</v>
      </c>
      <c r="F313" s="37">
        <f t="shared" si="225"/>
        <v>4399.8991182034688</v>
      </c>
      <c r="G313" s="36">
        <f t="shared" si="225"/>
        <v>4464.4105484919182</v>
      </c>
      <c r="H313" s="37">
        <f t="shared" si="225"/>
        <v>6984.1617779467724</v>
      </c>
      <c r="I313" s="36">
        <f t="shared" si="225"/>
        <v>5993.3243616151321</v>
      </c>
      <c r="J313" s="37">
        <f t="shared" si="225"/>
        <v>7035.5617118776427</v>
      </c>
      <c r="K313" s="36">
        <f t="shared" si="225"/>
        <v>5005.8020215925626</v>
      </c>
      <c r="L313" s="37">
        <f t="shared" si="225"/>
        <v>5059.403950664213</v>
      </c>
      <c r="M313" s="36">
        <f t="shared" si="225"/>
        <v>4949.0331721491439</v>
      </c>
      <c r="N313" s="37">
        <f t="shared" si="225"/>
        <v>5149.323467883677</v>
      </c>
      <c r="O313" s="38">
        <f>SUM(C313:N313)</f>
        <v>62707.272715227162</v>
      </c>
    </row>
    <row r="314" spans="1:20">
      <c r="A314" s="34"/>
      <c r="B314" s="35" t="s">
        <v>58</v>
      </c>
      <c r="C314" s="43">
        <f>'Price Changes'!D61</f>
        <v>0.3528</v>
      </c>
      <c r="D314" s="44">
        <f t="shared" ref="D314:N314" si="226">C314</f>
        <v>0.3528</v>
      </c>
      <c r="E314" s="43">
        <f t="shared" si="226"/>
        <v>0.3528</v>
      </c>
      <c r="F314" s="44">
        <f t="shared" si="226"/>
        <v>0.3528</v>
      </c>
      <c r="G314" s="43">
        <f t="shared" si="226"/>
        <v>0.3528</v>
      </c>
      <c r="H314" s="44">
        <f t="shared" si="226"/>
        <v>0.3528</v>
      </c>
      <c r="I314" s="43">
        <f t="shared" si="226"/>
        <v>0.3528</v>
      </c>
      <c r="J314" s="44">
        <f t="shared" si="226"/>
        <v>0.3528</v>
      </c>
      <c r="K314" s="43">
        <f t="shared" si="226"/>
        <v>0.3528</v>
      </c>
      <c r="L314" s="44">
        <f t="shared" si="226"/>
        <v>0.3528</v>
      </c>
      <c r="M314" s="43">
        <f t="shared" si="226"/>
        <v>0.3528</v>
      </c>
      <c r="N314" s="44">
        <f t="shared" si="226"/>
        <v>0.3528</v>
      </c>
      <c r="O314" s="45">
        <f>IF(O313=0,0,+O315/O313)</f>
        <v>0.3528</v>
      </c>
    </row>
    <row r="315" spans="1:20">
      <c r="A315" s="42"/>
      <c r="B315" s="35" t="s">
        <v>15</v>
      </c>
      <c r="C315" s="48">
        <f t="shared" ref="C315:N315" si="227">C313*C314</f>
        <v>2188.3946559791711</v>
      </c>
      <c r="D315" s="49">
        <f t="shared" si="227"/>
        <v>1208.0353771162663</v>
      </c>
      <c r="E315" s="48">
        <f t="shared" si="227"/>
        <v>1425.0591588229313</v>
      </c>
      <c r="F315" s="49">
        <f t="shared" si="227"/>
        <v>1552.2844089021837</v>
      </c>
      <c r="G315" s="48">
        <f t="shared" si="227"/>
        <v>1575.0440415079488</v>
      </c>
      <c r="H315" s="49">
        <f t="shared" si="227"/>
        <v>2464.0122752596212</v>
      </c>
      <c r="I315" s="48">
        <f t="shared" si="227"/>
        <v>2114.4448347778184</v>
      </c>
      <c r="J315" s="49">
        <f t="shared" si="227"/>
        <v>2482.1461719504323</v>
      </c>
      <c r="K315" s="48">
        <f t="shared" si="227"/>
        <v>1766.0469532178561</v>
      </c>
      <c r="L315" s="49">
        <f t="shared" si="227"/>
        <v>1784.9577137943343</v>
      </c>
      <c r="M315" s="48">
        <f t="shared" si="227"/>
        <v>1746.0189031342179</v>
      </c>
      <c r="N315" s="49">
        <f t="shared" si="227"/>
        <v>1816.6813194693614</v>
      </c>
      <c r="O315" s="50">
        <f>SUM(C315:N315)</f>
        <v>22123.125813932144</v>
      </c>
    </row>
    <row r="316" spans="1:20" ht="13.5" thickBot="1">
      <c r="A316" s="51"/>
      <c r="B316" s="52" t="s">
        <v>59</v>
      </c>
      <c r="C316" s="53">
        <f t="shared" ref="C316:N316" si="228">C315/C$291</f>
        <v>9.7993278924627969</v>
      </c>
      <c r="D316" s="54">
        <f t="shared" si="228"/>
        <v>5.9889951219512199</v>
      </c>
      <c r="E316" s="53">
        <f t="shared" si="228"/>
        <v>6.3812173573485609</v>
      </c>
      <c r="F316" s="54">
        <f t="shared" si="228"/>
        <v>7.1826115363076335</v>
      </c>
      <c r="G316" s="53">
        <f t="shared" si="228"/>
        <v>7.0528288696173247</v>
      </c>
      <c r="H316" s="54">
        <f t="shared" si="228"/>
        <v>7.9809022268541163</v>
      </c>
      <c r="I316" s="53">
        <f t="shared" si="228"/>
        <v>6.6277335913475035</v>
      </c>
      <c r="J316" s="54">
        <f t="shared" si="228"/>
        <v>7.7802945207596936</v>
      </c>
      <c r="K316" s="53">
        <f t="shared" si="228"/>
        <v>8.1717172105172171</v>
      </c>
      <c r="L316" s="54">
        <f t="shared" si="228"/>
        <v>7.9927931937967251</v>
      </c>
      <c r="M316" s="53">
        <f t="shared" si="228"/>
        <v>8.0790449510037536</v>
      </c>
      <c r="N316" s="54">
        <f t="shared" si="228"/>
        <v>8.1348471021680595</v>
      </c>
      <c r="O316" s="55">
        <f>O315/O$7</f>
        <v>5.0499808525904299</v>
      </c>
    </row>
    <row r="317" spans="1:20">
      <c r="A317" s="28" t="s">
        <v>65</v>
      </c>
      <c r="B317" s="29" t="s">
        <v>55</v>
      </c>
      <c r="C317" s="30">
        <f>'2012 Actual Costs'!C317</f>
        <v>0</v>
      </c>
      <c r="D317" s="31">
        <f>'2012 Actual Costs'!D317</f>
        <v>0</v>
      </c>
      <c r="E317" s="30">
        <f>'2012 Actual Costs'!E317</f>
        <v>0</v>
      </c>
      <c r="F317" s="31">
        <f>'2012 Actual Costs'!F317</f>
        <v>0</v>
      </c>
      <c r="G317" s="30">
        <f>'2011 Actual Costs'!G317</f>
        <v>0</v>
      </c>
      <c r="H317" s="31">
        <f>'2011 Actual Costs'!H317</f>
        <v>0</v>
      </c>
      <c r="I317" s="30">
        <f>'2011 Actual Costs'!I317</f>
        <v>0</v>
      </c>
      <c r="J317" s="31">
        <f>'2011 Actual Costs'!J317</f>
        <v>0</v>
      </c>
      <c r="K317" s="30">
        <f>'2011 Actual Costs'!K317</f>
        <v>0</v>
      </c>
      <c r="L317" s="31">
        <f>'2011 Actual Costs'!L317</f>
        <v>0</v>
      </c>
      <c r="M317" s="30">
        <f>'2011 Actual Costs'!M317</f>
        <v>0</v>
      </c>
      <c r="N317" s="31">
        <f>'2011 Actual Costs'!N317</f>
        <v>0</v>
      </c>
      <c r="O317" s="32">
        <f>O318/O$7</f>
        <v>0</v>
      </c>
    </row>
    <row r="318" spans="1:20">
      <c r="A318" s="34" t="s">
        <v>56</v>
      </c>
      <c r="B318" s="35" t="s">
        <v>57</v>
      </c>
      <c r="C318" s="36">
        <f t="shared" ref="C318:N318" si="229">C$291*C317</f>
        <v>0</v>
      </c>
      <c r="D318" s="37">
        <f t="shared" si="229"/>
        <v>0</v>
      </c>
      <c r="E318" s="36">
        <f t="shared" si="229"/>
        <v>0</v>
      </c>
      <c r="F318" s="37">
        <f t="shared" si="229"/>
        <v>0</v>
      </c>
      <c r="G318" s="36">
        <f t="shared" si="229"/>
        <v>0</v>
      </c>
      <c r="H318" s="37">
        <f t="shared" si="229"/>
        <v>0</v>
      </c>
      <c r="I318" s="36">
        <f t="shared" si="229"/>
        <v>0</v>
      </c>
      <c r="J318" s="37">
        <f t="shared" si="229"/>
        <v>0</v>
      </c>
      <c r="K318" s="36">
        <f t="shared" si="229"/>
        <v>0</v>
      </c>
      <c r="L318" s="37">
        <f t="shared" si="229"/>
        <v>0</v>
      </c>
      <c r="M318" s="36">
        <f t="shared" si="229"/>
        <v>0</v>
      </c>
      <c r="N318" s="37">
        <f t="shared" si="229"/>
        <v>0</v>
      </c>
      <c r="O318" s="38">
        <f>SUM(C318:N318)</f>
        <v>0</v>
      </c>
      <c r="P318" s="57"/>
      <c r="Q318" s="57"/>
      <c r="R318" s="57"/>
      <c r="S318" s="41"/>
      <c r="T318" s="8"/>
    </row>
    <row r="319" spans="1:20" ht="15.75">
      <c r="A319" s="42"/>
      <c r="B319" s="35" t="s">
        <v>58</v>
      </c>
      <c r="C319" s="43">
        <f>'Price Changes'!D62</f>
        <v>0</v>
      </c>
      <c r="D319" s="44">
        <f t="shared" ref="D319:N319" si="230">C319</f>
        <v>0</v>
      </c>
      <c r="E319" s="43">
        <f t="shared" si="230"/>
        <v>0</v>
      </c>
      <c r="F319" s="44">
        <f t="shared" si="230"/>
        <v>0</v>
      </c>
      <c r="G319" s="43">
        <f t="shared" si="230"/>
        <v>0</v>
      </c>
      <c r="H319" s="44">
        <f t="shared" si="230"/>
        <v>0</v>
      </c>
      <c r="I319" s="43">
        <f t="shared" si="230"/>
        <v>0</v>
      </c>
      <c r="J319" s="44">
        <f t="shared" si="230"/>
        <v>0</v>
      </c>
      <c r="K319" s="43">
        <f t="shared" si="230"/>
        <v>0</v>
      </c>
      <c r="L319" s="44">
        <f t="shared" si="230"/>
        <v>0</v>
      </c>
      <c r="M319" s="43">
        <f t="shared" si="230"/>
        <v>0</v>
      </c>
      <c r="N319" s="44">
        <f t="shared" si="230"/>
        <v>0</v>
      </c>
      <c r="O319" s="45">
        <f>IF(O318=0,0,+O320/O318)</f>
        <v>0</v>
      </c>
      <c r="P319" s="46"/>
      <c r="Q319" s="47"/>
      <c r="R319" s="47"/>
      <c r="S319" s="41"/>
      <c r="T319" s="8"/>
    </row>
    <row r="320" spans="1:20">
      <c r="A320" s="42"/>
      <c r="B320" s="35" t="s">
        <v>15</v>
      </c>
      <c r="C320" s="48">
        <f t="shared" ref="C320:N320" si="231">C318*C319</f>
        <v>0</v>
      </c>
      <c r="D320" s="49">
        <f t="shared" si="231"/>
        <v>0</v>
      </c>
      <c r="E320" s="48">
        <f t="shared" si="231"/>
        <v>0</v>
      </c>
      <c r="F320" s="49">
        <f t="shared" si="231"/>
        <v>0</v>
      </c>
      <c r="G320" s="48">
        <f t="shared" si="231"/>
        <v>0</v>
      </c>
      <c r="H320" s="49">
        <f t="shared" si="231"/>
        <v>0</v>
      </c>
      <c r="I320" s="48">
        <f t="shared" si="231"/>
        <v>0</v>
      </c>
      <c r="J320" s="49">
        <f t="shared" si="231"/>
        <v>0</v>
      </c>
      <c r="K320" s="48">
        <f t="shared" si="231"/>
        <v>0</v>
      </c>
      <c r="L320" s="49">
        <f t="shared" si="231"/>
        <v>0</v>
      </c>
      <c r="M320" s="48">
        <f t="shared" si="231"/>
        <v>0</v>
      </c>
      <c r="N320" s="49">
        <f t="shared" si="231"/>
        <v>0</v>
      </c>
      <c r="O320" s="50">
        <f>SUM(C320:N320)</f>
        <v>0</v>
      </c>
      <c r="P320" s="40"/>
      <c r="Q320" s="40"/>
      <c r="R320" s="40"/>
      <c r="S320" s="41"/>
    </row>
    <row r="321" spans="1:20" ht="16.5" thickBot="1">
      <c r="A321" s="51"/>
      <c r="B321" s="52" t="s">
        <v>59</v>
      </c>
      <c r="C321" s="53">
        <f t="shared" ref="C321:N321" si="232">C320/C$291</f>
        <v>0</v>
      </c>
      <c r="D321" s="54">
        <f t="shared" si="232"/>
        <v>0</v>
      </c>
      <c r="E321" s="53">
        <f t="shared" si="232"/>
        <v>0</v>
      </c>
      <c r="F321" s="54">
        <f t="shared" si="232"/>
        <v>0</v>
      </c>
      <c r="G321" s="53">
        <f t="shared" si="232"/>
        <v>0</v>
      </c>
      <c r="H321" s="54">
        <f t="shared" si="232"/>
        <v>0</v>
      </c>
      <c r="I321" s="53">
        <f t="shared" si="232"/>
        <v>0</v>
      </c>
      <c r="J321" s="54">
        <f t="shared" si="232"/>
        <v>0</v>
      </c>
      <c r="K321" s="53">
        <f t="shared" si="232"/>
        <v>0</v>
      </c>
      <c r="L321" s="54">
        <f t="shared" si="232"/>
        <v>0</v>
      </c>
      <c r="M321" s="53">
        <f t="shared" si="232"/>
        <v>0</v>
      </c>
      <c r="N321" s="54">
        <f t="shared" si="232"/>
        <v>0</v>
      </c>
      <c r="O321" s="55">
        <f>O320/O$7</f>
        <v>0</v>
      </c>
      <c r="P321" s="56"/>
      <c r="Q321" s="57"/>
      <c r="R321" s="57"/>
      <c r="S321" s="41"/>
    </row>
    <row r="322" spans="1:20">
      <c r="A322" s="28" t="s">
        <v>66</v>
      </c>
      <c r="B322" s="29" t="s">
        <v>55</v>
      </c>
      <c r="C322" s="30">
        <f>'2012 Actual Costs'!C322</f>
        <v>38.800493793292645</v>
      </c>
      <c r="D322" s="31">
        <f>'2012 Actual Costs'!D322</f>
        <v>37.794530672579455</v>
      </c>
      <c r="E322" s="30">
        <f>'2012 Actual Costs'!E322</f>
        <v>34.911027589311374</v>
      </c>
      <c r="F322" s="31">
        <f>'2012 Actual Costs'!F322</f>
        <v>34.365083068881837</v>
      </c>
      <c r="G322" s="30">
        <f>'2011 Actual Costs'!G322</f>
        <v>32.968801149635745</v>
      </c>
      <c r="H322" s="31">
        <f>'2011 Actual Costs'!H322</f>
        <v>34.795924878235532</v>
      </c>
      <c r="I322" s="30">
        <f>'2011 Actual Costs'!I322</f>
        <v>33.343369723706068</v>
      </c>
      <c r="J322" s="31">
        <f>'2011 Actual Costs'!J322</f>
        <v>38.252661301126352</v>
      </c>
      <c r="K322" s="30">
        <f>'2011 Actual Costs'!K322</f>
        <v>35.050991991088402</v>
      </c>
      <c r="L322" s="31">
        <f>'2011 Actual Costs'!L322</f>
        <v>35.877229365408546</v>
      </c>
      <c r="M322" s="30">
        <f>'2011 Actual Costs'!M322</f>
        <v>33.61154056284655</v>
      </c>
      <c r="N322" s="31">
        <f>'2011 Actual Costs'!N322</f>
        <v>37.245288366161255</v>
      </c>
      <c r="O322" s="32">
        <f>O323/O$7</f>
        <v>23.654714536643734</v>
      </c>
    </row>
    <row r="323" spans="1:20">
      <c r="A323" s="34" t="s">
        <v>64</v>
      </c>
      <c r="B323" s="35" t="s">
        <v>57</v>
      </c>
      <c r="C323" s="36">
        <f t="shared" ref="C323:N323" si="233">C$291*C322</f>
        <v>8664.9609236878587</v>
      </c>
      <c r="D323" s="37">
        <f t="shared" si="233"/>
        <v>7623.50430819965</v>
      </c>
      <c r="E323" s="36">
        <f t="shared" si="233"/>
        <v>7796.3618576283361</v>
      </c>
      <c r="F323" s="37">
        <f t="shared" si="233"/>
        <v>7426.8784255978908</v>
      </c>
      <c r="G323" s="36">
        <f t="shared" si="233"/>
        <v>7362.6221146652724</v>
      </c>
      <c r="H323" s="37">
        <f t="shared" si="233"/>
        <v>10742.843802859083</v>
      </c>
      <c r="I323" s="36">
        <f t="shared" si="233"/>
        <v>10637.530147321942</v>
      </c>
      <c r="J323" s="37">
        <f t="shared" si="233"/>
        <v>12203.740689013932</v>
      </c>
      <c r="K323" s="36">
        <f t="shared" si="233"/>
        <v>7575.1149995078167</v>
      </c>
      <c r="L323" s="37">
        <f t="shared" si="233"/>
        <v>8012.1349011076718</v>
      </c>
      <c r="M323" s="36">
        <f t="shared" si="233"/>
        <v>7264.0250849082495</v>
      </c>
      <c r="N323" s="37">
        <f t="shared" si="233"/>
        <v>8317.6510588652018</v>
      </c>
      <c r="O323" s="38">
        <f>SUM(C323:N323)</f>
        <v>103627.36831336291</v>
      </c>
      <c r="P323" s="57"/>
      <c r="Q323" s="57"/>
      <c r="R323" s="57"/>
      <c r="S323" s="41"/>
      <c r="T323" s="8"/>
    </row>
    <row r="324" spans="1:20" ht="15.75">
      <c r="A324" s="42"/>
      <c r="B324" s="35" t="s">
        <v>58</v>
      </c>
      <c r="C324" s="43">
        <f>'Price Changes'!D63</f>
        <v>0.2185</v>
      </c>
      <c r="D324" s="44">
        <f t="shared" ref="D324:N324" si="234">C324</f>
        <v>0.2185</v>
      </c>
      <c r="E324" s="43">
        <f t="shared" si="234"/>
        <v>0.2185</v>
      </c>
      <c r="F324" s="44">
        <f t="shared" si="234"/>
        <v>0.2185</v>
      </c>
      <c r="G324" s="43">
        <f t="shared" si="234"/>
        <v>0.2185</v>
      </c>
      <c r="H324" s="44">
        <f t="shared" si="234"/>
        <v>0.2185</v>
      </c>
      <c r="I324" s="43">
        <f t="shared" si="234"/>
        <v>0.2185</v>
      </c>
      <c r="J324" s="44">
        <f t="shared" si="234"/>
        <v>0.2185</v>
      </c>
      <c r="K324" s="43">
        <f t="shared" si="234"/>
        <v>0.2185</v>
      </c>
      <c r="L324" s="44">
        <f t="shared" si="234"/>
        <v>0.2185</v>
      </c>
      <c r="M324" s="43">
        <f t="shared" si="234"/>
        <v>0.2185</v>
      </c>
      <c r="N324" s="44">
        <f t="shared" si="234"/>
        <v>0.2185</v>
      </c>
      <c r="O324" s="45">
        <f>IF(O323=0,0,+O325/O323)</f>
        <v>0.2185</v>
      </c>
      <c r="P324" s="46"/>
      <c r="Q324" s="47"/>
      <c r="R324" s="47"/>
      <c r="S324" s="41"/>
      <c r="T324" s="8"/>
    </row>
    <row r="325" spans="1:20">
      <c r="A325" s="42"/>
      <c r="B325" s="35" t="s">
        <v>15</v>
      </c>
      <c r="C325" s="48">
        <f t="shared" ref="C325:N325" si="235">C323*C324</f>
        <v>1893.2939618257972</v>
      </c>
      <c r="D325" s="49">
        <f t="shared" si="235"/>
        <v>1665.7356913416236</v>
      </c>
      <c r="E325" s="48">
        <f t="shared" si="235"/>
        <v>1703.5050658917914</v>
      </c>
      <c r="F325" s="49">
        <f t="shared" si="235"/>
        <v>1622.7729359931391</v>
      </c>
      <c r="G325" s="48">
        <f t="shared" si="235"/>
        <v>1608.732932054362</v>
      </c>
      <c r="H325" s="49">
        <f t="shared" si="235"/>
        <v>2347.3113709247095</v>
      </c>
      <c r="I325" s="48">
        <f t="shared" si="235"/>
        <v>2324.3003371898444</v>
      </c>
      <c r="J325" s="49">
        <f t="shared" si="235"/>
        <v>2666.5173405495443</v>
      </c>
      <c r="K325" s="48">
        <f t="shared" si="235"/>
        <v>1655.162627392458</v>
      </c>
      <c r="L325" s="49">
        <f t="shared" si="235"/>
        <v>1750.6514758920264</v>
      </c>
      <c r="M325" s="48">
        <f t="shared" si="235"/>
        <v>1587.1894810524525</v>
      </c>
      <c r="N325" s="49">
        <f t="shared" si="235"/>
        <v>1817.4067563620465</v>
      </c>
      <c r="O325" s="50">
        <f>SUM(C325:N325)</f>
        <v>22642.579976469795</v>
      </c>
      <c r="P325" s="40"/>
      <c r="Q325" s="40"/>
      <c r="R325" s="40"/>
      <c r="S325" s="41"/>
    </row>
    <row r="326" spans="1:20" ht="16.5" thickBot="1">
      <c r="A326" s="51"/>
      <c r="B326" s="52" t="s">
        <v>59</v>
      </c>
      <c r="C326" s="53">
        <f t="shared" ref="C326:N326" si="236">C325/C$291</f>
        <v>8.477907893834443</v>
      </c>
      <c r="D326" s="54">
        <f t="shared" si="236"/>
        <v>8.2581049519586109</v>
      </c>
      <c r="E326" s="53">
        <f t="shared" si="236"/>
        <v>7.6280595282645347</v>
      </c>
      <c r="F326" s="54">
        <f t="shared" si="236"/>
        <v>7.508770650550681</v>
      </c>
      <c r="G326" s="53">
        <f t="shared" si="236"/>
        <v>7.2036830511954104</v>
      </c>
      <c r="H326" s="54">
        <f t="shared" si="236"/>
        <v>7.602909585894464</v>
      </c>
      <c r="I326" s="53">
        <f t="shared" si="236"/>
        <v>7.2855262846297766</v>
      </c>
      <c r="J326" s="54">
        <f t="shared" si="236"/>
        <v>8.358206494296109</v>
      </c>
      <c r="K326" s="53">
        <f t="shared" si="236"/>
        <v>7.6586417500528166</v>
      </c>
      <c r="L326" s="54">
        <f t="shared" si="236"/>
        <v>7.8391746163417677</v>
      </c>
      <c r="M326" s="53">
        <f t="shared" si="236"/>
        <v>7.3441216129819713</v>
      </c>
      <c r="N326" s="54">
        <f t="shared" si="236"/>
        <v>8.1380955080062343</v>
      </c>
      <c r="O326" s="55">
        <f>O325/O$7</f>
        <v>5.1685551262566554</v>
      </c>
      <c r="P326" s="56"/>
      <c r="Q326" s="57"/>
      <c r="R326" s="57"/>
      <c r="S326" s="41"/>
    </row>
    <row r="327" spans="1:20">
      <c r="A327" s="69" t="s">
        <v>67</v>
      </c>
      <c r="B327" s="29" t="s">
        <v>55</v>
      </c>
      <c r="C327" s="30">
        <f>'2012 Actual Costs'!C327</f>
        <v>422.36472121253689</v>
      </c>
      <c r="D327" s="31">
        <f>'2012 Actual Costs'!D327</f>
        <v>215.14264597191428</v>
      </c>
      <c r="E327" s="30">
        <f>'2012 Actual Costs'!E327</f>
        <v>412.13669372989909</v>
      </c>
      <c r="F327" s="31">
        <f>'2012 Actual Costs'!F327</f>
        <v>490.19973865969757</v>
      </c>
      <c r="G327" s="30">
        <f>'2011 Actual Costs'!G327</f>
        <v>465.76338143826536</v>
      </c>
      <c r="H327" s="31">
        <f>'2011 Actual Costs'!H327</f>
        <v>324.45711125763023</v>
      </c>
      <c r="I327" s="30">
        <f>'2011 Actual Costs'!I327</f>
        <v>523.33460761660535</v>
      </c>
      <c r="J327" s="31">
        <f>'2011 Actual Costs'!J327</f>
        <v>533.34913454040816</v>
      </c>
      <c r="K327" s="30">
        <f>'2011 Actual Costs'!K327</f>
        <v>706.3495112067144</v>
      </c>
      <c r="L327" s="31">
        <f>'2011 Actual Costs'!L327</f>
        <v>347.38141242880698</v>
      </c>
      <c r="M327" s="30">
        <f>'2011 Actual Costs'!M327</f>
        <v>441.4718634847199</v>
      </c>
      <c r="N327" s="31">
        <f>'2011 Actual Costs'!N327</f>
        <v>398.25421567238203</v>
      </c>
      <c r="O327" s="32">
        <f>O328/O$7</f>
        <v>294.82490070746042</v>
      </c>
    </row>
    <row r="328" spans="1:20">
      <c r="A328" s="34" t="s">
        <v>64</v>
      </c>
      <c r="B328" s="35" t="s">
        <v>57</v>
      </c>
      <c r="C328" s="36">
        <f t="shared" ref="C328:N328" si="237">C$291*C327</f>
        <v>94322.866722990148</v>
      </c>
      <c r="D328" s="37">
        <f t="shared" si="237"/>
        <v>43396.249649272911</v>
      </c>
      <c r="E328" s="36">
        <f t="shared" si="237"/>
        <v>92038.734491694093</v>
      </c>
      <c r="F328" s="37">
        <f t="shared" si="237"/>
        <v>105940.49361056559</v>
      </c>
      <c r="G328" s="36">
        <f t="shared" si="237"/>
        <v>104014.69428064226</v>
      </c>
      <c r="H328" s="37">
        <f t="shared" si="237"/>
        <v>100172.42189035166</v>
      </c>
      <c r="I328" s="36">
        <f t="shared" si="237"/>
        <v>166959.35989038891</v>
      </c>
      <c r="J328" s="37">
        <f t="shared" si="237"/>
        <v>170154.29288444019</v>
      </c>
      <c r="K328" s="36">
        <f t="shared" si="237"/>
        <v>152654.13254487602</v>
      </c>
      <c r="L328" s="37">
        <f t="shared" si="237"/>
        <v>77577.527243517921</v>
      </c>
      <c r="M328" s="36">
        <f t="shared" si="237"/>
        <v>95409.571740338215</v>
      </c>
      <c r="N328" s="37">
        <f t="shared" si="237"/>
        <v>88938.487094504162</v>
      </c>
      <c r="O328" s="38">
        <f>SUM(C328:N328)</f>
        <v>1291578.8320435819</v>
      </c>
    </row>
    <row r="329" spans="1:20">
      <c r="A329" s="42"/>
      <c r="B329" s="35" t="s">
        <v>58</v>
      </c>
      <c r="C329" s="43">
        <f>'Price Changes'!D64</f>
        <v>0.15654999999999999</v>
      </c>
      <c r="D329" s="44">
        <f t="shared" ref="D329:N329" si="238">C329</f>
        <v>0.15654999999999999</v>
      </c>
      <c r="E329" s="43">
        <f t="shared" si="238"/>
        <v>0.15654999999999999</v>
      </c>
      <c r="F329" s="44">
        <f t="shared" si="238"/>
        <v>0.15654999999999999</v>
      </c>
      <c r="G329" s="43">
        <f t="shared" si="238"/>
        <v>0.15654999999999999</v>
      </c>
      <c r="H329" s="44">
        <f t="shared" si="238"/>
        <v>0.15654999999999999</v>
      </c>
      <c r="I329" s="43">
        <f t="shared" si="238"/>
        <v>0.15654999999999999</v>
      </c>
      <c r="J329" s="44">
        <f t="shared" si="238"/>
        <v>0.15654999999999999</v>
      </c>
      <c r="K329" s="43">
        <f t="shared" si="238"/>
        <v>0.15654999999999999</v>
      </c>
      <c r="L329" s="44">
        <f t="shared" si="238"/>
        <v>0.15654999999999999</v>
      </c>
      <c r="M329" s="43">
        <f t="shared" si="238"/>
        <v>0.15654999999999999</v>
      </c>
      <c r="N329" s="44">
        <f t="shared" si="238"/>
        <v>0.15654999999999999</v>
      </c>
      <c r="O329" s="45">
        <f>IF(O328=0,0,+O330/O328)</f>
        <v>0.15655000000000002</v>
      </c>
    </row>
    <row r="330" spans="1:20">
      <c r="A330" s="42"/>
      <c r="B330" s="35" t="s">
        <v>15</v>
      </c>
      <c r="C330" s="48">
        <f t="shared" ref="C330:N330" si="239">C328*C329</f>
        <v>14766.244785484107</v>
      </c>
      <c r="D330" s="49">
        <f t="shared" si="239"/>
        <v>6793.6828825936736</v>
      </c>
      <c r="E330" s="48">
        <f t="shared" si="239"/>
        <v>14408.66388467471</v>
      </c>
      <c r="F330" s="49">
        <f t="shared" si="239"/>
        <v>16584.984274734044</v>
      </c>
      <c r="G330" s="48">
        <f t="shared" si="239"/>
        <v>16283.500389634544</v>
      </c>
      <c r="H330" s="49">
        <f t="shared" si="239"/>
        <v>15681.992646934552</v>
      </c>
      <c r="I330" s="48">
        <f t="shared" si="239"/>
        <v>26137.487790840383</v>
      </c>
      <c r="J330" s="49">
        <f t="shared" si="239"/>
        <v>26637.65455105911</v>
      </c>
      <c r="K330" s="48">
        <f t="shared" si="239"/>
        <v>23898.004449900342</v>
      </c>
      <c r="L330" s="49">
        <f t="shared" si="239"/>
        <v>12144.761889972729</v>
      </c>
      <c r="M330" s="48">
        <f t="shared" si="239"/>
        <v>14936.368455949947</v>
      </c>
      <c r="N330" s="49">
        <f t="shared" si="239"/>
        <v>13923.320154644625</v>
      </c>
      <c r="O330" s="50">
        <f>SUM(C330:N330)</f>
        <v>202196.66615642278</v>
      </c>
    </row>
    <row r="331" spans="1:20" ht="13.5" thickBot="1">
      <c r="A331" s="51"/>
      <c r="B331" s="52" t="s">
        <v>59</v>
      </c>
      <c r="C331" s="53">
        <f t="shared" ref="C331:N331" si="240">C330/C$291</f>
        <v>66.121197105822645</v>
      </c>
      <c r="D331" s="54">
        <f t="shared" si="240"/>
        <v>33.680581226903172</v>
      </c>
      <c r="E331" s="53">
        <f t="shared" si="240"/>
        <v>64.519999403415696</v>
      </c>
      <c r="F331" s="54">
        <f t="shared" si="240"/>
        <v>76.74076908717565</v>
      </c>
      <c r="G331" s="53">
        <f t="shared" si="240"/>
        <v>72.915257364160439</v>
      </c>
      <c r="H331" s="54">
        <f t="shared" si="240"/>
        <v>50.793760767382011</v>
      </c>
      <c r="I331" s="53">
        <f t="shared" si="240"/>
        <v>81.928032822379578</v>
      </c>
      <c r="J331" s="54">
        <f t="shared" si="240"/>
        <v>83.495807012300887</v>
      </c>
      <c r="K331" s="53">
        <f t="shared" si="240"/>
        <v>110.57901597941114</v>
      </c>
      <c r="L331" s="54">
        <f t="shared" si="240"/>
        <v>54.382560115729724</v>
      </c>
      <c r="M331" s="53">
        <f t="shared" si="240"/>
        <v>69.112420228532898</v>
      </c>
      <c r="N331" s="54">
        <f t="shared" si="240"/>
        <v>62.346697463511397</v>
      </c>
      <c r="O331" s="55">
        <f>O330/O$7</f>
        <v>46.154838205752938</v>
      </c>
    </row>
    <row r="332" spans="1:20">
      <c r="A332" s="28" t="s">
        <v>68</v>
      </c>
      <c r="B332" s="29" t="s">
        <v>55</v>
      </c>
      <c r="C332" s="30">
        <f>'2012 Actual Costs'!C332</f>
        <v>0.16002560409665548</v>
      </c>
      <c r="D332" s="31">
        <f>'2012 Actual Costs'!D332</f>
        <v>1.188470066518847</v>
      </c>
      <c r="E332" s="30">
        <f>'2012 Actual Costs'!E332</f>
        <v>1.1389336327101738</v>
      </c>
      <c r="F332" s="31">
        <f>'2012 Actual Costs'!F332</f>
        <v>0</v>
      </c>
      <c r="G332" s="30">
        <f>'2011 Actual Costs'!G332</f>
        <v>0</v>
      </c>
      <c r="H332" s="31">
        <f>'2011 Actual Costs'!H332</f>
        <v>0.12335963587638513</v>
      </c>
      <c r="I332" s="30">
        <f>'2011 Actual Costs'!I332</f>
        <v>0</v>
      </c>
      <c r="J332" s="31">
        <f>'2011 Actual Costs'!J332</f>
        <v>0</v>
      </c>
      <c r="K332" s="30">
        <f>'2011 Actual Costs'!K332</f>
        <v>0</v>
      </c>
      <c r="L332" s="31">
        <f>'2011 Actual Costs'!L332</f>
        <v>0.11127859101071309</v>
      </c>
      <c r="M332" s="30">
        <f>'2011 Actual Costs'!M332</f>
        <v>0</v>
      </c>
      <c r="N332" s="31">
        <f>'2011 Actual Costs'!N332</f>
        <v>0.23806149922063199</v>
      </c>
      <c r="O332" s="32">
        <f>O333/O$7</f>
        <v>0.14744017956917196</v>
      </c>
    </row>
    <row r="333" spans="1:20">
      <c r="A333" s="34" t="s">
        <v>64</v>
      </c>
      <c r="B333" s="35" t="s">
        <v>57</v>
      </c>
      <c r="C333" s="36">
        <f t="shared" ref="C333:N333" si="241">C$291*C332</f>
        <v>35.737060813560177</v>
      </c>
      <c r="D333" s="37">
        <f t="shared" si="241"/>
        <v>239.72533885296144</v>
      </c>
      <c r="E333" s="36">
        <f t="shared" si="241"/>
        <v>254.34767595183325</v>
      </c>
      <c r="F333" s="37">
        <f t="shared" si="241"/>
        <v>0</v>
      </c>
      <c r="G333" s="36">
        <f t="shared" si="241"/>
        <v>0</v>
      </c>
      <c r="H333" s="37">
        <f t="shared" si="241"/>
        <v>38.085876562703348</v>
      </c>
      <c r="I333" s="36">
        <f t="shared" si="241"/>
        <v>0</v>
      </c>
      <c r="J333" s="37">
        <f t="shared" si="241"/>
        <v>0</v>
      </c>
      <c r="K333" s="36">
        <f t="shared" si="241"/>
        <v>0</v>
      </c>
      <c r="L333" s="37">
        <f t="shared" si="241"/>
        <v>24.850834318957954</v>
      </c>
      <c r="M333" s="36">
        <f t="shared" si="241"/>
        <v>0</v>
      </c>
      <c r="N333" s="37">
        <f t="shared" si="241"/>
        <v>53.164106600568942</v>
      </c>
      <c r="O333" s="38">
        <f>SUM(C333:N333)</f>
        <v>645.9108931005851</v>
      </c>
      <c r="P333" s="68"/>
      <c r="Q333" s="68"/>
      <c r="R333" s="33"/>
      <c r="S333" s="41"/>
    </row>
    <row r="334" spans="1:20" ht="15.75">
      <c r="A334" s="42"/>
      <c r="B334" s="35" t="s">
        <v>58</v>
      </c>
      <c r="C334" s="43">
        <f>'Price Changes'!D65</f>
        <v>0.82500000000000007</v>
      </c>
      <c r="D334" s="44">
        <f t="shared" ref="D334:N334" si="242">C334</f>
        <v>0.82500000000000007</v>
      </c>
      <c r="E334" s="43">
        <f t="shared" si="242"/>
        <v>0.82500000000000007</v>
      </c>
      <c r="F334" s="44">
        <f t="shared" si="242"/>
        <v>0.82500000000000007</v>
      </c>
      <c r="G334" s="43">
        <f t="shared" si="242"/>
        <v>0.82500000000000007</v>
      </c>
      <c r="H334" s="44">
        <f t="shared" si="242"/>
        <v>0.82500000000000007</v>
      </c>
      <c r="I334" s="43">
        <f t="shared" si="242"/>
        <v>0.82500000000000007</v>
      </c>
      <c r="J334" s="44">
        <f t="shared" si="242"/>
        <v>0.82500000000000007</v>
      </c>
      <c r="K334" s="43">
        <f t="shared" si="242"/>
        <v>0.82500000000000007</v>
      </c>
      <c r="L334" s="44">
        <f t="shared" si="242"/>
        <v>0.82500000000000007</v>
      </c>
      <c r="M334" s="43">
        <f t="shared" si="242"/>
        <v>0.82500000000000007</v>
      </c>
      <c r="N334" s="44">
        <f t="shared" si="242"/>
        <v>0.82500000000000007</v>
      </c>
      <c r="O334" s="45">
        <f>IF(O333=0,0,+O335/O333)</f>
        <v>0.82500000000000018</v>
      </c>
      <c r="P334" s="80"/>
      <c r="Q334" s="46"/>
      <c r="R334" s="47"/>
      <c r="S334" s="41"/>
    </row>
    <row r="335" spans="1:20">
      <c r="A335" s="42"/>
      <c r="B335" s="35" t="s">
        <v>15</v>
      </c>
      <c r="C335" s="48">
        <f t="shared" ref="C335:N335" si="243">C333*C334</f>
        <v>29.483075171187149</v>
      </c>
      <c r="D335" s="49">
        <f t="shared" si="243"/>
        <v>197.77340455369321</v>
      </c>
      <c r="E335" s="48">
        <f t="shared" si="243"/>
        <v>209.83683266026244</v>
      </c>
      <c r="F335" s="49">
        <f t="shared" si="243"/>
        <v>0</v>
      </c>
      <c r="G335" s="48">
        <f t="shared" si="243"/>
        <v>0</v>
      </c>
      <c r="H335" s="49">
        <f t="shared" si="243"/>
        <v>31.420848164230264</v>
      </c>
      <c r="I335" s="48">
        <f t="shared" si="243"/>
        <v>0</v>
      </c>
      <c r="J335" s="49">
        <f t="shared" si="243"/>
        <v>0</v>
      </c>
      <c r="K335" s="48">
        <f t="shared" si="243"/>
        <v>0</v>
      </c>
      <c r="L335" s="49">
        <f t="shared" si="243"/>
        <v>20.501938313140315</v>
      </c>
      <c r="M335" s="48">
        <f t="shared" si="243"/>
        <v>0</v>
      </c>
      <c r="N335" s="49">
        <f t="shared" si="243"/>
        <v>43.860387945469384</v>
      </c>
      <c r="O335" s="50">
        <f>SUM(C335:N335)</f>
        <v>532.87648680798281</v>
      </c>
      <c r="P335" s="40"/>
      <c r="Q335" s="40"/>
      <c r="R335" s="40"/>
      <c r="S335" s="41"/>
    </row>
    <row r="336" spans="1:20" ht="16.5" thickBot="1">
      <c r="A336" s="51"/>
      <c r="B336" s="52" t="s">
        <v>59</v>
      </c>
      <c r="C336" s="53">
        <f t="shared" ref="C336:N336" si="244">C335/C$291</f>
        <v>0.13202112337974078</v>
      </c>
      <c r="D336" s="54">
        <f t="shared" si="244"/>
        <v>0.98048780487804887</v>
      </c>
      <c r="E336" s="53">
        <f t="shared" si="244"/>
        <v>0.93962024698589341</v>
      </c>
      <c r="F336" s="54">
        <f t="shared" si="244"/>
        <v>0</v>
      </c>
      <c r="G336" s="53">
        <f t="shared" si="244"/>
        <v>0</v>
      </c>
      <c r="H336" s="54">
        <f t="shared" si="244"/>
        <v>0.10177169959801774</v>
      </c>
      <c r="I336" s="53">
        <f t="shared" si="244"/>
        <v>0</v>
      </c>
      <c r="J336" s="54">
        <f t="shared" si="244"/>
        <v>0</v>
      </c>
      <c r="K336" s="53">
        <f t="shared" si="244"/>
        <v>0</v>
      </c>
      <c r="L336" s="54">
        <f t="shared" si="244"/>
        <v>9.1804837583838311E-2</v>
      </c>
      <c r="M336" s="53">
        <f t="shared" si="244"/>
        <v>0</v>
      </c>
      <c r="N336" s="54">
        <f t="shared" si="244"/>
        <v>0.19640073685702142</v>
      </c>
      <c r="O336" s="55">
        <f>O335/O$7</f>
        <v>0.12163814814456689</v>
      </c>
      <c r="P336" s="80"/>
      <c r="Q336" s="56"/>
      <c r="R336" s="57"/>
      <c r="S336" s="41"/>
    </row>
    <row r="337" spans="1:19">
      <c r="A337" s="28" t="s">
        <v>69</v>
      </c>
      <c r="B337" s="29" t="s">
        <v>55</v>
      </c>
      <c r="C337" s="30">
        <f>'2012 Actual Costs'!C337</f>
        <v>0</v>
      </c>
      <c r="D337" s="31">
        <f>'2012 Actual Costs'!D337</f>
        <v>0</v>
      </c>
      <c r="E337" s="30">
        <f>'2012 Actual Costs'!E337</f>
        <v>0</v>
      </c>
      <c r="F337" s="31">
        <f>'2012 Actual Costs'!F337</f>
        <v>0</v>
      </c>
      <c r="G337" s="30">
        <f>'2011 Actual Costs'!G337</f>
        <v>1.4304235489080366</v>
      </c>
      <c r="H337" s="31">
        <f>'2011 Actual Costs'!H337</f>
        <v>0</v>
      </c>
      <c r="I337" s="30">
        <f>'2011 Actual Costs'!I337</f>
        <v>1.0205645189805241</v>
      </c>
      <c r="J337" s="31">
        <f>'2011 Actual Costs'!J337</f>
        <v>0.77893141958235113</v>
      </c>
      <c r="K337" s="30">
        <f>'2011 Actual Costs'!K337</f>
        <v>1.1599781803100637</v>
      </c>
      <c r="L337" s="31">
        <f>'2011 Actual Costs'!L337</f>
        <v>0</v>
      </c>
      <c r="M337" s="30">
        <f>'2011 Actual Costs'!M337</f>
        <v>0</v>
      </c>
      <c r="N337" s="31">
        <f>'2011 Actual Costs'!N337</f>
        <v>0.16437579708091257</v>
      </c>
      <c r="O337" s="32">
        <f>O338/O$7</f>
        <v>0.26956876977678201</v>
      </c>
    </row>
    <row r="338" spans="1:19">
      <c r="A338" s="34" t="s">
        <v>56</v>
      </c>
      <c r="B338" s="35" t="s">
        <v>57</v>
      </c>
      <c r="C338" s="36">
        <f t="shared" ref="C338:N338" si="245">C$291*C337</f>
        <v>0</v>
      </c>
      <c r="D338" s="37">
        <f t="shared" si="245"/>
        <v>0</v>
      </c>
      <c r="E338" s="36">
        <f t="shared" si="245"/>
        <v>0</v>
      </c>
      <c r="F338" s="37">
        <f t="shared" si="245"/>
        <v>0</v>
      </c>
      <c r="G338" s="36">
        <f t="shared" si="245"/>
        <v>319.44346434461266</v>
      </c>
      <c r="H338" s="37">
        <f t="shared" si="245"/>
        <v>0</v>
      </c>
      <c r="I338" s="36">
        <f t="shared" si="245"/>
        <v>325.59054252467979</v>
      </c>
      <c r="J338" s="37">
        <f t="shared" si="245"/>
        <v>248.50237175076288</v>
      </c>
      <c r="K338" s="36">
        <f t="shared" si="245"/>
        <v>250.69099656302464</v>
      </c>
      <c r="L338" s="37">
        <f t="shared" si="245"/>
        <v>0</v>
      </c>
      <c r="M338" s="36">
        <f t="shared" si="245"/>
        <v>0</v>
      </c>
      <c r="N338" s="37">
        <f t="shared" si="245"/>
        <v>36.708549795630937</v>
      </c>
      <c r="O338" s="38">
        <f>SUM(C338:N338)</f>
        <v>1180.9359249787108</v>
      </c>
      <c r="P338" s="39"/>
      <c r="Q338" s="39"/>
      <c r="R338" s="39"/>
      <c r="S338" s="41"/>
    </row>
    <row r="339" spans="1:19" ht="15.75">
      <c r="A339" s="42"/>
      <c r="B339" s="35" t="s">
        <v>58</v>
      </c>
      <c r="C339" s="43">
        <f>'Price Changes'!D66</f>
        <v>0</v>
      </c>
      <c r="D339" s="44">
        <f t="shared" ref="D339:N339" si="246">C339</f>
        <v>0</v>
      </c>
      <c r="E339" s="43">
        <f t="shared" si="246"/>
        <v>0</v>
      </c>
      <c r="F339" s="44">
        <f t="shared" si="246"/>
        <v>0</v>
      </c>
      <c r="G339" s="43">
        <f t="shared" si="246"/>
        <v>0</v>
      </c>
      <c r="H339" s="44">
        <f t="shared" si="246"/>
        <v>0</v>
      </c>
      <c r="I339" s="43">
        <f t="shared" si="246"/>
        <v>0</v>
      </c>
      <c r="J339" s="44">
        <f t="shared" si="246"/>
        <v>0</v>
      </c>
      <c r="K339" s="43">
        <f t="shared" si="246"/>
        <v>0</v>
      </c>
      <c r="L339" s="44">
        <f t="shared" si="246"/>
        <v>0</v>
      </c>
      <c r="M339" s="43">
        <f t="shared" si="246"/>
        <v>0</v>
      </c>
      <c r="N339" s="44">
        <f t="shared" si="246"/>
        <v>0</v>
      </c>
      <c r="O339" s="45">
        <f>IF(O338=0,0,+O340/O338)</f>
        <v>0</v>
      </c>
      <c r="P339" s="46"/>
      <c r="Q339" s="47"/>
      <c r="R339" s="47"/>
      <c r="S339" s="41"/>
    </row>
    <row r="340" spans="1:19">
      <c r="A340" s="42"/>
      <c r="B340" s="35" t="s">
        <v>15</v>
      </c>
      <c r="C340" s="48">
        <f t="shared" ref="C340:N340" si="247">C338*C339</f>
        <v>0</v>
      </c>
      <c r="D340" s="49">
        <f t="shared" si="247"/>
        <v>0</v>
      </c>
      <c r="E340" s="48">
        <f t="shared" si="247"/>
        <v>0</v>
      </c>
      <c r="F340" s="49">
        <f t="shared" si="247"/>
        <v>0</v>
      </c>
      <c r="G340" s="48">
        <f t="shared" si="247"/>
        <v>0</v>
      </c>
      <c r="H340" s="49">
        <f t="shared" si="247"/>
        <v>0</v>
      </c>
      <c r="I340" s="48">
        <f t="shared" si="247"/>
        <v>0</v>
      </c>
      <c r="J340" s="49">
        <f t="shared" si="247"/>
        <v>0</v>
      </c>
      <c r="K340" s="48">
        <f t="shared" si="247"/>
        <v>0</v>
      </c>
      <c r="L340" s="49">
        <f t="shared" si="247"/>
        <v>0</v>
      </c>
      <c r="M340" s="48">
        <f t="shared" si="247"/>
        <v>0</v>
      </c>
      <c r="N340" s="49">
        <f t="shared" si="247"/>
        <v>0</v>
      </c>
      <c r="O340" s="50">
        <f>SUM(C340:N340)</f>
        <v>0</v>
      </c>
      <c r="P340" s="40"/>
      <c r="Q340" s="40"/>
      <c r="R340" s="40"/>
      <c r="S340" s="41"/>
    </row>
    <row r="341" spans="1:19" ht="16.5" thickBot="1">
      <c r="A341" s="51"/>
      <c r="B341" s="52" t="s">
        <v>59</v>
      </c>
      <c r="C341" s="53">
        <f t="shared" ref="C341:N341" si="248">C340/C$291</f>
        <v>0</v>
      </c>
      <c r="D341" s="54">
        <f t="shared" si="248"/>
        <v>0</v>
      </c>
      <c r="E341" s="53">
        <f t="shared" si="248"/>
        <v>0</v>
      </c>
      <c r="F341" s="54">
        <f t="shared" si="248"/>
        <v>0</v>
      </c>
      <c r="G341" s="53">
        <f t="shared" si="248"/>
        <v>0</v>
      </c>
      <c r="H341" s="54">
        <f t="shared" si="248"/>
        <v>0</v>
      </c>
      <c r="I341" s="53">
        <f t="shared" si="248"/>
        <v>0</v>
      </c>
      <c r="J341" s="54">
        <f t="shared" si="248"/>
        <v>0</v>
      </c>
      <c r="K341" s="53">
        <f t="shared" si="248"/>
        <v>0</v>
      </c>
      <c r="L341" s="54">
        <f t="shared" si="248"/>
        <v>0</v>
      </c>
      <c r="M341" s="53">
        <f t="shared" si="248"/>
        <v>0</v>
      </c>
      <c r="N341" s="54">
        <f t="shared" si="248"/>
        <v>0</v>
      </c>
      <c r="O341" s="55">
        <f>O340/O$7</f>
        <v>0</v>
      </c>
      <c r="P341" s="56"/>
      <c r="Q341" s="57"/>
      <c r="R341" s="57"/>
      <c r="S341" s="41"/>
    </row>
    <row r="342" spans="1:19">
      <c r="A342" s="28" t="s">
        <v>70</v>
      </c>
      <c r="B342" s="29" t="s">
        <v>55</v>
      </c>
      <c r="C342" s="30">
        <f>'2012 Actual Costs'!C342</f>
        <v>3.7491712959787855</v>
      </c>
      <c r="D342" s="31">
        <f>'2012 Actual Costs'!D342</f>
        <v>0</v>
      </c>
      <c r="E342" s="30">
        <f>'2012 Actual Costs'!E342</f>
        <v>0</v>
      </c>
      <c r="F342" s="31">
        <f>'2012 Actual Costs'!F342</f>
        <v>0</v>
      </c>
      <c r="G342" s="30">
        <f>'2011 Actual Costs'!G342</f>
        <v>5.5040475833791085</v>
      </c>
      <c r="H342" s="31">
        <f>'2011 Actual Costs'!H342</f>
        <v>6.3296254546227955</v>
      </c>
      <c r="I342" s="30">
        <f>'2011 Actual Costs'!I342</f>
        <v>7.6490826851967748</v>
      </c>
      <c r="J342" s="31">
        <f>'2011 Actual Costs'!J342</f>
        <v>12.115403772366436</v>
      </c>
      <c r="K342" s="30">
        <f>'2011 Actual Costs'!K342</f>
        <v>6.3475906044135444</v>
      </c>
      <c r="L342" s="31">
        <f>'2011 Actual Costs'!L342</f>
        <v>0.88517061031249056</v>
      </c>
      <c r="M342" s="30">
        <f>'2011 Actual Costs'!M342</f>
        <v>8.5612656491566597</v>
      </c>
      <c r="N342" s="31">
        <f>'2011 Actual Costs'!N342</f>
        <v>5.6227858863539746</v>
      </c>
      <c r="O342" s="32">
        <f>O343/O$7</f>
        <v>3.4243522715456196</v>
      </c>
      <c r="P342" s="9"/>
      <c r="Q342" s="9"/>
      <c r="R342" s="9"/>
      <c r="S342" s="70"/>
    </row>
    <row r="343" spans="1:19">
      <c r="A343" s="34" t="s">
        <v>71</v>
      </c>
      <c r="B343" s="35" t="s">
        <v>57</v>
      </c>
      <c r="C343" s="65">
        <f t="shared" ref="C343:N343" si="249">C$291*C342</f>
        <v>837.2682819176955</v>
      </c>
      <c r="D343" s="66">
        <f t="shared" si="249"/>
        <v>0</v>
      </c>
      <c r="E343" s="65">
        <f t="shared" si="249"/>
        <v>0</v>
      </c>
      <c r="F343" s="66">
        <f t="shared" si="249"/>
        <v>0</v>
      </c>
      <c r="G343" s="65">
        <f t="shared" si="249"/>
        <v>1229.1688215664676</v>
      </c>
      <c r="H343" s="66">
        <f t="shared" si="249"/>
        <v>1954.1994594931923</v>
      </c>
      <c r="I343" s="65">
        <f t="shared" si="249"/>
        <v>2440.2856801029734</v>
      </c>
      <c r="J343" s="66">
        <f t="shared" si="249"/>
        <v>3865.1754139863624</v>
      </c>
      <c r="K343" s="65">
        <f t="shared" si="249"/>
        <v>1371.8221958012787</v>
      </c>
      <c r="L343" s="66">
        <f t="shared" si="249"/>
        <v>197.67709117352919</v>
      </c>
      <c r="M343" s="65">
        <f t="shared" si="249"/>
        <v>1850.2349905014439</v>
      </c>
      <c r="N343" s="66">
        <f t="shared" si="249"/>
        <v>1255.6855654229616</v>
      </c>
      <c r="O343" s="67">
        <f>SUM(C343:N343)</f>
        <v>15001.517499965905</v>
      </c>
      <c r="P343" s="15"/>
      <c r="Q343" s="15"/>
      <c r="R343" s="15"/>
      <c r="S343" s="71"/>
    </row>
    <row r="344" spans="1:19" ht="15.75">
      <c r="A344" s="34" t="s">
        <v>56</v>
      </c>
      <c r="B344" s="35" t="s">
        <v>58</v>
      </c>
      <c r="C344" s="43">
        <f>'Price Changes'!D67</f>
        <v>2.5653999999999999</v>
      </c>
      <c r="D344" s="44">
        <f t="shared" ref="D344:N344" si="250">C344</f>
        <v>2.5653999999999999</v>
      </c>
      <c r="E344" s="43">
        <f t="shared" si="250"/>
        <v>2.5653999999999999</v>
      </c>
      <c r="F344" s="44">
        <f t="shared" si="250"/>
        <v>2.5653999999999999</v>
      </c>
      <c r="G344" s="43">
        <f t="shared" si="250"/>
        <v>2.5653999999999999</v>
      </c>
      <c r="H344" s="44">
        <f t="shared" si="250"/>
        <v>2.5653999999999999</v>
      </c>
      <c r="I344" s="43">
        <f t="shared" si="250"/>
        <v>2.5653999999999999</v>
      </c>
      <c r="J344" s="44">
        <f t="shared" si="250"/>
        <v>2.5653999999999999</v>
      </c>
      <c r="K344" s="43">
        <f t="shared" si="250"/>
        <v>2.5653999999999999</v>
      </c>
      <c r="L344" s="44">
        <f t="shared" si="250"/>
        <v>2.5653999999999999</v>
      </c>
      <c r="M344" s="43">
        <f t="shared" si="250"/>
        <v>2.5653999999999999</v>
      </c>
      <c r="N344" s="44">
        <f t="shared" si="250"/>
        <v>2.5653999999999999</v>
      </c>
      <c r="O344" s="45">
        <f>IF(O343=0,0,+O345/O343)</f>
        <v>2.5653999999999999</v>
      </c>
      <c r="P344" s="15"/>
      <c r="Q344" s="72"/>
      <c r="R344" s="15"/>
      <c r="S344" s="15"/>
    </row>
    <row r="345" spans="1:19">
      <c r="A345" s="42"/>
      <c r="B345" s="35" t="s">
        <v>15</v>
      </c>
      <c r="C345" s="48">
        <f t="shared" ref="C345:N345" si="251">C343*C344</f>
        <v>2147.9280504316562</v>
      </c>
      <c r="D345" s="49">
        <f t="shared" si="251"/>
        <v>0</v>
      </c>
      <c r="E345" s="48">
        <f t="shared" si="251"/>
        <v>0</v>
      </c>
      <c r="F345" s="49">
        <f t="shared" si="251"/>
        <v>0</v>
      </c>
      <c r="G345" s="48">
        <f t="shared" si="251"/>
        <v>3153.3096948466159</v>
      </c>
      <c r="H345" s="49">
        <f t="shared" si="251"/>
        <v>5013.3032933838358</v>
      </c>
      <c r="I345" s="48">
        <f t="shared" si="251"/>
        <v>6260.3088837361674</v>
      </c>
      <c r="J345" s="49">
        <f t="shared" si="251"/>
        <v>9915.7210070406145</v>
      </c>
      <c r="K345" s="48">
        <f t="shared" si="251"/>
        <v>3519.2726611086</v>
      </c>
      <c r="L345" s="49">
        <f t="shared" si="251"/>
        <v>507.12080969657177</v>
      </c>
      <c r="M345" s="48">
        <f t="shared" si="251"/>
        <v>4746.5928446324042</v>
      </c>
      <c r="N345" s="49">
        <f t="shared" si="251"/>
        <v>3221.3357495360656</v>
      </c>
      <c r="O345" s="50">
        <f>SUM(C345:N345)</f>
        <v>38484.892994412534</v>
      </c>
      <c r="P345" s="15"/>
      <c r="Q345" s="15"/>
      <c r="R345" s="15"/>
      <c r="S345" s="15"/>
    </row>
    <row r="346" spans="1:19" ht="13.5" thickBot="1">
      <c r="A346" s="51"/>
      <c r="B346" s="52" t="s">
        <v>59</v>
      </c>
      <c r="C346" s="53">
        <f t="shared" ref="C346:N346" si="252">C345/C$291</f>
        <v>9.6181240427039771</v>
      </c>
      <c r="D346" s="54">
        <f t="shared" si="252"/>
        <v>0</v>
      </c>
      <c r="E346" s="53">
        <f t="shared" si="252"/>
        <v>0</v>
      </c>
      <c r="F346" s="54">
        <f t="shared" si="252"/>
        <v>0</v>
      </c>
      <c r="G346" s="53">
        <f t="shared" si="252"/>
        <v>14.120083670400764</v>
      </c>
      <c r="H346" s="54">
        <f t="shared" si="252"/>
        <v>16.23802114128932</v>
      </c>
      <c r="I346" s="53">
        <f t="shared" si="252"/>
        <v>19.622956720603803</v>
      </c>
      <c r="J346" s="54">
        <f t="shared" si="252"/>
        <v>31.080856837628858</v>
      </c>
      <c r="K346" s="53">
        <f t="shared" si="252"/>
        <v>16.284108936562504</v>
      </c>
      <c r="L346" s="54">
        <f t="shared" si="252"/>
        <v>2.2708166836956631</v>
      </c>
      <c r="M346" s="53">
        <f t="shared" si="252"/>
        <v>21.963070896346494</v>
      </c>
      <c r="N346" s="54">
        <f t="shared" si="252"/>
        <v>14.424694912852486</v>
      </c>
      <c r="O346" s="55">
        <f>O345/O$7</f>
        <v>8.7848333174231339</v>
      </c>
      <c r="P346" s="8"/>
      <c r="S346" s="41"/>
    </row>
    <row r="347" spans="1:19">
      <c r="A347" s="28" t="s">
        <v>72</v>
      </c>
      <c r="B347" s="29" t="s">
        <v>55</v>
      </c>
      <c r="C347" s="30">
        <f>'2012 Actual Costs'!C347</f>
        <v>0.85728002194636865</v>
      </c>
      <c r="D347" s="31">
        <f>'2012 Actual Costs'!D347</f>
        <v>1.1825572801182558</v>
      </c>
      <c r="E347" s="30">
        <f>'2012 Actual Costs'!E347</f>
        <v>0</v>
      </c>
      <c r="F347" s="31">
        <f>'2012 Actual Costs'!F347</f>
        <v>2.333395557214859</v>
      </c>
      <c r="G347" s="30">
        <f>'2011 Actual Costs'!G347</f>
        <v>4.7161698043066957</v>
      </c>
      <c r="H347" s="31">
        <f>'2011 Actual Costs'!H347</f>
        <v>4.4664695748346341</v>
      </c>
      <c r="I347" s="30">
        <f>'2011 Actual Costs'!I347</f>
        <v>2.5372897009719511</v>
      </c>
      <c r="J347" s="31">
        <f>'2011 Actual Costs'!J347</f>
        <v>1.3740180065059753</v>
      </c>
      <c r="K347" s="30">
        <f>'2011 Actual Costs'!K347</f>
        <v>3.841204601763113</v>
      </c>
      <c r="L347" s="31">
        <f>'2011 Actual Costs'!L347</f>
        <v>2.7819647752678272</v>
      </c>
      <c r="M347" s="30">
        <f>'2011 Actual Costs'!M347</f>
        <v>2.9060643751380382</v>
      </c>
      <c r="N347" s="31">
        <f>'2011 Actual Costs'!N347</f>
        <v>0.28340654669122856</v>
      </c>
      <c r="O347" s="32">
        <f>O348/O$7</f>
        <v>1.542410360667924</v>
      </c>
    </row>
    <row r="348" spans="1:19">
      <c r="A348" s="34" t="s">
        <v>56</v>
      </c>
      <c r="B348" s="35" t="s">
        <v>57</v>
      </c>
      <c r="C348" s="36">
        <f t="shared" ref="C348:N348" si="253">C$291*C347</f>
        <v>191.44854007264379</v>
      </c>
      <c r="D348" s="37">
        <f t="shared" si="253"/>
        <v>238.53267547558355</v>
      </c>
      <c r="E348" s="36">
        <f t="shared" si="253"/>
        <v>0</v>
      </c>
      <c r="F348" s="37">
        <f t="shared" si="253"/>
        <v>504.28643188578445</v>
      </c>
      <c r="G348" s="36">
        <f t="shared" si="253"/>
        <v>1053.2192523502999</v>
      </c>
      <c r="H348" s="37">
        <f t="shared" si="253"/>
        <v>1378.971392787535</v>
      </c>
      <c r="I348" s="36">
        <f t="shared" si="253"/>
        <v>809.47114554499353</v>
      </c>
      <c r="J348" s="37">
        <f t="shared" si="253"/>
        <v>438.35275463412108</v>
      </c>
      <c r="K348" s="36">
        <f t="shared" si="253"/>
        <v>830.14958898715804</v>
      </c>
      <c r="L348" s="37">
        <f t="shared" si="253"/>
        <v>621.27085797394875</v>
      </c>
      <c r="M348" s="36">
        <f t="shared" si="253"/>
        <v>628.04989494278482</v>
      </c>
      <c r="N348" s="37">
        <f t="shared" si="253"/>
        <v>63.290603095915408</v>
      </c>
      <c r="O348" s="38">
        <f>SUM(C348:N348)</f>
        <v>6757.0431377507684</v>
      </c>
      <c r="P348" s="57"/>
      <c r="Q348" s="57"/>
      <c r="R348" s="60"/>
      <c r="S348" s="41"/>
    </row>
    <row r="349" spans="1:19" ht="15.75">
      <c r="A349" s="42"/>
      <c r="B349" s="35" t="s">
        <v>58</v>
      </c>
      <c r="C349" s="43">
        <f>'Price Changes'!D68</f>
        <v>0.16159999999999999</v>
      </c>
      <c r="D349" s="44">
        <f t="shared" ref="D349:N349" si="254">C349</f>
        <v>0.16159999999999999</v>
      </c>
      <c r="E349" s="43">
        <f t="shared" si="254"/>
        <v>0.16159999999999999</v>
      </c>
      <c r="F349" s="44">
        <f t="shared" si="254"/>
        <v>0.16159999999999999</v>
      </c>
      <c r="G349" s="43">
        <f t="shared" si="254"/>
        <v>0.16159999999999999</v>
      </c>
      <c r="H349" s="44">
        <f t="shared" si="254"/>
        <v>0.16159999999999999</v>
      </c>
      <c r="I349" s="43">
        <f t="shared" si="254"/>
        <v>0.16159999999999999</v>
      </c>
      <c r="J349" s="44">
        <f t="shared" si="254"/>
        <v>0.16159999999999999</v>
      </c>
      <c r="K349" s="43">
        <f t="shared" si="254"/>
        <v>0.16159999999999999</v>
      </c>
      <c r="L349" s="44">
        <f t="shared" si="254"/>
        <v>0.16159999999999999</v>
      </c>
      <c r="M349" s="43">
        <f t="shared" si="254"/>
        <v>0.16159999999999999</v>
      </c>
      <c r="N349" s="44">
        <f t="shared" si="254"/>
        <v>0.16159999999999999</v>
      </c>
      <c r="O349" s="45">
        <f>IF(O348=0,0,+O350/O348)</f>
        <v>0.16159999999999999</v>
      </c>
      <c r="P349" s="46"/>
      <c r="Q349" s="47"/>
      <c r="R349" s="47"/>
      <c r="S349" s="41"/>
    </row>
    <row r="350" spans="1:19">
      <c r="A350" s="42"/>
      <c r="B350" s="35" t="s">
        <v>15</v>
      </c>
      <c r="C350" s="48">
        <f t="shared" ref="C350:N350" si="255">C348*C349</f>
        <v>30.938084075739237</v>
      </c>
      <c r="D350" s="49">
        <f t="shared" si="255"/>
        <v>38.546880356854302</v>
      </c>
      <c r="E350" s="48">
        <f t="shared" si="255"/>
        <v>0</v>
      </c>
      <c r="F350" s="49">
        <f t="shared" si="255"/>
        <v>81.492687392742766</v>
      </c>
      <c r="G350" s="48">
        <f t="shared" si="255"/>
        <v>170.20023117980847</v>
      </c>
      <c r="H350" s="49">
        <f t="shared" si="255"/>
        <v>222.84177707446565</v>
      </c>
      <c r="I350" s="48">
        <f t="shared" si="255"/>
        <v>130.81053712007096</v>
      </c>
      <c r="J350" s="49">
        <f t="shared" si="255"/>
        <v>70.837805148873969</v>
      </c>
      <c r="K350" s="48">
        <f t="shared" si="255"/>
        <v>134.15217358032473</v>
      </c>
      <c r="L350" s="49">
        <f t="shared" si="255"/>
        <v>100.39737064859011</v>
      </c>
      <c r="M350" s="48">
        <f t="shared" si="255"/>
        <v>101.49286302275402</v>
      </c>
      <c r="N350" s="49">
        <f t="shared" si="255"/>
        <v>10.227761460299929</v>
      </c>
      <c r="O350" s="50">
        <f>SUM(C350:N350)</f>
        <v>1091.9381710605242</v>
      </c>
      <c r="P350" s="40"/>
      <c r="Q350" s="40"/>
      <c r="R350" s="40"/>
      <c r="S350" s="41"/>
    </row>
    <row r="351" spans="1:19" ht="16.5" thickBot="1">
      <c r="A351" s="51"/>
      <c r="B351" s="52" t="s">
        <v>59</v>
      </c>
      <c r="C351" s="53">
        <f t="shared" ref="C351:N351" si="256">C350/C$291</f>
        <v>0.13853645154653316</v>
      </c>
      <c r="D351" s="54">
        <f t="shared" si="256"/>
        <v>0.19110125646711015</v>
      </c>
      <c r="E351" s="53">
        <f t="shared" si="256"/>
        <v>0</v>
      </c>
      <c r="F351" s="54">
        <f t="shared" si="256"/>
        <v>0.37707672204592119</v>
      </c>
      <c r="G351" s="53">
        <f t="shared" si="256"/>
        <v>0.76213304037596208</v>
      </c>
      <c r="H351" s="54">
        <f t="shared" si="256"/>
        <v>0.72178148329327685</v>
      </c>
      <c r="I351" s="53">
        <f t="shared" si="256"/>
        <v>0.41002601567706731</v>
      </c>
      <c r="J351" s="54">
        <f t="shared" si="256"/>
        <v>0.22204130985136561</v>
      </c>
      <c r="K351" s="53">
        <f t="shared" si="256"/>
        <v>0.62073866364491903</v>
      </c>
      <c r="L351" s="54">
        <f t="shared" si="256"/>
        <v>0.4495655076832808</v>
      </c>
      <c r="M351" s="53">
        <f t="shared" si="256"/>
        <v>0.46962000302230694</v>
      </c>
      <c r="N351" s="54">
        <f t="shared" si="256"/>
        <v>4.5798497945302531E-2</v>
      </c>
      <c r="O351" s="55">
        <f>O350/O$7</f>
        <v>0.24925351428393652</v>
      </c>
      <c r="P351" s="56"/>
      <c r="Q351" s="57"/>
      <c r="R351" s="57"/>
      <c r="S351" s="41"/>
    </row>
    <row r="352" spans="1:19">
      <c r="A352" s="181" t="s">
        <v>113</v>
      </c>
      <c r="B352" s="29" t="s">
        <v>55</v>
      </c>
      <c r="C352" s="30">
        <f>'2012 Actual Costs'!C352</f>
        <v>3.4348352879317838</v>
      </c>
      <c r="D352" s="31">
        <f>'2012 Actual Costs'!D352</f>
        <v>0</v>
      </c>
      <c r="E352" s="30">
        <f>'2012 Actual Costs'!E352</f>
        <v>9.3175618142670409</v>
      </c>
      <c r="F352" s="31">
        <f>'2012 Actual Costs'!F352</f>
        <v>114.82639537054321</v>
      </c>
      <c r="G352" s="30">
        <f>'2011 Actual Costs'!G352</f>
        <v>55.317897586985595</v>
      </c>
      <c r="H352" s="31">
        <f>'2011 Actual Costs'!H352</f>
        <v>10.158027947338196</v>
      </c>
      <c r="I352" s="30">
        <f>'2011 Actual Costs'!I352</f>
        <v>103.62967749356373</v>
      </c>
      <c r="J352" s="31">
        <f>'2011 Actual Costs'!J352</f>
        <v>59.570550672066553</v>
      </c>
      <c r="K352" s="30">
        <f>'2011 Actual Costs'!K352</f>
        <v>2.0598459676954692</v>
      </c>
      <c r="L352" s="31">
        <f>'2011 Actual Costs'!L352</f>
        <v>0.10116235546428463</v>
      </c>
      <c r="M352" s="30">
        <f>'2011 Actual Costs'!M352</f>
        <v>0</v>
      </c>
      <c r="N352" s="31">
        <f>'2011 Actual Costs'!N352</f>
        <v>17.083746634547257</v>
      </c>
      <c r="O352" s="32">
        <f>O353/O$7</f>
        <v>22.713095053601112</v>
      </c>
    </row>
    <row r="353" spans="1:20">
      <c r="A353" s="103" t="s">
        <v>64</v>
      </c>
      <c r="B353" s="35" t="s">
        <v>57</v>
      </c>
      <c r="C353" s="65">
        <f t="shared" ref="C353:N353" si="257">C$291*C352</f>
        <v>767.07048389105955</v>
      </c>
      <c r="D353" s="66">
        <f t="shared" si="257"/>
        <v>0</v>
      </c>
      <c r="E353" s="65">
        <f t="shared" si="257"/>
        <v>2080.8062251678548</v>
      </c>
      <c r="F353" s="66">
        <f t="shared" si="257"/>
        <v>24815.935313099453</v>
      </c>
      <c r="G353" s="65">
        <f t="shared" si="257"/>
        <v>12353.642289332342</v>
      </c>
      <c r="H353" s="66">
        <f t="shared" si="257"/>
        <v>3136.1749390253653</v>
      </c>
      <c r="I353" s="65">
        <f t="shared" si="257"/>
        <v>33060.960173778985</v>
      </c>
      <c r="J353" s="66">
        <f t="shared" si="257"/>
        <v>19004.783677162319</v>
      </c>
      <c r="K353" s="65">
        <f t="shared" si="257"/>
        <v>445.16771709436352</v>
      </c>
      <c r="L353" s="66">
        <f t="shared" si="257"/>
        <v>22.59166756268905</v>
      </c>
      <c r="M353" s="65">
        <f t="shared" si="257"/>
        <v>0</v>
      </c>
      <c r="N353" s="66">
        <f t="shared" si="257"/>
        <v>3815.1575546217805</v>
      </c>
      <c r="O353" s="67">
        <f>SUM(C353:N353)</f>
        <v>99502.290040736203</v>
      </c>
      <c r="P353" s="57"/>
      <c r="Q353" s="57"/>
      <c r="R353" s="60"/>
      <c r="S353" s="41"/>
      <c r="T353" s="8"/>
    </row>
    <row r="354" spans="1:20" ht="15.75">
      <c r="A354" s="42"/>
      <c r="B354" s="35" t="s">
        <v>58</v>
      </c>
      <c r="C354" s="43">
        <f>'Price Changes'!D69</f>
        <v>0.10500000000000001</v>
      </c>
      <c r="D354" s="44">
        <f t="shared" ref="D354:N354" si="258">C354</f>
        <v>0.10500000000000001</v>
      </c>
      <c r="E354" s="43">
        <f t="shared" si="258"/>
        <v>0.10500000000000001</v>
      </c>
      <c r="F354" s="44">
        <f t="shared" si="258"/>
        <v>0.10500000000000001</v>
      </c>
      <c r="G354" s="43">
        <f t="shared" si="258"/>
        <v>0.10500000000000001</v>
      </c>
      <c r="H354" s="44">
        <f t="shared" si="258"/>
        <v>0.10500000000000001</v>
      </c>
      <c r="I354" s="43">
        <f t="shared" si="258"/>
        <v>0.10500000000000001</v>
      </c>
      <c r="J354" s="44">
        <f t="shared" si="258"/>
        <v>0.10500000000000001</v>
      </c>
      <c r="K354" s="43">
        <f t="shared" si="258"/>
        <v>0.10500000000000001</v>
      </c>
      <c r="L354" s="44">
        <f t="shared" si="258"/>
        <v>0.10500000000000001</v>
      </c>
      <c r="M354" s="43">
        <f t="shared" si="258"/>
        <v>0.10500000000000001</v>
      </c>
      <c r="N354" s="44">
        <f t="shared" si="258"/>
        <v>0.10500000000000001</v>
      </c>
      <c r="O354" s="45">
        <f>IF(O353=0,0,+O355/O353)</f>
        <v>0.10500000000000002</v>
      </c>
      <c r="P354" s="46"/>
      <c r="Q354" s="46"/>
      <c r="R354" s="47"/>
      <c r="S354" s="41"/>
      <c r="T354" s="8"/>
    </row>
    <row r="355" spans="1:20">
      <c r="A355" s="42"/>
      <c r="B355" s="35" t="s">
        <v>15</v>
      </c>
      <c r="C355" s="48">
        <f t="shared" ref="C355:N355" si="259">C353*C354</f>
        <v>80.542400808561254</v>
      </c>
      <c r="D355" s="49">
        <f t="shared" si="259"/>
        <v>0</v>
      </c>
      <c r="E355" s="48">
        <f t="shared" si="259"/>
        <v>218.48465364262478</v>
      </c>
      <c r="F355" s="49">
        <f t="shared" si="259"/>
        <v>2605.673207875443</v>
      </c>
      <c r="G355" s="48">
        <f t="shared" si="259"/>
        <v>1297.132440379896</v>
      </c>
      <c r="H355" s="49">
        <f t="shared" si="259"/>
        <v>329.2983685976634</v>
      </c>
      <c r="I355" s="48">
        <f t="shared" si="259"/>
        <v>3471.4008182467937</v>
      </c>
      <c r="J355" s="49">
        <f t="shared" si="259"/>
        <v>1995.5022861020436</v>
      </c>
      <c r="K355" s="48">
        <f t="shared" si="259"/>
        <v>46.742610294908175</v>
      </c>
      <c r="L355" s="49">
        <f t="shared" si="259"/>
        <v>2.3721250940823504</v>
      </c>
      <c r="M355" s="48">
        <f t="shared" si="259"/>
        <v>0</v>
      </c>
      <c r="N355" s="49">
        <f t="shared" si="259"/>
        <v>400.59154323528696</v>
      </c>
      <c r="O355" s="50">
        <f>SUM(C355:N355)</f>
        <v>10447.740454277304</v>
      </c>
      <c r="P355" s="40"/>
      <c r="Q355" s="40"/>
      <c r="R355" s="40"/>
      <c r="S355" s="41"/>
      <c r="T355" s="8"/>
    </row>
    <row r="356" spans="1:20" ht="16.5" thickBot="1">
      <c r="A356" s="51"/>
      <c r="B356" s="52" t="s">
        <v>59</v>
      </c>
      <c r="C356" s="53">
        <f t="shared" ref="C356:N356" si="260">C355/C$291</f>
        <v>0.3606577052328373</v>
      </c>
      <c r="D356" s="54">
        <f t="shared" si="260"/>
        <v>0</v>
      </c>
      <c r="E356" s="53">
        <f t="shared" si="260"/>
        <v>0.97834399049803933</v>
      </c>
      <c r="F356" s="54">
        <f t="shared" si="260"/>
        <v>12.056771513907039</v>
      </c>
      <c r="G356" s="53">
        <f t="shared" si="260"/>
        <v>5.8083792466334883</v>
      </c>
      <c r="H356" s="54">
        <f t="shared" si="260"/>
        <v>1.0665929344705107</v>
      </c>
      <c r="I356" s="53">
        <f t="shared" si="260"/>
        <v>10.881116136824193</v>
      </c>
      <c r="J356" s="54">
        <f t="shared" si="260"/>
        <v>6.2549078205669888</v>
      </c>
      <c r="K356" s="53">
        <f t="shared" si="260"/>
        <v>0.21628382660802431</v>
      </c>
      <c r="L356" s="54">
        <f t="shared" si="260"/>
        <v>1.0622047323749887E-2</v>
      </c>
      <c r="M356" s="53">
        <f t="shared" si="260"/>
        <v>0</v>
      </c>
      <c r="N356" s="54">
        <f t="shared" si="260"/>
        <v>1.793793396627462</v>
      </c>
      <c r="O356" s="55">
        <f>O355/O$7</f>
        <v>2.3848749806281173</v>
      </c>
      <c r="P356" s="56"/>
      <c r="Q356" s="56"/>
      <c r="R356" s="57"/>
      <c r="S356" s="41"/>
      <c r="T356" s="8"/>
    </row>
    <row r="357" spans="1:20">
      <c r="A357" s="28" t="s">
        <v>74</v>
      </c>
      <c r="B357" s="29" t="s">
        <v>55</v>
      </c>
      <c r="C357" s="30">
        <f>'2012 Actual Costs'!C357</f>
        <v>0</v>
      </c>
      <c r="D357" s="31">
        <f>'2012 Actual Costs'!D357</f>
        <v>0</v>
      </c>
      <c r="E357" s="30">
        <f>'2012 Actual Costs'!E357</f>
        <v>0</v>
      </c>
      <c r="F357" s="31">
        <f>'2012 Actual Costs'!F357</f>
        <v>0</v>
      </c>
      <c r="G357" s="30">
        <f>'2011 Actual Costs'!G357</f>
        <v>0</v>
      </c>
      <c r="H357" s="31">
        <f>'2011 Actual Costs'!H357</f>
        <v>0</v>
      </c>
      <c r="I357" s="30">
        <f>'2011 Actual Costs'!I357</f>
        <v>0</v>
      </c>
      <c r="J357" s="31">
        <f>'2011 Actual Costs'!J357</f>
        <v>0</v>
      </c>
      <c r="K357" s="30">
        <f>'2011 Actual Costs'!K357</f>
        <v>0</v>
      </c>
      <c r="L357" s="31">
        <f>'2011 Actual Costs'!L357</f>
        <v>0</v>
      </c>
      <c r="M357" s="30">
        <f>'2011 Actual Costs'!M357</f>
        <v>0</v>
      </c>
      <c r="N357" s="31">
        <f>'2011 Actual Costs'!N357</f>
        <v>0</v>
      </c>
      <c r="O357" s="32">
        <f>O358/O$7</f>
        <v>0</v>
      </c>
    </row>
    <row r="358" spans="1:20">
      <c r="A358" s="103" t="s">
        <v>64</v>
      </c>
      <c r="B358" s="35" t="s">
        <v>57</v>
      </c>
      <c r="C358" s="36">
        <f t="shared" ref="C358:N358" si="261">C$291*C357</f>
        <v>0</v>
      </c>
      <c r="D358" s="37">
        <f t="shared" si="261"/>
        <v>0</v>
      </c>
      <c r="E358" s="36">
        <f t="shared" si="261"/>
        <v>0</v>
      </c>
      <c r="F358" s="37">
        <f t="shared" si="261"/>
        <v>0</v>
      </c>
      <c r="G358" s="36">
        <f t="shared" si="261"/>
        <v>0</v>
      </c>
      <c r="H358" s="37">
        <f t="shared" si="261"/>
        <v>0</v>
      </c>
      <c r="I358" s="36">
        <f t="shared" si="261"/>
        <v>0</v>
      </c>
      <c r="J358" s="37">
        <f t="shared" si="261"/>
        <v>0</v>
      </c>
      <c r="K358" s="36">
        <f t="shared" si="261"/>
        <v>0</v>
      </c>
      <c r="L358" s="37">
        <f t="shared" si="261"/>
        <v>0</v>
      </c>
      <c r="M358" s="36">
        <f t="shared" si="261"/>
        <v>0</v>
      </c>
      <c r="N358" s="37">
        <f t="shared" si="261"/>
        <v>0</v>
      </c>
      <c r="O358" s="38">
        <f>SUM(C358:N358)</f>
        <v>0</v>
      </c>
      <c r="P358" s="57"/>
      <c r="Q358" s="57"/>
      <c r="R358" s="60"/>
      <c r="S358" s="41"/>
      <c r="T358" s="8"/>
    </row>
    <row r="359" spans="1:20" ht="15.75">
      <c r="A359" s="42"/>
      <c r="B359" s="35" t="s">
        <v>58</v>
      </c>
      <c r="C359" s="43">
        <f>'Price Changes'!D70</f>
        <v>0</v>
      </c>
      <c r="D359" s="44">
        <f t="shared" ref="D359:N359" si="262">C359</f>
        <v>0</v>
      </c>
      <c r="E359" s="43">
        <f t="shared" si="262"/>
        <v>0</v>
      </c>
      <c r="F359" s="44">
        <f t="shared" si="262"/>
        <v>0</v>
      </c>
      <c r="G359" s="43">
        <f t="shared" si="262"/>
        <v>0</v>
      </c>
      <c r="H359" s="44">
        <f t="shared" si="262"/>
        <v>0</v>
      </c>
      <c r="I359" s="43">
        <f t="shared" si="262"/>
        <v>0</v>
      </c>
      <c r="J359" s="44">
        <f t="shared" si="262"/>
        <v>0</v>
      </c>
      <c r="K359" s="43">
        <f t="shared" si="262"/>
        <v>0</v>
      </c>
      <c r="L359" s="44">
        <f t="shared" si="262"/>
        <v>0</v>
      </c>
      <c r="M359" s="43">
        <f t="shared" si="262"/>
        <v>0</v>
      </c>
      <c r="N359" s="44">
        <f t="shared" si="262"/>
        <v>0</v>
      </c>
      <c r="O359" s="45">
        <f>IF(O358=0,0,+O360/O358)</f>
        <v>0</v>
      </c>
      <c r="P359" s="46"/>
      <c r="Q359" s="46"/>
      <c r="R359" s="47"/>
      <c r="S359" s="41"/>
      <c r="T359" s="8"/>
    </row>
    <row r="360" spans="1:20">
      <c r="A360" s="42"/>
      <c r="B360" s="35" t="s">
        <v>15</v>
      </c>
      <c r="C360" s="48">
        <f t="shared" ref="C360:N360" si="263">C358*C359</f>
        <v>0</v>
      </c>
      <c r="D360" s="49">
        <f t="shared" si="263"/>
        <v>0</v>
      </c>
      <c r="E360" s="48">
        <f t="shared" si="263"/>
        <v>0</v>
      </c>
      <c r="F360" s="49">
        <f t="shared" si="263"/>
        <v>0</v>
      </c>
      <c r="G360" s="48">
        <f t="shared" si="263"/>
        <v>0</v>
      </c>
      <c r="H360" s="49">
        <f t="shared" si="263"/>
        <v>0</v>
      </c>
      <c r="I360" s="48">
        <f t="shared" si="263"/>
        <v>0</v>
      </c>
      <c r="J360" s="49">
        <f t="shared" si="263"/>
        <v>0</v>
      </c>
      <c r="K360" s="48">
        <f t="shared" si="263"/>
        <v>0</v>
      </c>
      <c r="L360" s="49">
        <f t="shared" si="263"/>
        <v>0</v>
      </c>
      <c r="M360" s="48">
        <f t="shared" si="263"/>
        <v>0</v>
      </c>
      <c r="N360" s="49">
        <f t="shared" si="263"/>
        <v>0</v>
      </c>
      <c r="O360" s="50">
        <f>SUM(C360:N360)</f>
        <v>0</v>
      </c>
      <c r="P360" s="40"/>
      <c r="Q360" s="40"/>
      <c r="R360" s="40"/>
      <c r="S360" s="41"/>
      <c r="T360" s="8"/>
    </row>
    <row r="361" spans="1:20" ht="16.5" thickBot="1">
      <c r="A361" s="51"/>
      <c r="B361" s="52" t="s">
        <v>59</v>
      </c>
      <c r="C361" s="53">
        <f t="shared" ref="C361:N361" si="264">C360/C$291</f>
        <v>0</v>
      </c>
      <c r="D361" s="54">
        <f t="shared" si="264"/>
        <v>0</v>
      </c>
      <c r="E361" s="53">
        <f t="shared" si="264"/>
        <v>0</v>
      </c>
      <c r="F361" s="54">
        <f t="shared" si="264"/>
        <v>0</v>
      </c>
      <c r="G361" s="53">
        <f t="shared" si="264"/>
        <v>0</v>
      </c>
      <c r="H361" s="54">
        <f t="shared" si="264"/>
        <v>0</v>
      </c>
      <c r="I361" s="53">
        <f t="shared" si="264"/>
        <v>0</v>
      </c>
      <c r="J361" s="54">
        <f t="shared" si="264"/>
        <v>0</v>
      </c>
      <c r="K361" s="53">
        <f t="shared" si="264"/>
        <v>0</v>
      </c>
      <c r="L361" s="54">
        <f t="shared" si="264"/>
        <v>0</v>
      </c>
      <c r="M361" s="53">
        <f t="shared" si="264"/>
        <v>0</v>
      </c>
      <c r="N361" s="54">
        <f t="shared" si="264"/>
        <v>0</v>
      </c>
      <c r="O361" s="55">
        <f>O360/O$7</f>
        <v>0</v>
      </c>
      <c r="P361" s="56"/>
      <c r="Q361" s="56"/>
      <c r="R361" s="57"/>
      <c r="S361" s="41"/>
      <c r="T361" s="8"/>
    </row>
    <row r="362" spans="1:20">
      <c r="A362" s="181" t="s">
        <v>75</v>
      </c>
      <c r="B362" s="29" t="s">
        <v>55</v>
      </c>
      <c r="C362" s="30">
        <f>'2012 Actual Costs'!C362</f>
        <v>0</v>
      </c>
      <c r="D362" s="31">
        <f>'2012 Actual Costs'!D362</f>
        <v>0</v>
      </c>
      <c r="E362" s="30">
        <f>'2012 Actual Costs'!E362</f>
        <v>0</v>
      </c>
      <c r="F362" s="31">
        <f>'2012 Actual Costs'!F362</f>
        <v>0</v>
      </c>
      <c r="G362" s="30">
        <f>'2011 Actual Costs'!G362</f>
        <v>0</v>
      </c>
      <c r="H362" s="31">
        <f>'2011 Actual Costs'!H362</f>
        <v>0</v>
      </c>
      <c r="I362" s="30">
        <f>'2011 Actual Costs'!I362</f>
        <v>0</v>
      </c>
      <c r="J362" s="31">
        <f>'2011 Actual Costs'!J362</f>
        <v>0</v>
      </c>
      <c r="K362" s="30">
        <f>'2011 Actual Costs'!K362</f>
        <v>0</v>
      </c>
      <c r="L362" s="31">
        <f>'2011 Actual Costs'!L362</f>
        <v>0</v>
      </c>
      <c r="M362" s="30">
        <f>'2011 Actual Costs'!M362</f>
        <v>0</v>
      </c>
      <c r="N362" s="31">
        <f>'2011 Actual Costs'!N362</f>
        <v>0</v>
      </c>
      <c r="O362" s="32">
        <f>O363/O$7</f>
        <v>0</v>
      </c>
      <c r="P362" s="9"/>
      <c r="Q362" s="9"/>
      <c r="R362" s="9"/>
      <c r="S362" s="70"/>
    </row>
    <row r="363" spans="1:20">
      <c r="A363" s="34" t="s">
        <v>71</v>
      </c>
      <c r="B363" s="35" t="s">
        <v>57</v>
      </c>
      <c r="C363" s="65">
        <f t="shared" ref="C363:N363" si="265">C$291*C362</f>
        <v>0</v>
      </c>
      <c r="D363" s="66">
        <f t="shared" si="265"/>
        <v>0</v>
      </c>
      <c r="E363" s="65">
        <f t="shared" si="265"/>
        <v>0</v>
      </c>
      <c r="F363" s="66">
        <f t="shared" si="265"/>
        <v>0</v>
      </c>
      <c r="G363" s="65">
        <f t="shared" si="265"/>
        <v>0</v>
      </c>
      <c r="H363" s="66">
        <f t="shared" si="265"/>
        <v>0</v>
      </c>
      <c r="I363" s="65">
        <f t="shared" si="265"/>
        <v>0</v>
      </c>
      <c r="J363" s="66">
        <f t="shared" si="265"/>
        <v>0</v>
      </c>
      <c r="K363" s="65">
        <f t="shared" si="265"/>
        <v>0</v>
      </c>
      <c r="L363" s="66">
        <f t="shared" si="265"/>
        <v>0</v>
      </c>
      <c r="M363" s="65">
        <f t="shared" si="265"/>
        <v>0</v>
      </c>
      <c r="N363" s="66">
        <f t="shared" si="265"/>
        <v>0</v>
      </c>
      <c r="O363" s="67">
        <f>SUM(C363:N363)</f>
        <v>0</v>
      </c>
      <c r="P363" s="15"/>
      <c r="Q363" s="15"/>
      <c r="R363" s="15"/>
      <c r="S363" s="71"/>
    </row>
    <row r="364" spans="1:20" ht="15.75">
      <c r="A364" s="182" t="s">
        <v>64</v>
      </c>
      <c r="B364" s="35" t="s">
        <v>58</v>
      </c>
      <c r="C364" s="43">
        <f>'Price Changes'!D71</f>
        <v>0.93930000000000002</v>
      </c>
      <c r="D364" s="44">
        <f t="shared" ref="D364:N364" si="266">C364</f>
        <v>0.93930000000000002</v>
      </c>
      <c r="E364" s="43">
        <f t="shared" si="266"/>
        <v>0.93930000000000002</v>
      </c>
      <c r="F364" s="44">
        <f t="shared" si="266"/>
        <v>0.93930000000000002</v>
      </c>
      <c r="G364" s="43">
        <f t="shared" si="266"/>
        <v>0.93930000000000002</v>
      </c>
      <c r="H364" s="44">
        <f t="shared" si="266"/>
        <v>0.93930000000000002</v>
      </c>
      <c r="I364" s="43">
        <f t="shared" si="266"/>
        <v>0.93930000000000002</v>
      </c>
      <c r="J364" s="44">
        <f t="shared" si="266"/>
        <v>0.93930000000000002</v>
      </c>
      <c r="K364" s="43">
        <f t="shared" si="266"/>
        <v>0.93930000000000002</v>
      </c>
      <c r="L364" s="44">
        <f t="shared" si="266"/>
        <v>0.93930000000000002</v>
      </c>
      <c r="M364" s="43">
        <f t="shared" si="266"/>
        <v>0.93930000000000002</v>
      </c>
      <c r="N364" s="44">
        <f t="shared" si="266"/>
        <v>0.93930000000000002</v>
      </c>
      <c r="O364" s="45">
        <f>IF(O363=0,0,+O365/O363)</f>
        <v>0</v>
      </c>
      <c r="P364" s="15"/>
      <c r="Q364" s="72"/>
      <c r="R364" s="15"/>
      <c r="S364" s="15"/>
    </row>
    <row r="365" spans="1:20">
      <c r="A365" s="42"/>
      <c r="B365" s="35" t="s">
        <v>15</v>
      </c>
      <c r="C365" s="48">
        <f t="shared" ref="C365:N365" si="267">C363*C364</f>
        <v>0</v>
      </c>
      <c r="D365" s="49">
        <f t="shared" si="267"/>
        <v>0</v>
      </c>
      <c r="E365" s="48">
        <f t="shared" si="267"/>
        <v>0</v>
      </c>
      <c r="F365" s="49">
        <f t="shared" si="267"/>
        <v>0</v>
      </c>
      <c r="G365" s="48">
        <f t="shared" si="267"/>
        <v>0</v>
      </c>
      <c r="H365" s="49">
        <f t="shared" si="267"/>
        <v>0</v>
      </c>
      <c r="I365" s="48">
        <f t="shared" si="267"/>
        <v>0</v>
      </c>
      <c r="J365" s="49">
        <f t="shared" si="267"/>
        <v>0</v>
      </c>
      <c r="K365" s="48">
        <f t="shared" si="267"/>
        <v>0</v>
      </c>
      <c r="L365" s="49">
        <f t="shared" si="267"/>
        <v>0</v>
      </c>
      <c r="M365" s="48">
        <f t="shared" si="267"/>
        <v>0</v>
      </c>
      <c r="N365" s="49">
        <f t="shared" si="267"/>
        <v>0</v>
      </c>
      <c r="O365" s="50">
        <f>SUM(C365:N365)</f>
        <v>0</v>
      </c>
      <c r="P365" s="15"/>
      <c r="Q365" s="15"/>
      <c r="R365" s="15"/>
      <c r="S365" s="15"/>
    </row>
    <row r="366" spans="1:20" ht="13.5" thickBot="1">
      <c r="A366" s="51"/>
      <c r="B366" s="52" t="s">
        <v>59</v>
      </c>
      <c r="C366" s="53">
        <f t="shared" ref="C366:N366" si="268">C365/C$291</f>
        <v>0</v>
      </c>
      <c r="D366" s="54">
        <f t="shared" si="268"/>
        <v>0</v>
      </c>
      <c r="E366" s="53">
        <f t="shared" si="268"/>
        <v>0</v>
      </c>
      <c r="F366" s="54">
        <f t="shared" si="268"/>
        <v>0</v>
      </c>
      <c r="G366" s="53">
        <f t="shared" si="268"/>
        <v>0</v>
      </c>
      <c r="H366" s="54">
        <f t="shared" si="268"/>
        <v>0</v>
      </c>
      <c r="I366" s="53">
        <f t="shared" si="268"/>
        <v>0</v>
      </c>
      <c r="J366" s="54">
        <f t="shared" si="268"/>
        <v>0</v>
      </c>
      <c r="K366" s="53">
        <f t="shared" si="268"/>
        <v>0</v>
      </c>
      <c r="L366" s="54">
        <f t="shared" si="268"/>
        <v>0</v>
      </c>
      <c r="M366" s="53">
        <f t="shared" si="268"/>
        <v>0</v>
      </c>
      <c r="N366" s="54">
        <f t="shared" si="268"/>
        <v>0</v>
      </c>
      <c r="O366" s="55">
        <f>O365/O$7</f>
        <v>0</v>
      </c>
      <c r="P366" s="8"/>
      <c r="S366" s="41"/>
    </row>
    <row r="367" spans="1:20">
      <c r="A367" s="181" t="s">
        <v>76</v>
      </c>
      <c r="B367" s="29" t="s">
        <v>55</v>
      </c>
      <c r="C367" s="30">
        <f>'2012 Actual Costs'!C367</f>
        <v>0</v>
      </c>
      <c r="D367" s="31">
        <f>'2012 Actual Costs'!D367</f>
        <v>0</v>
      </c>
      <c r="E367" s="30">
        <f>'2012 Actual Costs'!E367</f>
        <v>0</v>
      </c>
      <c r="F367" s="31">
        <f>'2012 Actual Costs'!F367</f>
        <v>0</v>
      </c>
      <c r="G367" s="30">
        <f>'2011 Actual Costs'!G367</f>
        <v>0</v>
      </c>
      <c r="H367" s="31">
        <f>'2011 Actual Costs'!H367</f>
        <v>0</v>
      </c>
      <c r="I367" s="30">
        <f>'2011 Actual Costs'!I367</f>
        <v>0</v>
      </c>
      <c r="J367" s="31">
        <f>'2011 Actual Costs'!J367</f>
        <v>0</v>
      </c>
      <c r="K367" s="30">
        <f>'2011 Actual Costs'!K367</f>
        <v>0</v>
      </c>
      <c r="L367" s="31">
        <f>'2011 Actual Costs'!L367</f>
        <v>0</v>
      </c>
      <c r="M367" s="30">
        <f>'2011 Actual Costs'!M367</f>
        <v>0</v>
      </c>
      <c r="N367" s="31">
        <f>'2011 Actual Costs'!N367</f>
        <v>0</v>
      </c>
      <c r="O367" s="32">
        <f>O368/O$7</f>
        <v>0</v>
      </c>
    </row>
    <row r="368" spans="1:20">
      <c r="A368" s="34" t="s">
        <v>64</v>
      </c>
      <c r="B368" s="35" t="s">
        <v>57</v>
      </c>
      <c r="C368" s="65">
        <f t="shared" ref="C368:N368" si="269">C$291*C367</f>
        <v>0</v>
      </c>
      <c r="D368" s="66">
        <f t="shared" si="269"/>
        <v>0</v>
      </c>
      <c r="E368" s="65">
        <f t="shared" si="269"/>
        <v>0</v>
      </c>
      <c r="F368" s="66">
        <f t="shared" si="269"/>
        <v>0</v>
      </c>
      <c r="G368" s="65">
        <f t="shared" si="269"/>
        <v>0</v>
      </c>
      <c r="H368" s="66">
        <f t="shared" si="269"/>
        <v>0</v>
      </c>
      <c r="I368" s="65">
        <f t="shared" si="269"/>
        <v>0</v>
      </c>
      <c r="J368" s="66">
        <f t="shared" si="269"/>
        <v>0</v>
      </c>
      <c r="K368" s="65">
        <f t="shared" si="269"/>
        <v>0</v>
      </c>
      <c r="L368" s="66">
        <f t="shared" si="269"/>
        <v>0</v>
      </c>
      <c r="M368" s="65">
        <f t="shared" si="269"/>
        <v>0</v>
      </c>
      <c r="N368" s="66">
        <f t="shared" si="269"/>
        <v>0</v>
      </c>
      <c r="O368" s="67">
        <f>SUM(C368:N368)</f>
        <v>0</v>
      </c>
    </row>
    <row r="369" spans="1:32">
      <c r="A369" s="34"/>
      <c r="B369" s="35" t="s">
        <v>58</v>
      </c>
      <c r="C369" s="43">
        <f>'Price Changes'!D72</f>
        <v>0</v>
      </c>
      <c r="D369" s="44">
        <f t="shared" ref="D369:N369" si="270">C369</f>
        <v>0</v>
      </c>
      <c r="E369" s="43">
        <f t="shared" si="270"/>
        <v>0</v>
      </c>
      <c r="F369" s="44">
        <f t="shared" si="270"/>
        <v>0</v>
      </c>
      <c r="G369" s="43">
        <f t="shared" si="270"/>
        <v>0</v>
      </c>
      <c r="H369" s="44">
        <f t="shared" si="270"/>
        <v>0</v>
      </c>
      <c r="I369" s="43">
        <f t="shared" si="270"/>
        <v>0</v>
      </c>
      <c r="J369" s="44">
        <f t="shared" si="270"/>
        <v>0</v>
      </c>
      <c r="K369" s="43">
        <f t="shared" si="270"/>
        <v>0</v>
      </c>
      <c r="L369" s="44">
        <f t="shared" si="270"/>
        <v>0</v>
      </c>
      <c r="M369" s="43">
        <f t="shared" si="270"/>
        <v>0</v>
      </c>
      <c r="N369" s="44">
        <f t="shared" si="270"/>
        <v>0</v>
      </c>
      <c r="O369" s="45">
        <f>IF(O368=0,0,+O370/O368)</f>
        <v>0</v>
      </c>
    </row>
    <row r="370" spans="1:32">
      <c r="A370" s="42"/>
      <c r="B370" s="35" t="s">
        <v>15</v>
      </c>
      <c r="C370" s="48">
        <f t="shared" ref="C370:N370" si="271">C368*C369</f>
        <v>0</v>
      </c>
      <c r="D370" s="49">
        <f t="shared" si="271"/>
        <v>0</v>
      </c>
      <c r="E370" s="48">
        <f t="shared" si="271"/>
        <v>0</v>
      </c>
      <c r="F370" s="49">
        <f t="shared" si="271"/>
        <v>0</v>
      </c>
      <c r="G370" s="48">
        <f t="shared" si="271"/>
        <v>0</v>
      </c>
      <c r="H370" s="49">
        <f t="shared" si="271"/>
        <v>0</v>
      </c>
      <c r="I370" s="48">
        <f t="shared" si="271"/>
        <v>0</v>
      </c>
      <c r="J370" s="49">
        <f t="shared" si="271"/>
        <v>0</v>
      </c>
      <c r="K370" s="48">
        <f t="shared" si="271"/>
        <v>0</v>
      </c>
      <c r="L370" s="49">
        <f t="shared" si="271"/>
        <v>0</v>
      </c>
      <c r="M370" s="48">
        <f t="shared" si="271"/>
        <v>0</v>
      </c>
      <c r="N370" s="49">
        <f t="shared" si="271"/>
        <v>0</v>
      </c>
      <c r="O370" s="50">
        <f>SUM(C370:N370)</f>
        <v>0</v>
      </c>
    </row>
    <row r="371" spans="1:32" ht="13.5" thickBot="1">
      <c r="A371" s="51"/>
      <c r="B371" s="52" t="s">
        <v>59</v>
      </c>
      <c r="C371" s="53">
        <f t="shared" ref="C371:N371" si="272">C370/C$291</f>
        <v>0</v>
      </c>
      <c r="D371" s="54">
        <f t="shared" si="272"/>
        <v>0</v>
      </c>
      <c r="E371" s="53">
        <f t="shared" si="272"/>
        <v>0</v>
      </c>
      <c r="F371" s="54">
        <f t="shared" si="272"/>
        <v>0</v>
      </c>
      <c r="G371" s="53">
        <f t="shared" si="272"/>
        <v>0</v>
      </c>
      <c r="H371" s="54">
        <f t="shared" si="272"/>
        <v>0</v>
      </c>
      <c r="I371" s="53">
        <f t="shared" si="272"/>
        <v>0</v>
      </c>
      <c r="J371" s="54">
        <f t="shared" si="272"/>
        <v>0</v>
      </c>
      <c r="K371" s="53">
        <f t="shared" si="272"/>
        <v>0</v>
      </c>
      <c r="L371" s="54">
        <f t="shared" si="272"/>
        <v>0</v>
      </c>
      <c r="M371" s="53">
        <f t="shared" si="272"/>
        <v>0</v>
      </c>
      <c r="N371" s="54">
        <f t="shared" si="272"/>
        <v>0</v>
      </c>
      <c r="O371" s="55">
        <f>O370/O$7</f>
        <v>0</v>
      </c>
    </row>
    <row r="372" spans="1:32" ht="13.5" thickBot="1">
      <c r="A372" s="10" t="s">
        <v>1</v>
      </c>
      <c r="B372" s="73" t="s">
        <v>1</v>
      </c>
      <c r="C372" s="74" t="s">
        <v>1</v>
      </c>
      <c r="D372" s="75" t="s">
        <v>1</v>
      </c>
      <c r="E372" s="74" t="s">
        <v>1</v>
      </c>
      <c r="F372" s="75" t="s">
        <v>1</v>
      </c>
      <c r="G372" s="74" t="s">
        <v>1</v>
      </c>
      <c r="H372" s="75" t="s">
        <v>1</v>
      </c>
      <c r="I372" s="74" t="s">
        <v>1</v>
      </c>
      <c r="J372" s="75" t="s">
        <v>1</v>
      </c>
      <c r="K372" s="74" t="s">
        <v>1</v>
      </c>
      <c r="L372" s="75" t="s">
        <v>1</v>
      </c>
      <c r="M372" s="74" t="s">
        <v>1</v>
      </c>
      <c r="N372" s="75" t="s">
        <v>1</v>
      </c>
      <c r="O372" s="6" t="s">
        <v>1</v>
      </c>
      <c r="P372" s="9"/>
      <c r="Q372" s="9"/>
      <c r="R372" s="9"/>
      <c r="S372" s="70"/>
    </row>
    <row r="373" spans="1:32" ht="16.5" thickBot="1">
      <c r="A373" s="104" t="s">
        <v>81</v>
      </c>
      <c r="B373" s="105"/>
      <c r="C373" s="106">
        <v>0</v>
      </c>
      <c r="D373" s="107">
        <v>0</v>
      </c>
      <c r="E373" s="106">
        <v>0</v>
      </c>
      <c r="F373" s="107">
        <v>0</v>
      </c>
      <c r="G373" s="106">
        <v>0</v>
      </c>
      <c r="H373" s="107">
        <v>0</v>
      </c>
      <c r="I373" s="106">
        <v>0</v>
      </c>
      <c r="J373" s="107">
        <v>0</v>
      </c>
      <c r="K373" s="106">
        <v>0</v>
      </c>
      <c r="L373" s="107">
        <v>0</v>
      </c>
      <c r="M373" s="106">
        <v>0</v>
      </c>
      <c r="N373" s="107">
        <v>0</v>
      </c>
      <c r="O373" s="108">
        <f>SUM(C373:N373)</f>
        <v>0</v>
      </c>
      <c r="P373" s="9"/>
      <c r="Q373" s="9"/>
      <c r="R373" s="9"/>
      <c r="S373" s="70"/>
    </row>
    <row r="374" spans="1:32">
      <c r="A374" s="77" t="s">
        <v>82</v>
      </c>
      <c r="B374" s="29" t="s">
        <v>55</v>
      </c>
      <c r="C374" s="78">
        <f t="shared" ref="C374:N374" si="273">C375/C291</f>
        <v>605.92551951169332</v>
      </c>
      <c r="D374" s="79">
        <f t="shared" si="273"/>
        <v>373.18551367331844</v>
      </c>
      <c r="E374" s="78">
        <f t="shared" si="273"/>
        <v>583.57332292022568</v>
      </c>
      <c r="F374" s="79">
        <f t="shared" si="273"/>
        <v>761.29188047590219</v>
      </c>
      <c r="G374" s="78">
        <f t="shared" si="273"/>
        <v>671.64675213083785</v>
      </c>
      <c r="H374" s="79">
        <f t="shared" si="273"/>
        <v>511.64047046812851</v>
      </c>
      <c r="I374" s="78">
        <f t="shared" si="273"/>
        <v>793.41275507958619</v>
      </c>
      <c r="J374" s="79">
        <f t="shared" si="273"/>
        <v>790.87363561068071</v>
      </c>
      <c r="K374" s="78">
        <f t="shared" si="273"/>
        <v>903.52135870924383</v>
      </c>
      <c r="L374" s="79">
        <f t="shared" si="273"/>
        <v>526.02907406096051</v>
      </c>
      <c r="M374" s="78">
        <f t="shared" si="273"/>
        <v>611.20927150778255</v>
      </c>
      <c r="N374" s="79">
        <f t="shared" si="273"/>
        <v>595.13674365877853</v>
      </c>
      <c r="O374" s="32">
        <f>O375/O$7</f>
        <v>432.92498607667943</v>
      </c>
      <c r="P374" s="57"/>
      <c r="Q374" s="57"/>
      <c r="R374" s="57"/>
      <c r="S374" s="41"/>
    </row>
    <row r="375" spans="1:32" ht="15.75">
      <c r="A375" s="34"/>
      <c r="B375" s="35" t="s">
        <v>57</v>
      </c>
      <c r="C375" s="36">
        <f t="shared" ref="C375:N375" si="274">C293+C298+C303+C318+C323+C328+C333+C338+C343+C348+C358+C368+C353+C313+C308+C363</f>
        <v>135315.82812334463</v>
      </c>
      <c r="D375" s="37">
        <f t="shared" si="274"/>
        <v>75274.949063207256</v>
      </c>
      <c r="E375" s="36">
        <f t="shared" si="274"/>
        <v>130324.11561949147</v>
      </c>
      <c r="F375" s="37">
        <f t="shared" si="274"/>
        <v>164528.11219330761</v>
      </c>
      <c r="G375" s="36">
        <f t="shared" si="274"/>
        <v>149992.75248248593</v>
      </c>
      <c r="H375" s="37">
        <f t="shared" si="274"/>
        <v>157963.14300294468</v>
      </c>
      <c r="I375" s="36">
        <f t="shared" si="274"/>
        <v>253122.35000136541</v>
      </c>
      <c r="J375" s="37">
        <f t="shared" si="274"/>
        <v>252312.29510523623</v>
      </c>
      <c r="K375" s="36">
        <f t="shared" si="274"/>
        <v>195266.31938046747</v>
      </c>
      <c r="L375" s="37">
        <f t="shared" si="274"/>
        <v>117473.28257584866</v>
      </c>
      <c r="M375" s="36">
        <f t="shared" si="274"/>
        <v>132092.7100041564</v>
      </c>
      <c r="N375" s="37">
        <f t="shared" si="274"/>
        <v>132906.4690652366</v>
      </c>
      <c r="O375" s="38">
        <f>SUM(C375:N375)</f>
        <v>1896572.3266170926</v>
      </c>
      <c r="P375" s="56"/>
      <c r="Q375" s="47"/>
      <c r="R375" s="47"/>
      <c r="S375" s="41"/>
    </row>
    <row r="376" spans="1:32">
      <c r="A376" s="42"/>
      <c r="B376" s="35" t="s">
        <v>58</v>
      </c>
      <c r="C376" s="81">
        <f t="shared" ref="C376:N376" si="275">C377/C375</f>
        <v>0.18734367454253917</v>
      </c>
      <c r="D376" s="82">
        <f t="shared" si="275"/>
        <v>0.17859314109165811</v>
      </c>
      <c r="E376" s="81">
        <f t="shared" si="275"/>
        <v>0.17015772553229058</v>
      </c>
      <c r="F376" s="82">
        <f t="shared" si="275"/>
        <v>0.15854870743820809</v>
      </c>
      <c r="G376" s="81">
        <f t="shared" si="275"/>
        <v>0.18351280965475905</v>
      </c>
      <c r="H376" s="82">
        <f t="shared" si="275"/>
        <v>0.20204155110202121</v>
      </c>
      <c r="I376" s="81">
        <f t="shared" si="275"/>
        <v>0.18270182644499003</v>
      </c>
      <c r="J376" s="82">
        <f t="shared" si="275"/>
        <v>0.20090949307670561</v>
      </c>
      <c r="K376" s="81">
        <f t="shared" si="275"/>
        <v>0.18328946496780205</v>
      </c>
      <c r="L376" s="82">
        <f t="shared" si="275"/>
        <v>0.1768855721799667</v>
      </c>
      <c r="M376" s="81">
        <f t="shared" si="275"/>
        <v>0.20471538212835555</v>
      </c>
      <c r="N376" s="82">
        <f t="shared" si="275"/>
        <v>0.19303635270531538</v>
      </c>
      <c r="O376" s="45">
        <f>IF(O375=0,0,+O377/O375)</f>
        <v>0.18596752795531643</v>
      </c>
      <c r="P376" s="40"/>
      <c r="Q376" s="40"/>
      <c r="R376" s="40"/>
      <c r="S376" s="41"/>
    </row>
    <row r="377" spans="1:32" ht="15.75">
      <c r="A377" s="83" t="s">
        <v>470</v>
      </c>
      <c r="B377" s="35" t="s">
        <v>15</v>
      </c>
      <c r="C377" s="48">
        <f t="shared" ref="C377:N377" si="276">C295+C300+C310+C305+C320+C325+C330+C335+C340+C345+C350+C360+C370+C373+C355+C315+C365</f>
        <v>25350.564464394047</v>
      </c>
      <c r="D377" s="49">
        <f t="shared" si="276"/>
        <v>13443.589598712751</v>
      </c>
      <c r="E377" s="48">
        <f t="shared" si="276"/>
        <v>22175.655095819933</v>
      </c>
      <c r="F377" s="49">
        <f t="shared" si="276"/>
        <v>26085.719525497407</v>
      </c>
      <c r="G377" s="48">
        <f t="shared" si="276"/>
        <v>27525.591435911829</v>
      </c>
      <c r="H377" s="49">
        <f t="shared" si="276"/>
        <v>31915.118429265331</v>
      </c>
      <c r="I377" s="48">
        <f t="shared" si="276"/>
        <v>46245.915659297483</v>
      </c>
      <c r="J377" s="49">
        <f t="shared" si="276"/>
        <v>50691.935306613159</v>
      </c>
      <c r="K377" s="48">
        <f t="shared" si="276"/>
        <v>35790.259205477836</v>
      </c>
      <c r="L377" s="49">
        <f t="shared" si="276"/>
        <v>20779.328804287903</v>
      </c>
      <c r="M377" s="48">
        <f t="shared" si="276"/>
        <v>27041.409604870933</v>
      </c>
      <c r="N377" s="49">
        <f t="shared" si="276"/>
        <v>25655.780039295099</v>
      </c>
      <c r="O377" s="50">
        <f>SUM(C377:N377)</f>
        <v>352700.86716944369</v>
      </c>
      <c r="P377" s="80"/>
      <c r="Q377" s="57"/>
      <c r="R377" s="57"/>
      <c r="S377" s="41"/>
    </row>
    <row r="378" spans="1:32" ht="13.5" thickBot="1">
      <c r="A378" s="51"/>
      <c r="B378" s="52" t="s">
        <v>59</v>
      </c>
      <c r="C378" s="53">
        <f t="shared" ref="C378:N378" si="277">C377/C291</f>
        <v>113.51631332441765</v>
      </c>
      <c r="D378" s="54">
        <f t="shared" si="277"/>
        <v>66.648373096821871</v>
      </c>
      <c r="E378" s="53">
        <f t="shared" si="277"/>
        <v>99.29950930942654</v>
      </c>
      <c r="F378" s="54">
        <f t="shared" si="277"/>
        <v>120.70184363265712</v>
      </c>
      <c r="G378" s="53">
        <f t="shared" si="277"/>
        <v>123.25578257902359</v>
      </c>
      <c r="H378" s="54">
        <f t="shared" si="277"/>
        <v>103.37263425994855</v>
      </c>
      <c r="I378" s="53">
        <f t="shared" si="277"/>
        <v>144.95795947779192</v>
      </c>
      <c r="J378" s="54">
        <f t="shared" si="277"/>
        <v>158.89402121827305</v>
      </c>
      <c r="K378" s="53">
        <f t="shared" si="277"/>
        <v>165.60594642479884</v>
      </c>
      <c r="L378" s="54">
        <f t="shared" si="277"/>
        <v>93.04695374857107</v>
      </c>
      <c r="M378" s="53">
        <f t="shared" si="277"/>
        <v>125.12393957710952</v>
      </c>
      <c r="N378" s="54">
        <f t="shared" si="277"/>
        <v>114.88302635680883</v>
      </c>
      <c r="O378" s="55">
        <f>O377/O$291</f>
        <v>121.05898716286127</v>
      </c>
      <c r="P378" s="9"/>
      <c r="Q378" s="9"/>
      <c r="R378" s="9"/>
      <c r="S378" s="70"/>
    </row>
    <row r="379" spans="1:32" ht="13.5" thickBot="1">
      <c r="A379" s="10" t="s">
        <v>1</v>
      </c>
      <c r="B379" s="73" t="s">
        <v>1</v>
      </c>
      <c r="C379" s="74" t="s">
        <v>1</v>
      </c>
      <c r="D379" s="75" t="s">
        <v>1</v>
      </c>
      <c r="E379" s="74" t="s">
        <v>1</v>
      </c>
      <c r="F379" s="75" t="s">
        <v>1</v>
      </c>
      <c r="G379" s="74" t="s">
        <v>1</v>
      </c>
      <c r="H379" s="75" t="s">
        <v>1</v>
      </c>
      <c r="I379" s="74" t="s">
        <v>1</v>
      </c>
      <c r="J379" s="75" t="s">
        <v>1</v>
      </c>
      <c r="K379" s="74" t="s">
        <v>1</v>
      </c>
      <c r="L379" s="75" t="s">
        <v>1</v>
      </c>
      <c r="M379" s="74" t="s">
        <v>1</v>
      </c>
      <c r="N379" s="75" t="s">
        <v>1</v>
      </c>
      <c r="O379" s="6" t="s">
        <v>1</v>
      </c>
      <c r="P379" s="39"/>
      <c r="Q379" s="39"/>
      <c r="R379" s="39"/>
      <c r="S379" s="41"/>
    </row>
    <row r="380" spans="1:32" ht="54.75" customHeight="1" thickBot="1">
      <c r="A380" s="580" t="s">
        <v>90</v>
      </c>
      <c r="B380" s="658"/>
      <c r="C380" s="658"/>
      <c r="D380" s="658"/>
      <c r="E380" s="658"/>
      <c r="F380" s="658"/>
      <c r="G380" s="658"/>
      <c r="H380" s="658"/>
      <c r="I380" s="658"/>
      <c r="J380" s="658"/>
      <c r="K380" s="658"/>
      <c r="L380" s="658"/>
      <c r="M380" s="658"/>
      <c r="N380" s="658"/>
      <c r="O380" s="657"/>
    </row>
    <row r="381" spans="1:32">
      <c r="A381" s="10" t="s">
        <v>1</v>
      </c>
      <c r="B381" s="3"/>
      <c r="C381" s="96"/>
      <c r="D381" s="97"/>
      <c r="E381" s="96"/>
      <c r="F381" s="97"/>
      <c r="G381" s="96"/>
      <c r="H381" s="97"/>
      <c r="I381" s="96"/>
      <c r="O381" s="2"/>
    </row>
    <row r="382" spans="1:32">
      <c r="A382" s="99" t="str">
        <f>A4</f>
        <v>2013 BUDGET</v>
      </c>
      <c r="B382" s="3"/>
      <c r="O382" s="2"/>
      <c r="S382" s="8"/>
    </row>
    <row r="383" spans="1:32">
      <c r="A383" s="99" t="str">
        <f>A5</f>
        <v>Bid Dollars</v>
      </c>
      <c r="B383" s="3"/>
      <c r="O383" s="2"/>
      <c r="P383" s="9"/>
      <c r="Q383" s="9"/>
      <c r="R383" s="9"/>
      <c r="S383" s="9"/>
      <c r="Y383" s="9"/>
      <c r="Z383" s="9"/>
      <c r="AA383" s="9"/>
      <c r="AB383" s="9"/>
      <c r="AC383" s="9"/>
      <c r="AD383" s="9"/>
      <c r="AE383" s="9"/>
      <c r="AF383" s="9"/>
    </row>
    <row r="384" spans="1:32">
      <c r="A384" s="4"/>
      <c r="B384" s="3"/>
      <c r="C384" s="22" t="str">
        <f t="shared" ref="C384:N384" si="278">C6</f>
        <v>JAN</v>
      </c>
      <c r="D384" s="23" t="str">
        <f t="shared" si="278"/>
        <v>FEB</v>
      </c>
      <c r="E384" s="22" t="str">
        <f t="shared" si="278"/>
        <v>MAR</v>
      </c>
      <c r="F384" s="23" t="str">
        <f t="shared" si="278"/>
        <v>APR</v>
      </c>
      <c r="G384" s="22" t="str">
        <f t="shared" si="278"/>
        <v>MAY</v>
      </c>
      <c r="H384" s="23" t="str">
        <f t="shared" si="278"/>
        <v>JUNE</v>
      </c>
      <c r="I384" s="22" t="str">
        <f t="shared" si="278"/>
        <v>JULY</v>
      </c>
      <c r="J384" s="23" t="str">
        <f t="shared" si="278"/>
        <v>AUG</v>
      </c>
      <c r="K384" s="22" t="str">
        <f t="shared" si="278"/>
        <v>SEPT</v>
      </c>
      <c r="L384" s="23" t="str">
        <f t="shared" si="278"/>
        <v>OCT</v>
      </c>
      <c r="M384" s="22" t="str">
        <f t="shared" si="278"/>
        <v>NOV</v>
      </c>
      <c r="N384" s="23" t="str">
        <f t="shared" si="278"/>
        <v>DEC</v>
      </c>
      <c r="O384" s="116" t="s">
        <v>13</v>
      </c>
      <c r="P384" s="15"/>
      <c r="Q384" s="15"/>
      <c r="R384" s="15"/>
      <c r="S384" s="15"/>
      <c r="AC384" s="15"/>
      <c r="AD384" s="15"/>
      <c r="AE384" s="15"/>
      <c r="AF384" s="15"/>
    </row>
    <row r="385" spans="1:32" ht="16.5" thickBot="1">
      <c r="A385" s="19" t="s">
        <v>53</v>
      </c>
      <c r="B385" s="3"/>
      <c r="C385" s="117">
        <f>C7+C103+C197+C291</f>
        <v>998.95354708061996</v>
      </c>
      <c r="D385" s="118">
        <f t="shared" ref="D385:N385" si="279">D7+D103+D197+D291</f>
        <v>972.32206632002431</v>
      </c>
      <c r="E385" s="117">
        <f t="shared" si="279"/>
        <v>1044.4981781211536</v>
      </c>
      <c r="F385" s="118">
        <f t="shared" si="279"/>
        <v>1021.7481326632821</v>
      </c>
      <c r="G385" s="117">
        <f t="shared" si="279"/>
        <v>1179.9574593566063</v>
      </c>
      <c r="H385" s="118">
        <f t="shared" si="279"/>
        <v>1452.5366519371105</v>
      </c>
      <c r="I385" s="117">
        <f t="shared" si="279"/>
        <v>1447.8671177318963</v>
      </c>
      <c r="J385" s="118">
        <f t="shared" si="279"/>
        <v>1504.7340389549636</v>
      </c>
      <c r="K385" s="117">
        <f t="shared" si="279"/>
        <v>1265.9419064025576</v>
      </c>
      <c r="L385" s="118">
        <f t="shared" si="279"/>
        <v>1303.4180153098846</v>
      </c>
      <c r="M385" s="117">
        <f t="shared" si="279"/>
        <v>1141.8915628961113</v>
      </c>
      <c r="N385" s="118">
        <f t="shared" si="279"/>
        <v>1062.153585486124</v>
      </c>
      <c r="O385" s="119">
        <f>SUM(C385:N385)</f>
        <v>14396.022262260332</v>
      </c>
      <c r="P385" s="15"/>
      <c r="Q385" s="72"/>
      <c r="R385" s="15"/>
      <c r="S385" s="15"/>
      <c r="Y385" s="15"/>
      <c r="AC385" s="15"/>
      <c r="AD385" s="15"/>
      <c r="AE385" s="72"/>
      <c r="AF385" s="15"/>
    </row>
    <row r="386" spans="1:32">
      <c r="A386" s="28" t="s">
        <v>54</v>
      </c>
      <c r="B386" s="29" t="s">
        <v>55</v>
      </c>
      <c r="C386" s="120">
        <f t="shared" ref="C386:O386" si="280">C387/C$385</f>
        <v>18.758267464429881</v>
      </c>
      <c r="D386" s="121">
        <f t="shared" si="280"/>
        <v>17.329222116202317</v>
      </c>
      <c r="E386" s="120">
        <f t="shared" si="280"/>
        <v>21.709095806411707</v>
      </c>
      <c r="F386" s="121">
        <f t="shared" si="280"/>
        <v>15.15262190467578</v>
      </c>
      <c r="G386" s="120">
        <f t="shared" si="280"/>
        <v>11.491353411877158</v>
      </c>
      <c r="H386" s="121">
        <f t="shared" si="280"/>
        <v>19.331255308448167</v>
      </c>
      <c r="I386" s="120">
        <f t="shared" si="280"/>
        <v>17.41634317272856</v>
      </c>
      <c r="J386" s="121">
        <f t="shared" si="280"/>
        <v>20.717131075947631</v>
      </c>
      <c r="K386" s="120">
        <f t="shared" si="280"/>
        <v>17.575412500973574</v>
      </c>
      <c r="L386" s="121">
        <f t="shared" si="280"/>
        <v>18.104241644849473</v>
      </c>
      <c r="M386" s="120">
        <f t="shared" si="280"/>
        <v>18.508959587496431</v>
      </c>
      <c r="N386" s="121">
        <f t="shared" si="280"/>
        <v>21.413944370179955</v>
      </c>
      <c r="O386" s="32">
        <f t="shared" si="280"/>
        <v>18.164840865149081</v>
      </c>
    </row>
    <row r="387" spans="1:32">
      <c r="A387" s="34" t="s">
        <v>56</v>
      </c>
      <c r="B387" s="35" t="s">
        <v>57</v>
      </c>
      <c r="C387" s="36">
        <f t="shared" ref="C387:N387" si="281">C9+C105+C293+C199</f>
        <v>18738.637820679218</v>
      </c>
      <c r="D387" s="37">
        <f t="shared" si="281"/>
        <v>16849.585055744501</v>
      </c>
      <c r="E387" s="36">
        <f t="shared" si="281"/>
        <v>22675.111018454605</v>
      </c>
      <c r="F387" s="37">
        <f t="shared" si="281"/>
        <v>15482.163136055224</v>
      </c>
      <c r="G387" s="36">
        <f t="shared" si="281"/>
        <v>13559.308176447441</v>
      </c>
      <c r="H387" s="37">
        <f t="shared" si="281"/>
        <v>28079.356863474793</v>
      </c>
      <c r="I387" s="36">
        <f t="shared" si="281"/>
        <v>25216.550590928091</v>
      </c>
      <c r="J387" s="37">
        <f t="shared" si="281"/>
        <v>31173.77231947007</v>
      </c>
      <c r="K387" s="36">
        <f t="shared" si="281"/>
        <v>22249.451207293827</v>
      </c>
      <c r="L387" s="37">
        <f t="shared" si="281"/>
        <v>23597.394713420261</v>
      </c>
      <c r="M387" s="36">
        <f t="shared" si="281"/>
        <v>21135.224790947264</v>
      </c>
      <c r="N387" s="37">
        <f t="shared" si="281"/>
        <v>22744.897792187039</v>
      </c>
      <c r="O387" s="38">
        <f>SUM(C387:N387)</f>
        <v>261501.45348510239</v>
      </c>
      <c r="P387" s="57"/>
      <c r="Q387" s="57"/>
      <c r="R387" s="57"/>
      <c r="S387" s="41"/>
    </row>
    <row r="388" spans="1:32">
      <c r="A388" s="42"/>
      <c r="B388" s="35" t="s">
        <v>58</v>
      </c>
      <c r="C388" s="81">
        <f t="shared" ref="C388:N388" si="282">IF(C387=0,0,C389/C387)</f>
        <v>0.28003376389757823</v>
      </c>
      <c r="D388" s="82">
        <f t="shared" si="282"/>
        <v>0.30266030387981457</v>
      </c>
      <c r="E388" s="81">
        <f t="shared" si="282"/>
        <v>0.33784426226041359</v>
      </c>
      <c r="F388" s="82">
        <f t="shared" si="282"/>
        <v>0.22994913011450852</v>
      </c>
      <c r="G388" s="81">
        <f t="shared" si="282"/>
        <v>0.30176241818598354</v>
      </c>
      <c r="H388" s="82">
        <f t="shared" si="282"/>
        <v>0.30303361264996659</v>
      </c>
      <c r="I388" s="81">
        <f t="shared" si="282"/>
        <v>0.30217168620818124</v>
      </c>
      <c r="J388" s="82">
        <f t="shared" si="282"/>
        <v>0.30572217258079121</v>
      </c>
      <c r="K388" s="81">
        <f t="shared" si="282"/>
        <v>0.31400257149316235</v>
      </c>
      <c r="L388" s="82">
        <f t="shared" si="282"/>
        <v>0.31418800328188234</v>
      </c>
      <c r="M388" s="81">
        <f t="shared" si="282"/>
        <v>0.36637928388645224</v>
      </c>
      <c r="N388" s="82">
        <f t="shared" si="282"/>
        <v>0.33020360248723324</v>
      </c>
      <c r="O388" s="45">
        <f>IF(O387=0,0,+O389/O387)</f>
        <v>0.30964721363998016</v>
      </c>
      <c r="P388" s="47"/>
      <c r="Q388" s="47"/>
      <c r="R388" s="47"/>
      <c r="S388" s="41"/>
    </row>
    <row r="389" spans="1:32">
      <c r="A389" s="42"/>
      <c r="B389" s="35" t="s">
        <v>15</v>
      </c>
      <c r="C389" s="48">
        <f t="shared" ref="C389:N389" si="283">C11+C107+C295+C201</f>
        <v>5247.4512792383139</v>
      </c>
      <c r="D389" s="49">
        <f t="shared" si="283"/>
        <v>5099.7005332204135</v>
      </c>
      <c r="E389" s="48">
        <f t="shared" si="283"/>
        <v>7660.6561537027719</v>
      </c>
      <c r="F389" s="49">
        <f t="shared" si="283"/>
        <v>3560.1099454268096</v>
      </c>
      <c r="G389" s="48">
        <f t="shared" si="283"/>
        <v>4091.6896242537582</v>
      </c>
      <c r="H389" s="49">
        <f t="shared" si="283"/>
        <v>8508.9889512264017</v>
      </c>
      <c r="I389" s="48">
        <f t="shared" si="283"/>
        <v>7619.7276124146501</v>
      </c>
      <c r="J389" s="49">
        <f t="shared" si="283"/>
        <v>9530.5134010473212</v>
      </c>
      <c r="K389" s="48">
        <f t="shared" si="283"/>
        <v>6986.384893401907</v>
      </c>
      <c r="L389" s="49">
        <f t="shared" si="283"/>
        <v>7414.0183276639582</v>
      </c>
      <c r="M389" s="48">
        <f t="shared" si="283"/>
        <v>7743.5085236864506</v>
      </c>
      <c r="N389" s="49">
        <f t="shared" si="283"/>
        <v>7510.4471891840785</v>
      </c>
      <c r="O389" s="50">
        <f>SUM(C389:N389)</f>
        <v>80973.196434466838</v>
      </c>
      <c r="P389" s="40"/>
      <c r="Q389" s="40"/>
      <c r="R389" s="40"/>
      <c r="S389" s="41"/>
    </row>
    <row r="390" spans="1:32" ht="13.5" thickBot="1">
      <c r="A390" s="51"/>
      <c r="B390" s="52" t="s">
        <v>59</v>
      </c>
      <c r="C390" s="53">
        <f t="shared" ref="C390:O390" si="284">C389/C$385</f>
        <v>5.2529482422617813</v>
      </c>
      <c r="D390" s="54">
        <f t="shared" si="284"/>
        <v>5.2448676316905969</v>
      </c>
      <c r="E390" s="53">
        <f t="shared" si="284"/>
        <v>7.334293457057802</v>
      </c>
      <c r="F390" s="54">
        <f t="shared" si="284"/>
        <v>3.4843322259342426</v>
      </c>
      <c r="G390" s="53">
        <f t="shared" si="284"/>
        <v>3.4676585937978035</v>
      </c>
      <c r="H390" s="54">
        <f t="shared" si="284"/>
        <v>5.8580201331778925</v>
      </c>
      <c r="I390" s="53">
        <f t="shared" si="284"/>
        <v>5.2627257840837345</v>
      </c>
      <c r="J390" s="54">
        <f t="shared" si="284"/>
        <v>6.3336863221797346</v>
      </c>
      <c r="K390" s="53">
        <f t="shared" si="284"/>
        <v>5.5187247203587733</v>
      </c>
      <c r="L390" s="54">
        <f t="shared" si="284"/>
        <v>5.6881355333279577</v>
      </c>
      <c r="M390" s="53">
        <f t="shared" si="284"/>
        <v>6.7812993591502266</v>
      </c>
      <c r="N390" s="54">
        <f t="shared" si="284"/>
        <v>7.0709615744946284</v>
      </c>
      <c r="O390" s="55">
        <f t="shared" si="284"/>
        <v>5.6246923601070593</v>
      </c>
      <c r="P390" s="57"/>
      <c r="Q390" s="57"/>
      <c r="R390" s="57"/>
      <c r="S390" s="41"/>
    </row>
    <row r="391" spans="1:32">
      <c r="A391" s="28" t="s">
        <v>60</v>
      </c>
      <c r="B391" s="29" t="s">
        <v>55</v>
      </c>
      <c r="C391" s="120">
        <f t="shared" ref="C391:N391" si="285">C392/C$385</f>
        <v>3.5793700631876568</v>
      </c>
      <c r="D391" s="121">
        <f t="shared" si="285"/>
        <v>4.094360536281715</v>
      </c>
      <c r="E391" s="120">
        <f t="shared" si="285"/>
        <v>3.9396971946063575</v>
      </c>
      <c r="F391" s="121">
        <f t="shared" si="285"/>
        <v>3.6711791125569708</v>
      </c>
      <c r="G391" s="120">
        <f t="shared" si="285"/>
        <v>2.7721720636053151</v>
      </c>
      <c r="H391" s="121">
        <f t="shared" si="285"/>
        <v>2.8469155975623548</v>
      </c>
      <c r="I391" s="120">
        <f t="shared" si="285"/>
        <v>2.3228995871819182</v>
      </c>
      <c r="J391" s="121">
        <f t="shared" si="285"/>
        <v>1.8558617369083179</v>
      </c>
      <c r="K391" s="120">
        <f t="shared" si="285"/>
        <v>1.7168024581484609</v>
      </c>
      <c r="L391" s="121">
        <f t="shared" si="285"/>
        <v>2.1083800100052561</v>
      </c>
      <c r="M391" s="120">
        <f t="shared" si="285"/>
        <v>0.37807497442535959</v>
      </c>
      <c r="N391" s="121">
        <f t="shared" si="285"/>
        <v>0.1468510488401982</v>
      </c>
      <c r="O391" s="32">
        <f>O392/O$385</f>
        <v>2.3960773402274711</v>
      </c>
      <c r="P391" s="58"/>
      <c r="Q391" s="58"/>
      <c r="R391" s="58"/>
      <c r="S391" s="41"/>
    </row>
    <row r="392" spans="1:32">
      <c r="A392" s="34" t="s">
        <v>56</v>
      </c>
      <c r="B392" s="35" t="s">
        <v>57</v>
      </c>
      <c r="C392" s="36">
        <f t="shared" ref="C392:N392" si="286">C14+C110+C298+C204</f>
        <v>3575.6244209354927</v>
      </c>
      <c r="D392" s="37">
        <f t="shared" si="286"/>
        <v>3981.0370968965999</v>
      </c>
      <c r="E392" s="36">
        <f t="shared" si="286"/>
        <v>4115.0065421153604</v>
      </c>
      <c r="F392" s="37">
        <f t="shared" si="286"/>
        <v>3751.0204029275301</v>
      </c>
      <c r="G392" s="36">
        <f t="shared" si="286"/>
        <v>3271.0451050710881</v>
      </c>
      <c r="H392" s="37">
        <f t="shared" si="286"/>
        <v>4135.2492504307611</v>
      </c>
      <c r="I392" s="36">
        <f t="shared" si="286"/>
        <v>3363.2499300736959</v>
      </c>
      <c r="J392" s="37">
        <f t="shared" si="286"/>
        <v>2792.5783271200271</v>
      </c>
      <c r="K392" s="36">
        <f t="shared" si="286"/>
        <v>2173.3721767850598</v>
      </c>
      <c r="L392" s="37">
        <f t="shared" si="286"/>
        <v>2748.1004881600857</v>
      </c>
      <c r="M392" s="36">
        <f t="shared" si="286"/>
        <v>431.72062343848114</v>
      </c>
      <c r="N392" s="37">
        <f t="shared" si="286"/>
        <v>155.97836805801444</v>
      </c>
      <c r="O392" s="38">
        <f>SUM(C392:N392)</f>
        <v>34493.982732012199</v>
      </c>
      <c r="P392" s="57"/>
      <c r="Q392" s="57"/>
      <c r="R392" s="57"/>
      <c r="S392" s="41"/>
    </row>
    <row r="393" spans="1:32">
      <c r="A393" s="42"/>
      <c r="B393" s="35" t="s">
        <v>58</v>
      </c>
      <c r="C393" s="81">
        <f t="shared" ref="C393:N393" si="287">IF(C392=0,0,C394/C392)</f>
        <v>0.85970974115057519</v>
      </c>
      <c r="D393" s="122">
        <f t="shared" si="287"/>
        <v>0.86860000000000004</v>
      </c>
      <c r="E393" s="123">
        <f t="shared" si="287"/>
        <v>0.86860000000000004</v>
      </c>
      <c r="F393" s="122">
        <f t="shared" si="287"/>
        <v>0.86860000000000004</v>
      </c>
      <c r="G393" s="123">
        <f t="shared" si="287"/>
        <v>0.86802120096957458</v>
      </c>
      <c r="H393" s="122">
        <f t="shared" si="287"/>
        <v>0.79058520442112856</v>
      </c>
      <c r="I393" s="123">
        <f t="shared" si="287"/>
        <v>0.86860000000000015</v>
      </c>
      <c r="J393" s="122">
        <f t="shared" si="287"/>
        <v>0.86860000000000015</v>
      </c>
      <c r="K393" s="123">
        <f t="shared" si="287"/>
        <v>0.20055090408576115</v>
      </c>
      <c r="L393" s="122">
        <f t="shared" si="287"/>
        <v>0.44735300439101056</v>
      </c>
      <c r="M393" s="123">
        <f t="shared" si="287"/>
        <v>0.86860000000000004</v>
      </c>
      <c r="N393" s="122">
        <f t="shared" si="287"/>
        <v>0.86860000000000015</v>
      </c>
      <c r="O393" s="45">
        <f>IF(O392=0,0,+O394/O392)</f>
        <v>0.78261861175547087</v>
      </c>
      <c r="P393" s="47"/>
      <c r="Q393" s="47"/>
      <c r="R393" s="47"/>
      <c r="S393" s="41"/>
    </row>
    <row r="394" spans="1:32">
      <c r="A394" s="42"/>
      <c r="B394" s="35" t="s">
        <v>15</v>
      </c>
      <c r="C394" s="48">
        <f t="shared" ref="C394:N394" si="288">C16+C112+C300+C206</f>
        <v>3073.9991453741277</v>
      </c>
      <c r="D394" s="49">
        <f t="shared" si="288"/>
        <v>3457.9288223643866</v>
      </c>
      <c r="E394" s="48">
        <f t="shared" si="288"/>
        <v>3574.2946824814021</v>
      </c>
      <c r="F394" s="49">
        <f t="shared" si="288"/>
        <v>3258.1363219828527</v>
      </c>
      <c r="G394" s="48">
        <f t="shared" si="288"/>
        <v>2839.336500529454</v>
      </c>
      <c r="H394" s="49">
        <f t="shared" si="288"/>
        <v>3269.266873984122</v>
      </c>
      <c r="I394" s="48">
        <f t="shared" si="288"/>
        <v>2921.3188892620128</v>
      </c>
      <c r="J394" s="49">
        <f t="shared" si="288"/>
        <v>2425.6335349364558</v>
      </c>
      <c r="K394" s="48">
        <f t="shared" si="288"/>
        <v>435.87175496908242</v>
      </c>
      <c r="L394" s="49">
        <f t="shared" si="288"/>
        <v>1229.371009746817</v>
      </c>
      <c r="M394" s="48">
        <f t="shared" si="288"/>
        <v>374.99253351866474</v>
      </c>
      <c r="N394" s="49">
        <f t="shared" si="288"/>
        <v>135.48281049519136</v>
      </c>
      <c r="O394" s="50">
        <f>SUM(C394:N394)</f>
        <v>26995.63287964457</v>
      </c>
      <c r="P394" s="40"/>
      <c r="Q394" s="40"/>
      <c r="R394" s="40"/>
      <c r="S394" s="41"/>
    </row>
    <row r="395" spans="1:32" ht="13.5" thickBot="1">
      <c r="A395" s="51"/>
      <c r="B395" s="52" t="s">
        <v>59</v>
      </c>
      <c r="C395" s="53">
        <f t="shared" ref="C395:O395" si="289">C394/C$385</f>
        <v>3.0772193105051784</v>
      </c>
      <c r="D395" s="54">
        <f t="shared" si="289"/>
        <v>3.5563615618142976</v>
      </c>
      <c r="E395" s="53">
        <f t="shared" si="289"/>
        <v>3.4220209832350821</v>
      </c>
      <c r="F395" s="54">
        <f t="shared" si="289"/>
        <v>3.1887861771669845</v>
      </c>
      <c r="G395" s="53">
        <f t="shared" si="289"/>
        <v>2.4063041239449894</v>
      </c>
      <c r="H395" s="54">
        <f t="shared" si="289"/>
        <v>2.2507293496685339</v>
      </c>
      <c r="I395" s="53">
        <f t="shared" si="289"/>
        <v>2.0176705814262146</v>
      </c>
      <c r="J395" s="54">
        <f t="shared" si="289"/>
        <v>1.612001504678565</v>
      </c>
      <c r="K395" s="53">
        <f t="shared" si="289"/>
        <v>0.34430628511833095</v>
      </c>
      <c r="L395" s="54">
        <f t="shared" si="289"/>
        <v>0.94319013187380019</v>
      </c>
      <c r="M395" s="53">
        <f t="shared" si="289"/>
        <v>0.32839592278586732</v>
      </c>
      <c r="N395" s="54">
        <f t="shared" si="289"/>
        <v>0.12755482102259619</v>
      </c>
      <c r="O395" s="55">
        <f t="shared" si="289"/>
        <v>1.8752147216675645</v>
      </c>
      <c r="P395" s="57"/>
      <c r="Q395" s="57"/>
      <c r="R395" s="57"/>
      <c r="S395" s="41"/>
    </row>
    <row r="396" spans="1:32">
      <c r="A396" s="28" t="s">
        <v>61</v>
      </c>
      <c r="B396" s="29" t="s">
        <v>55</v>
      </c>
      <c r="C396" s="120">
        <f t="shared" ref="C396:N396" si="290">C397/C$385</f>
        <v>52.238762562357465</v>
      </c>
      <c r="D396" s="121">
        <f t="shared" si="290"/>
        <v>53.351690075820315</v>
      </c>
      <c r="E396" s="120">
        <f t="shared" si="290"/>
        <v>56.533566936797179</v>
      </c>
      <c r="F396" s="121">
        <f t="shared" si="290"/>
        <v>54.458460758390267</v>
      </c>
      <c r="G396" s="120">
        <f t="shared" si="290"/>
        <v>54.854509276805729</v>
      </c>
      <c r="H396" s="121">
        <f t="shared" si="290"/>
        <v>59.519616787416048</v>
      </c>
      <c r="I396" s="120">
        <f t="shared" si="290"/>
        <v>64.576361154418308</v>
      </c>
      <c r="J396" s="121">
        <f t="shared" si="290"/>
        <v>65.047454598798907</v>
      </c>
      <c r="K396" s="120">
        <f t="shared" si="290"/>
        <v>65.744155415529121</v>
      </c>
      <c r="L396" s="121">
        <f t="shared" si="290"/>
        <v>61.241424464141005</v>
      </c>
      <c r="M396" s="120">
        <f t="shared" si="290"/>
        <v>57.910385169195528</v>
      </c>
      <c r="N396" s="121">
        <f t="shared" si="290"/>
        <v>55.460763181503069</v>
      </c>
      <c r="O396" s="32">
        <f>O397/O$385</f>
        <v>59.002087716726528</v>
      </c>
      <c r="Z396" s="124"/>
      <c r="AD396" s="33"/>
      <c r="AF396" s="58"/>
    </row>
    <row r="397" spans="1:32">
      <c r="A397" s="34" t="s">
        <v>56</v>
      </c>
      <c r="B397" s="35" t="s">
        <v>57</v>
      </c>
      <c r="C397" s="36">
        <f t="shared" ref="C397:N397" si="291">C19+C115+C303+C209</f>
        <v>52184.097156769283</v>
      </c>
      <c r="D397" s="37">
        <f t="shared" si="291"/>
        <v>51875.025536187146</v>
      </c>
      <c r="E397" s="36">
        <f t="shared" si="291"/>
        <v>59049.207668174939</v>
      </c>
      <c r="F397" s="37">
        <f t="shared" si="291"/>
        <v>55642.830587601886</v>
      </c>
      <c r="G397" s="36">
        <f t="shared" si="291"/>
        <v>64725.987400513077</v>
      </c>
      <c r="H397" s="37">
        <f t="shared" si="291"/>
        <v>86454.42489297314</v>
      </c>
      <c r="I397" s="36">
        <f t="shared" si="291"/>
        <v>93497.989898261629</v>
      </c>
      <c r="J397" s="37">
        <f t="shared" si="291"/>
        <v>97879.1190821903</v>
      </c>
      <c r="K397" s="36">
        <f t="shared" si="291"/>
        <v>83228.281441560976</v>
      </c>
      <c r="L397" s="37">
        <f t="shared" si="291"/>
        <v>79823.175929800884</v>
      </c>
      <c r="M397" s="36">
        <f t="shared" si="291"/>
        <v>66127.380228768467</v>
      </c>
      <c r="N397" s="37">
        <f t="shared" si="291"/>
        <v>58907.848467030301</v>
      </c>
      <c r="O397" s="38">
        <f>SUM(C397:N397)</f>
        <v>849395.36828983203</v>
      </c>
      <c r="P397" s="57"/>
      <c r="Q397" s="57"/>
      <c r="R397" s="57"/>
      <c r="S397" s="41"/>
      <c r="Y397" s="15"/>
      <c r="Z397" s="124"/>
      <c r="AA397" s="15"/>
      <c r="AC397" s="57"/>
      <c r="AD397" s="33"/>
      <c r="AE397" s="57"/>
      <c r="AF397" s="58"/>
    </row>
    <row r="398" spans="1:32">
      <c r="A398" s="42"/>
      <c r="B398" s="35" t="s">
        <v>58</v>
      </c>
      <c r="C398" s="81">
        <f t="shared" ref="C398:N398" si="292">IF(C397=0,0,C399/C397)</f>
        <v>0.21298177083420233</v>
      </c>
      <c r="D398" s="82">
        <f t="shared" si="292"/>
        <v>0.21164631898253031</v>
      </c>
      <c r="E398" s="81">
        <f t="shared" si="292"/>
        <v>0.21309928404748585</v>
      </c>
      <c r="F398" s="82">
        <f t="shared" si="292"/>
        <v>0.21277429516889595</v>
      </c>
      <c r="G398" s="81">
        <f t="shared" si="292"/>
        <v>0.21213710493597493</v>
      </c>
      <c r="H398" s="82">
        <f t="shared" si="292"/>
        <v>0.21185127311290866</v>
      </c>
      <c r="I398" s="81">
        <f t="shared" si="292"/>
        <v>0.21179177376800443</v>
      </c>
      <c r="J398" s="82">
        <f t="shared" si="292"/>
        <v>0.21169091960154743</v>
      </c>
      <c r="K398" s="81">
        <f t="shared" si="292"/>
        <v>0.21000000000000002</v>
      </c>
      <c r="L398" s="82">
        <f t="shared" si="292"/>
        <v>0.21000000000000005</v>
      </c>
      <c r="M398" s="81">
        <f t="shared" si="292"/>
        <v>0.21</v>
      </c>
      <c r="N398" s="82">
        <f t="shared" si="292"/>
        <v>0.21000000000000002</v>
      </c>
      <c r="O398" s="45">
        <f>IF(O397=0,0,+O399/O397)</f>
        <v>0.21142429986425171</v>
      </c>
      <c r="P398" s="47"/>
      <c r="Q398" s="47"/>
      <c r="R398" s="47"/>
      <c r="S398" s="41"/>
      <c r="Z398" s="124"/>
      <c r="AA398" s="15"/>
      <c r="AC398" s="47"/>
      <c r="AD398" s="33"/>
      <c r="AE398" s="47"/>
      <c r="AF398" s="58"/>
    </row>
    <row r="399" spans="1:32">
      <c r="A399" s="42"/>
      <c r="B399" s="35" t="s">
        <v>15</v>
      </c>
      <c r="C399" s="48">
        <f t="shared" ref="C399:N399" si="293">C21+C117+C305+C211</f>
        <v>11114.261421832785</v>
      </c>
      <c r="D399" s="49">
        <f t="shared" si="293"/>
        <v>10979.158201858771</v>
      </c>
      <c r="E399" s="48">
        <f t="shared" si="293"/>
        <v>12583.34387765939</v>
      </c>
      <c r="F399" s="49">
        <f t="shared" si="293"/>
        <v>11839.364059479276</v>
      </c>
      <c r="G399" s="48">
        <f t="shared" si="293"/>
        <v>13730.783581267233</v>
      </c>
      <c r="H399" s="49">
        <f t="shared" si="293"/>
        <v>18315.479979820702</v>
      </c>
      <c r="I399" s="48">
        <f t="shared" si="293"/>
        <v>19802.105124295791</v>
      </c>
      <c r="J399" s="49">
        <f t="shared" si="293"/>
        <v>20720.120728298232</v>
      </c>
      <c r="K399" s="48">
        <f t="shared" si="293"/>
        <v>17477.939102727807</v>
      </c>
      <c r="L399" s="49">
        <f t="shared" si="293"/>
        <v>16762.866945258189</v>
      </c>
      <c r="M399" s="48">
        <f t="shared" si="293"/>
        <v>13886.749848041378</v>
      </c>
      <c r="N399" s="49">
        <f t="shared" si="293"/>
        <v>12370.648178076364</v>
      </c>
      <c r="O399" s="50">
        <f>SUM(C399:N399)</f>
        <v>179582.82104861597</v>
      </c>
      <c r="P399" s="40"/>
      <c r="Q399" s="40"/>
      <c r="R399" s="40"/>
      <c r="S399" s="41"/>
      <c r="Z399" s="124"/>
      <c r="AA399" s="15"/>
      <c r="AC399" s="40"/>
      <c r="AD399" s="33"/>
      <c r="AE399" s="40"/>
      <c r="AF399" s="58"/>
    </row>
    <row r="400" spans="1:32" ht="13.5" thickBot="1">
      <c r="A400" s="51"/>
      <c r="B400" s="52" t="s">
        <v>59</v>
      </c>
      <c r="C400" s="53">
        <f t="shared" ref="C400:O400" si="294">C399/C$385</f>
        <v>11.125904156718326</v>
      </c>
      <c r="D400" s="54">
        <f t="shared" si="294"/>
        <v>11.291688816044164</v>
      </c>
      <c r="E400" s="53">
        <f t="shared" si="294"/>
        <v>12.047262638882096</v>
      </c>
      <c r="F400" s="54">
        <f t="shared" si="294"/>
        <v>11.587360603849469</v>
      </c>
      <c r="G400" s="53">
        <f t="shared" si="294"/>
        <v>11.636676790665147</v>
      </c>
      <c r="H400" s="54">
        <f t="shared" si="294"/>
        <v>12.60930659160654</v>
      </c>
      <c r="I400" s="53">
        <f t="shared" si="294"/>
        <v>13.676742072377513</v>
      </c>
      <c r="J400" s="54">
        <f t="shared" si="294"/>
        <v>13.769955481759645</v>
      </c>
      <c r="K400" s="53">
        <f t="shared" si="294"/>
        <v>13.806272637261118</v>
      </c>
      <c r="L400" s="54">
        <f t="shared" si="294"/>
        <v>12.860699137469615</v>
      </c>
      <c r="M400" s="53">
        <f t="shared" si="294"/>
        <v>12.161180885531062</v>
      </c>
      <c r="N400" s="54">
        <f t="shared" si="294"/>
        <v>11.646760268115646</v>
      </c>
      <c r="O400" s="55">
        <f t="shared" si="294"/>
        <v>12.474475086038073</v>
      </c>
      <c r="P400" s="57"/>
      <c r="Q400" s="57"/>
      <c r="R400" s="57"/>
      <c r="S400" s="41"/>
      <c r="Z400" s="124"/>
      <c r="AA400" s="15"/>
      <c r="AC400" s="57"/>
      <c r="AD400" s="33"/>
      <c r="AE400" s="57"/>
      <c r="AF400" s="58"/>
    </row>
    <row r="401" spans="1:32">
      <c r="A401" s="28" t="s">
        <v>62</v>
      </c>
      <c r="B401" s="29" t="s">
        <v>55</v>
      </c>
      <c r="C401" s="120">
        <f t="shared" ref="C401:N401" si="295">C402/C$385</f>
        <v>0</v>
      </c>
      <c r="D401" s="121">
        <f t="shared" si="295"/>
        <v>0</v>
      </c>
      <c r="E401" s="120">
        <f t="shared" si="295"/>
        <v>1.9333345668854975</v>
      </c>
      <c r="F401" s="121">
        <f t="shared" si="295"/>
        <v>5.1923570124383749E-2</v>
      </c>
      <c r="G401" s="120">
        <f t="shared" si="295"/>
        <v>1.5703355419219074</v>
      </c>
      <c r="H401" s="121">
        <f t="shared" si="295"/>
        <v>2.5056581811293528</v>
      </c>
      <c r="I401" s="120">
        <f t="shared" si="295"/>
        <v>1.3810307963738775</v>
      </c>
      <c r="J401" s="121">
        <f t="shared" si="295"/>
        <v>0</v>
      </c>
      <c r="K401" s="120">
        <f t="shared" si="295"/>
        <v>0.69533194217185768</v>
      </c>
      <c r="L401" s="121">
        <f t="shared" si="295"/>
        <v>0</v>
      </c>
      <c r="M401" s="120">
        <f t="shared" si="295"/>
        <v>2.7524122033370193</v>
      </c>
      <c r="N401" s="121">
        <f t="shared" si="295"/>
        <v>0</v>
      </c>
      <c r="O401" s="32">
        <f>O402/O$385</f>
        <v>0.94384835432285996</v>
      </c>
    </row>
    <row r="402" spans="1:32">
      <c r="A402" s="34" t="s">
        <v>56</v>
      </c>
      <c r="B402" s="35" t="s">
        <v>57</v>
      </c>
      <c r="C402" s="36">
        <f t="shared" ref="C402:N402" si="296">C24+C120+C308+C214</f>
        <v>0</v>
      </c>
      <c r="D402" s="66">
        <f t="shared" si="296"/>
        <v>0</v>
      </c>
      <c r="E402" s="65">
        <f t="shared" si="296"/>
        <v>2019.3644328105518</v>
      </c>
      <c r="F402" s="66">
        <f t="shared" si="296"/>
        <v>53.052810815800079</v>
      </c>
      <c r="G402" s="65">
        <f t="shared" si="296"/>
        <v>1852.9291363835532</v>
      </c>
      <c r="H402" s="66">
        <f t="shared" si="296"/>
        <v>3639.5603453164604</v>
      </c>
      <c r="I402" s="65">
        <f t="shared" si="296"/>
        <v>1999.5490786448313</v>
      </c>
      <c r="J402" s="66">
        <f t="shared" si="296"/>
        <v>0</v>
      </c>
      <c r="K402" s="65">
        <f t="shared" si="296"/>
        <v>880.2498444556345</v>
      </c>
      <c r="L402" s="66">
        <f t="shared" si="296"/>
        <v>0</v>
      </c>
      <c r="M402" s="65">
        <f t="shared" si="296"/>
        <v>3142.956272602838</v>
      </c>
      <c r="N402" s="66">
        <f t="shared" si="296"/>
        <v>0</v>
      </c>
      <c r="O402" s="67">
        <f>SUM(C402:N402)</f>
        <v>13587.66192102967</v>
      </c>
      <c r="P402" s="39"/>
      <c r="Q402" s="39"/>
      <c r="R402" s="39"/>
      <c r="S402" s="41"/>
    </row>
    <row r="403" spans="1:32">
      <c r="A403" s="42"/>
      <c r="B403" s="35" t="s">
        <v>58</v>
      </c>
      <c r="C403" s="81">
        <f t="shared" ref="C403:N403" si="297">IF(C402=0,0,C404/C402)</f>
        <v>0</v>
      </c>
      <c r="D403" s="82">
        <f t="shared" si="297"/>
        <v>0</v>
      </c>
      <c r="E403" s="81">
        <f t="shared" si="297"/>
        <v>0.72719999999999996</v>
      </c>
      <c r="F403" s="82">
        <f t="shared" si="297"/>
        <v>1.8186059999999999</v>
      </c>
      <c r="G403" s="81">
        <f t="shared" si="297"/>
        <v>0.72719999999999985</v>
      </c>
      <c r="H403" s="82">
        <f t="shared" si="297"/>
        <v>0.73875328907602744</v>
      </c>
      <c r="I403" s="81">
        <f t="shared" si="297"/>
        <v>0.78065067217520734</v>
      </c>
      <c r="J403" s="82">
        <f t="shared" si="297"/>
        <v>0</v>
      </c>
      <c r="K403" s="81">
        <f t="shared" si="297"/>
        <v>0.72720000000000007</v>
      </c>
      <c r="L403" s="82">
        <f t="shared" si="297"/>
        <v>0</v>
      </c>
      <c r="M403" s="81">
        <f t="shared" si="297"/>
        <v>0.72720000000000007</v>
      </c>
      <c r="N403" s="82">
        <f t="shared" si="297"/>
        <v>0</v>
      </c>
      <c r="O403" s="45">
        <f>IF(O402=0,0,+O404/O402)</f>
        <v>0.74242177195188308</v>
      </c>
      <c r="P403" s="47"/>
      <c r="Q403" s="68"/>
      <c r="R403" s="47"/>
      <c r="S403" s="41"/>
    </row>
    <row r="404" spans="1:32">
      <c r="A404" s="42"/>
      <c r="B404" s="35" t="s">
        <v>15</v>
      </c>
      <c r="C404" s="48">
        <f t="shared" ref="C404:N404" si="298">C26+C122+C310+C216</f>
        <v>0</v>
      </c>
      <c r="D404" s="49">
        <f t="shared" si="298"/>
        <v>0</v>
      </c>
      <c r="E404" s="48">
        <f t="shared" si="298"/>
        <v>1468.4818155398332</v>
      </c>
      <c r="F404" s="49">
        <f t="shared" si="298"/>
        <v>96.482160066478912</v>
      </c>
      <c r="G404" s="48">
        <f t="shared" si="298"/>
        <v>1347.4500679781197</v>
      </c>
      <c r="H404" s="49">
        <f t="shared" si="298"/>
        <v>2688.7371758932172</v>
      </c>
      <c r="I404" s="48">
        <f t="shared" si="298"/>
        <v>1560.9493322914041</v>
      </c>
      <c r="J404" s="49">
        <f t="shared" si="298"/>
        <v>0</v>
      </c>
      <c r="K404" s="48">
        <f t="shared" si="298"/>
        <v>640.11768688813743</v>
      </c>
      <c r="L404" s="49">
        <f t="shared" si="298"/>
        <v>0</v>
      </c>
      <c r="M404" s="48">
        <f t="shared" si="298"/>
        <v>2285.5578014367838</v>
      </c>
      <c r="N404" s="49">
        <f t="shared" si="298"/>
        <v>0</v>
      </c>
      <c r="O404" s="50">
        <f>SUM(C404:N404)</f>
        <v>10087.776040093975</v>
      </c>
      <c r="P404" s="40"/>
      <c r="Q404" s="40"/>
      <c r="R404" s="39"/>
      <c r="S404" s="41"/>
    </row>
    <row r="405" spans="1:32" ht="13.5" thickBot="1">
      <c r="A405" s="51"/>
      <c r="B405" s="52" t="s">
        <v>59</v>
      </c>
      <c r="C405" s="53">
        <f t="shared" ref="C405:O405" si="299">C404/C$385</f>
        <v>0</v>
      </c>
      <c r="D405" s="54">
        <f t="shared" si="299"/>
        <v>0</v>
      </c>
      <c r="E405" s="53">
        <f t="shared" si="299"/>
        <v>1.4059208970391337</v>
      </c>
      <c r="F405" s="54">
        <f t="shared" si="299"/>
        <v>9.4428516169625026E-2</v>
      </c>
      <c r="G405" s="53">
        <f t="shared" si="299"/>
        <v>1.1419480060856109</v>
      </c>
      <c r="H405" s="54">
        <f t="shared" si="299"/>
        <v>1.851063222609566</v>
      </c>
      <c r="I405" s="53">
        <f t="shared" si="299"/>
        <v>1.0781026194839294</v>
      </c>
      <c r="J405" s="54">
        <f t="shared" si="299"/>
        <v>0</v>
      </c>
      <c r="K405" s="53">
        <f t="shared" si="299"/>
        <v>0.50564538834737494</v>
      </c>
      <c r="L405" s="54">
        <f t="shared" si="299"/>
        <v>0</v>
      </c>
      <c r="M405" s="53">
        <f t="shared" si="299"/>
        <v>2.0015541542666804</v>
      </c>
      <c r="N405" s="54">
        <f t="shared" si="299"/>
        <v>0</v>
      </c>
      <c r="O405" s="55">
        <f t="shared" si="299"/>
        <v>0.70073356767024642</v>
      </c>
      <c r="P405" s="57"/>
      <c r="Q405" s="57"/>
      <c r="R405" s="57"/>
      <c r="S405" s="41"/>
    </row>
    <row r="406" spans="1:32">
      <c r="A406" s="181" t="s">
        <v>63</v>
      </c>
      <c r="B406" s="29" t="s">
        <v>55</v>
      </c>
      <c r="C406" s="120">
        <f t="shared" ref="C406:N406" si="300">C407/C$385</f>
        <v>26.562960725806757</v>
      </c>
      <c r="D406" s="121">
        <f t="shared" si="300"/>
        <v>25.939349298810203</v>
      </c>
      <c r="E406" s="120">
        <f t="shared" si="300"/>
        <v>24.267253238536139</v>
      </c>
      <c r="F406" s="121">
        <f t="shared" si="300"/>
        <v>23.671464044030401</v>
      </c>
      <c r="G406" s="120">
        <f t="shared" si="300"/>
        <v>25.355927250907985</v>
      </c>
      <c r="H406" s="121">
        <f t="shared" si="300"/>
        <v>25.666142081079176</v>
      </c>
      <c r="I406" s="120">
        <f t="shared" si="300"/>
        <v>25.050205246509051</v>
      </c>
      <c r="J406" s="121">
        <f t="shared" si="300"/>
        <v>25.346614138397712</v>
      </c>
      <c r="K406" s="120">
        <f t="shared" si="300"/>
        <v>26.468243568747262</v>
      </c>
      <c r="L406" s="121">
        <f t="shared" si="300"/>
        <v>27.402806992900572</v>
      </c>
      <c r="M406" s="120">
        <f t="shared" si="300"/>
        <v>27.118807827337623</v>
      </c>
      <c r="N406" s="121">
        <f t="shared" si="300"/>
        <v>27.912094033759391</v>
      </c>
      <c r="O406" s="32">
        <f>O407/O$385</f>
        <v>25.891693100680815</v>
      </c>
    </row>
    <row r="407" spans="1:32">
      <c r="A407" s="34" t="s">
        <v>64</v>
      </c>
      <c r="B407" s="35" t="s">
        <v>57</v>
      </c>
      <c r="C407" s="36">
        <f t="shared" ref="C407:N407" si="301">C29+C125+C313+C219</f>
        <v>26535.163838007858</v>
      </c>
      <c r="D407" s="37">
        <f t="shared" si="301"/>
        <v>25221.40170921601</v>
      </c>
      <c r="E407" s="36">
        <f t="shared" si="301"/>
        <v>25347.101795655661</v>
      </c>
      <c r="F407" s="37">
        <f t="shared" si="301"/>
        <v>24186.274184394086</v>
      </c>
      <c r="G407" s="36">
        <f t="shared" si="301"/>
        <v>29918.915498612325</v>
      </c>
      <c r="H407" s="37">
        <f t="shared" si="301"/>
        <v>37281.012086592928</v>
      </c>
      <c r="I407" s="36">
        <f t="shared" si="301"/>
        <v>36269.368468855486</v>
      </c>
      <c r="J407" s="37">
        <f t="shared" si="301"/>
        <v>38139.913066304172</v>
      </c>
      <c r="K407" s="36">
        <f t="shared" si="301"/>
        <v>33507.258722547143</v>
      </c>
      <c r="L407" s="37">
        <f t="shared" si="301"/>
        <v>35717.31230460629</v>
      </c>
      <c r="M407" s="36">
        <f t="shared" si="301"/>
        <v>30966.737853837854</v>
      </c>
      <c r="N407" s="37">
        <f t="shared" si="301"/>
        <v>29646.93075638339</v>
      </c>
      <c r="O407" s="38">
        <f>SUM(C407:N407)</f>
        <v>372737.39028501324</v>
      </c>
    </row>
    <row r="408" spans="1:32">
      <c r="A408" s="103"/>
      <c r="B408" s="35" t="s">
        <v>58</v>
      </c>
      <c r="C408" s="81">
        <f t="shared" ref="C408:N408" si="302">IF(C407=0,0,C409/C407)</f>
        <v>0.3528</v>
      </c>
      <c r="D408" s="82">
        <f t="shared" si="302"/>
        <v>0.3528</v>
      </c>
      <c r="E408" s="81">
        <f t="shared" si="302"/>
        <v>0.35279999999999995</v>
      </c>
      <c r="F408" s="82">
        <f t="shared" si="302"/>
        <v>0.35279999999999995</v>
      </c>
      <c r="G408" s="81">
        <f t="shared" si="302"/>
        <v>0.3528</v>
      </c>
      <c r="H408" s="82">
        <f t="shared" si="302"/>
        <v>0.3528</v>
      </c>
      <c r="I408" s="81">
        <f t="shared" si="302"/>
        <v>0.3528</v>
      </c>
      <c r="J408" s="82">
        <f t="shared" si="302"/>
        <v>0.3528</v>
      </c>
      <c r="K408" s="81">
        <f t="shared" si="302"/>
        <v>0.35280000000000006</v>
      </c>
      <c r="L408" s="82">
        <f t="shared" si="302"/>
        <v>0.35279999999999995</v>
      </c>
      <c r="M408" s="81">
        <f t="shared" si="302"/>
        <v>0.3528</v>
      </c>
      <c r="N408" s="82">
        <f t="shared" si="302"/>
        <v>0.3528</v>
      </c>
      <c r="O408" s="45">
        <f>IF(O407=0,0,+O409/O407)</f>
        <v>0.3528</v>
      </c>
    </row>
    <row r="409" spans="1:32">
      <c r="A409" s="42"/>
      <c r="B409" s="35" t="s">
        <v>15</v>
      </c>
      <c r="C409" s="48">
        <f t="shared" ref="C409:N409" si="303">C31+C127+C315+C221</f>
        <v>9361.6058020491728</v>
      </c>
      <c r="D409" s="49">
        <f t="shared" si="303"/>
        <v>8898.1105230114081</v>
      </c>
      <c r="E409" s="48">
        <f t="shared" si="303"/>
        <v>8942.4575135073155</v>
      </c>
      <c r="F409" s="49">
        <f t="shared" si="303"/>
        <v>8532.9175322542324</v>
      </c>
      <c r="G409" s="48">
        <f t="shared" si="303"/>
        <v>10555.393387910428</v>
      </c>
      <c r="H409" s="49">
        <f t="shared" si="303"/>
        <v>13152.741064149985</v>
      </c>
      <c r="I409" s="48">
        <f t="shared" si="303"/>
        <v>12795.833195812216</v>
      </c>
      <c r="J409" s="49">
        <f t="shared" si="303"/>
        <v>13455.761329792113</v>
      </c>
      <c r="K409" s="48">
        <f t="shared" si="303"/>
        <v>11821.360877314633</v>
      </c>
      <c r="L409" s="49">
        <f t="shared" si="303"/>
        <v>12601.067781065098</v>
      </c>
      <c r="M409" s="48">
        <f t="shared" si="303"/>
        <v>10925.065114833995</v>
      </c>
      <c r="N409" s="49">
        <f t="shared" si="303"/>
        <v>10459.437170852059</v>
      </c>
      <c r="O409" s="50">
        <f>SUM(C409:N409)</f>
        <v>131501.75129255268</v>
      </c>
    </row>
    <row r="410" spans="1:32" ht="13.5" thickBot="1">
      <c r="A410" s="51"/>
      <c r="B410" s="52" t="s">
        <v>59</v>
      </c>
      <c r="C410" s="53">
        <f t="shared" ref="C410:O410" si="304">C409/C$385</f>
        <v>9.3714125440646239</v>
      </c>
      <c r="D410" s="54">
        <f t="shared" si="304"/>
        <v>9.1514024326202392</v>
      </c>
      <c r="E410" s="53">
        <f t="shared" si="304"/>
        <v>8.5614869425555487</v>
      </c>
      <c r="F410" s="54">
        <f t="shared" si="304"/>
        <v>8.3512925147339239</v>
      </c>
      <c r="G410" s="53">
        <f t="shared" si="304"/>
        <v>8.9455711341203372</v>
      </c>
      <c r="H410" s="54">
        <f t="shared" si="304"/>
        <v>9.0550149262047324</v>
      </c>
      <c r="I410" s="53">
        <f t="shared" si="304"/>
        <v>8.8377124109683933</v>
      </c>
      <c r="J410" s="54">
        <f t="shared" si="304"/>
        <v>8.9422854680267125</v>
      </c>
      <c r="K410" s="53">
        <f t="shared" si="304"/>
        <v>9.3379963310540344</v>
      </c>
      <c r="L410" s="54">
        <f t="shared" si="304"/>
        <v>9.6677103070953212</v>
      </c>
      <c r="M410" s="53">
        <f t="shared" si="304"/>
        <v>9.5675154014847124</v>
      </c>
      <c r="N410" s="54">
        <f t="shared" si="304"/>
        <v>9.8473867751103139</v>
      </c>
      <c r="O410" s="55">
        <f t="shared" si="304"/>
        <v>9.1345893259201922</v>
      </c>
    </row>
    <row r="411" spans="1:32">
      <c r="A411" s="28" t="s">
        <v>65</v>
      </c>
      <c r="B411" s="29" t="s">
        <v>55</v>
      </c>
      <c r="C411" s="120">
        <f t="shared" ref="C411:N411" si="305">C412/C$385</f>
        <v>33.692401968728575</v>
      </c>
      <c r="D411" s="121">
        <f t="shared" si="305"/>
        <v>44.610439833892364</v>
      </c>
      <c r="E411" s="120">
        <f t="shared" si="305"/>
        <v>46.028589603219622</v>
      </c>
      <c r="F411" s="121">
        <f t="shared" si="305"/>
        <v>35.837444478006034</v>
      </c>
      <c r="G411" s="120">
        <f t="shared" si="305"/>
        <v>29.631586212031152</v>
      </c>
      <c r="H411" s="121">
        <f t="shared" si="305"/>
        <v>21.189383636830495</v>
      </c>
      <c r="I411" s="120">
        <f t="shared" si="305"/>
        <v>35.014636657258016</v>
      </c>
      <c r="J411" s="121">
        <f t="shared" si="305"/>
        <v>97.512707443730477</v>
      </c>
      <c r="K411" s="120">
        <f t="shared" si="305"/>
        <v>84.565725950662156</v>
      </c>
      <c r="L411" s="121">
        <f t="shared" si="305"/>
        <v>107.5456920213704</v>
      </c>
      <c r="M411" s="120">
        <f t="shared" si="305"/>
        <v>59.580339326533981</v>
      </c>
      <c r="N411" s="121">
        <f t="shared" si="305"/>
        <v>3.976764786961938</v>
      </c>
      <c r="O411" s="32">
        <f>O412/O$385</f>
        <v>51.707796442658783</v>
      </c>
      <c r="Z411" s="124"/>
      <c r="AD411" s="33"/>
      <c r="AF411" s="58"/>
    </row>
    <row r="412" spans="1:32">
      <c r="A412" s="34" t="s">
        <v>64</v>
      </c>
      <c r="B412" s="35" t="s">
        <v>57</v>
      </c>
      <c r="C412" s="36">
        <f t="shared" ref="C412:N412" si="306">C34+C130+C318+C224</f>
        <v>33657.144456327471</v>
      </c>
      <c r="D412" s="37">
        <f t="shared" si="306"/>
        <v>43375.715038735347</v>
      </c>
      <c r="E412" s="36">
        <f t="shared" si="306"/>
        <v>48076.777982049171</v>
      </c>
      <c r="F412" s="37">
        <f t="shared" si="306"/>
        <v>36616.841974826719</v>
      </c>
      <c r="G412" s="36">
        <f t="shared" si="306"/>
        <v>34964.011183454524</v>
      </c>
      <c r="H412" s="37">
        <f t="shared" si="306"/>
        <v>30778.35636445276</v>
      </c>
      <c r="I412" s="36">
        <f t="shared" si="306"/>
        <v>50696.54105537376</v>
      </c>
      <c r="J412" s="37">
        <f t="shared" si="306"/>
        <v>146730.69012123829</v>
      </c>
      <c r="K412" s="36">
        <f t="shared" si="306"/>
        <v>107055.2963262975</v>
      </c>
      <c r="L412" s="37">
        <f t="shared" si="306"/>
        <v>140176.99244962269</v>
      </c>
      <c r="M412" s="36">
        <f t="shared" si="306"/>
        <v>68034.286791456529</v>
      </c>
      <c r="N412" s="37">
        <f t="shared" si="306"/>
        <v>4223.9349771065845</v>
      </c>
      <c r="O412" s="38">
        <f>SUM(C412:N412)</f>
        <v>744386.58872094145</v>
      </c>
      <c r="P412" s="60"/>
      <c r="Q412" s="60"/>
      <c r="R412" s="57"/>
      <c r="S412" s="41"/>
      <c r="Y412" s="15"/>
      <c r="Z412" s="124"/>
      <c r="AA412" s="15"/>
      <c r="AC412" s="60"/>
      <c r="AD412" s="33"/>
      <c r="AE412" s="60"/>
      <c r="AF412" s="58"/>
    </row>
    <row r="413" spans="1:32">
      <c r="A413" s="42"/>
      <c r="B413" s="35" t="s">
        <v>58</v>
      </c>
      <c r="C413" s="81">
        <f t="shared" ref="C413:N413" si="307">IF(C412=0,0,C414/C412)</f>
        <v>0.22036214260611051</v>
      </c>
      <c r="D413" s="82">
        <f t="shared" si="307"/>
        <v>0.20391004171168051</v>
      </c>
      <c r="E413" s="81">
        <f t="shared" si="307"/>
        <v>0.19075091085164106</v>
      </c>
      <c r="F413" s="82">
        <f t="shared" si="307"/>
        <v>0.22220000000000001</v>
      </c>
      <c r="G413" s="81">
        <f t="shared" si="307"/>
        <v>0.18830685431462044</v>
      </c>
      <c r="H413" s="82">
        <f t="shared" si="307"/>
        <v>0.20291809245213713</v>
      </c>
      <c r="I413" s="81">
        <f t="shared" si="307"/>
        <v>0.16073315057148549</v>
      </c>
      <c r="J413" s="82">
        <f t="shared" si="307"/>
        <v>0.12969787845145928</v>
      </c>
      <c r="K413" s="81">
        <f t="shared" si="307"/>
        <v>0.10125970519996394</v>
      </c>
      <c r="L413" s="82">
        <f t="shared" si="307"/>
        <v>0.10908</v>
      </c>
      <c r="M413" s="81">
        <f t="shared" si="307"/>
        <v>0.10248340515699475</v>
      </c>
      <c r="N413" s="82">
        <f t="shared" si="307"/>
        <v>8.3296783848701622E-2</v>
      </c>
      <c r="O413" s="45">
        <f>IF(O412=0,0,+O414/O412)</f>
        <v>0.14378590290259954</v>
      </c>
      <c r="P413" s="47"/>
      <c r="Q413" s="47"/>
      <c r="R413" s="47"/>
      <c r="S413" s="41"/>
      <c r="Z413" s="124"/>
      <c r="AA413" s="15"/>
      <c r="AC413" s="47"/>
      <c r="AD413" s="33"/>
      <c r="AE413" s="47"/>
      <c r="AF413" s="58"/>
    </row>
    <row r="414" spans="1:32">
      <c r="A414" s="42"/>
      <c r="B414" s="35" t="s">
        <v>15</v>
      </c>
      <c r="C414" s="48">
        <f t="shared" ref="C414:N414" si="308">C36+C132+C320+C226</f>
        <v>7416.7604663996954</v>
      </c>
      <c r="D414" s="49">
        <f t="shared" si="308"/>
        <v>8844.7438628224918</v>
      </c>
      <c r="E414" s="48">
        <f t="shared" si="308"/>
        <v>9170.6891908880007</v>
      </c>
      <c r="F414" s="49">
        <f t="shared" si="308"/>
        <v>8136.2622868064973</v>
      </c>
      <c r="G414" s="48">
        <f t="shared" si="308"/>
        <v>6583.9629601775305</v>
      </c>
      <c r="H414" s="49">
        <f t="shared" si="308"/>
        <v>6245.4853622868486</v>
      </c>
      <c r="I414" s="48">
        <f t="shared" si="308"/>
        <v>8148.6147669068869</v>
      </c>
      <c r="J414" s="49">
        <f t="shared" si="308"/>
        <v>19030.659212443101</v>
      </c>
      <c r="K414" s="48">
        <f t="shared" si="308"/>
        <v>10840.387746095666</v>
      </c>
      <c r="L414" s="49">
        <f t="shared" si="308"/>
        <v>15290.506336404842</v>
      </c>
      <c r="M414" s="48">
        <f t="shared" si="308"/>
        <v>6972.3853778160155</v>
      </c>
      <c r="N414" s="49">
        <f t="shared" si="308"/>
        <v>351.84019877901761</v>
      </c>
      <c r="O414" s="50">
        <f>SUM(C414:N414)</f>
        <v>107032.29776782659</v>
      </c>
      <c r="P414" s="40"/>
      <c r="Q414" s="40"/>
      <c r="R414" s="40"/>
      <c r="S414" s="41"/>
      <c r="Z414" s="124"/>
      <c r="AA414" s="15"/>
      <c r="AC414" s="40"/>
      <c r="AD414" s="33"/>
      <c r="AE414" s="40"/>
      <c r="AF414" s="58"/>
    </row>
    <row r="415" spans="1:32" ht="13.5" thickBot="1">
      <c r="A415" s="51"/>
      <c r="B415" s="52" t="s">
        <v>59</v>
      </c>
      <c r="C415" s="53">
        <f t="shared" ref="C415:O415" si="309">C414/C$385</f>
        <v>7.424529887375364</v>
      </c>
      <c r="D415" s="54">
        <f t="shared" si="309"/>
        <v>9.0965166473054051</v>
      </c>
      <c r="E415" s="53">
        <f t="shared" si="309"/>
        <v>8.7799953920305178</v>
      </c>
      <c r="F415" s="54">
        <f t="shared" si="309"/>
        <v>7.9630801630129415</v>
      </c>
      <c r="G415" s="53">
        <f t="shared" si="309"/>
        <v>5.5798307879400655</v>
      </c>
      <c r="H415" s="54">
        <f t="shared" si="309"/>
        <v>4.2997093078221722</v>
      </c>
      <c r="I415" s="53">
        <f t="shared" si="309"/>
        <v>5.628012866036908</v>
      </c>
      <c r="J415" s="54">
        <f t="shared" si="309"/>
        <v>12.647191277509663</v>
      </c>
      <c r="K415" s="53">
        <f t="shared" si="309"/>
        <v>8.5631004797849908</v>
      </c>
      <c r="L415" s="54">
        <f t="shared" si="309"/>
        <v>11.731084085691082</v>
      </c>
      <c r="M415" s="53">
        <f t="shared" si="309"/>
        <v>6.105996054592409</v>
      </c>
      <c r="N415" s="54">
        <f t="shared" si="309"/>
        <v>0.33125171687669652</v>
      </c>
      <c r="O415" s="55">
        <f t="shared" si="309"/>
        <v>7.4348521986115177</v>
      </c>
      <c r="P415" s="57"/>
      <c r="Q415" s="57"/>
      <c r="R415" s="57"/>
      <c r="S415" s="41"/>
      <c r="Z415" s="124"/>
      <c r="AA415" s="15"/>
      <c r="AC415" s="57"/>
      <c r="AD415" s="33"/>
      <c r="AE415" s="57"/>
      <c r="AF415" s="58"/>
    </row>
    <row r="416" spans="1:32">
      <c r="A416" s="28" t="s">
        <v>66</v>
      </c>
      <c r="B416" s="29" t="s">
        <v>55</v>
      </c>
      <c r="C416" s="120">
        <f t="shared" ref="C416:N416" si="310">C417/C$385</f>
        <v>39.083186203521585</v>
      </c>
      <c r="D416" s="121">
        <f t="shared" si="310"/>
        <v>41.769860914537375</v>
      </c>
      <c r="E416" s="120">
        <f t="shared" si="310"/>
        <v>37.931818694087809</v>
      </c>
      <c r="F416" s="121">
        <f t="shared" si="310"/>
        <v>34.970709718593611</v>
      </c>
      <c r="G416" s="120">
        <f t="shared" si="310"/>
        <v>39.26541890910007</v>
      </c>
      <c r="H416" s="121">
        <f t="shared" si="310"/>
        <v>38.74264071149117</v>
      </c>
      <c r="I416" s="120">
        <f t="shared" si="310"/>
        <v>38.276621420288699</v>
      </c>
      <c r="J416" s="121">
        <f t="shared" si="310"/>
        <v>39.168079320787555</v>
      </c>
      <c r="K416" s="120">
        <f t="shared" si="310"/>
        <v>38.62013552061773</v>
      </c>
      <c r="L416" s="121">
        <f t="shared" si="310"/>
        <v>38.577674758902909</v>
      </c>
      <c r="M416" s="120">
        <f t="shared" si="310"/>
        <v>38.16030600222247</v>
      </c>
      <c r="N416" s="121">
        <f t="shared" si="310"/>
        <v>37.75438050045306</v>
      </c>
      <c r="O416" s="32">
        <f>O417/O$385</f>
        <v>38.539827693457056</v>
      </c>
      <c r="Z416" s="124"/>
      <c r="AD416" s="33"/>
      <c r="AF416" s="58"/>
    </row>
    <row r="417" spans="1:32">
      <c r="A417" s="34" t="s">
        <v>64</v>
      </c>
      <c r="B417" s="35" t="s">
        <v>57</v>
      </c>
      <c r="C417" s="36">
        <f t="shared" ref="C417:N417" si="311">C39+C135+C323+C229</f>
        <v>39042.287489220238</v>
      </c>
      <c r="D417" s="37">
        <f t="shared" si="311"/>
        <v>40613.757474323</v>
      </c>
      <c r="E417" s="36">
        <f t="shared" si="311"/>
        <v>39619.715518796635</v>
      </c>
      <c r="F417" s="37">
        <f t="shared" si="311"/>
        <v>35731.257352882712</v>
      </c>
      <c r="G417" s="36">
        <f t="shared" si="311"/>
        <v>46331.523936554564</v>
      </c>
      <c r="H417" s="37">
        <f t="shared" si="311"/>
        <v>56275.105626271776</v>
      </c>
      <c r="I417" s="36">
        <f t="shared" si="311"/>
        <v>55419.461532308356</v>
      </c>
      <c r="J417" s="37">
        <f t="shared" si="311"/>
        <v>58937.54219447705</v>
      </c>
      <c r="K417" s="36">
        <f t="shared" si="311"/>
        <v>48890.847986495944</v>
      </c>
      <c r="L417" s="37">
        <f t="shared" si="311"/>
        <v>50282.836269519459</v>
      </c>
      <c r="M417" s="36">
        <f t="shared" si="311"/>
        <v>43574.931461471671</v>
      </c>
      <c r="N417" s="37">
        <f t="shared" si="311"/>
        <v>40100.950616363625</v>
      </c>
      <c r="O417" s="38">
        <f>SUM(C417:N417)</f>
        <v>554820.21745868505</v>
      </c>
      <c r="P417" s="57"/>
      <c r="Q417" s="57"/>
      <c r="R417" s="57"/>
      <c r="S417" s="41"/>
      <c r="Y417" s="15"/>
      <c r="Z417" s="124"/>
      <c r="AA417" s="15"/>
      <c r="AC417" s="57"/>
      <c r="AD417" s="33"/>
      <c r="AE417" s="57"/>
      <c r="AF417" s="58"/>
    </row>
    <row r="418" spans="1:32">
      <c r="A418" s="42"/>
      <c r="B418" s="35" t="s">
        <v>58</v>
      </c>
      <c r="C418" s="81">
        <f t="shared" ref="C418:N418" si="312">IF(C417=0,0,C419/C417)</f>
        <v>0.2212503591067301</v>
      </c>
      <c r="D418" s="82">
        <f t="shared" si="312"/>
        <v>0.22080093620386659</v>
      </c>
      <c r="E418" s="81">
        <f t="shared" si="312"/>
        <v>0.22278345859051646</v>
      </c>
      <c r="F418" s="82">
        <f t="shared" si="312"/>
        <v>0.22235712034634608</v>
      </c>
      <c r="G418" s="81">
        <f t="shared" si="312"/>
        <v>0.22152737408856071</v>
      </c>
      <c r="H418" s="82">
        <f t="shared" si="312"/>
        <v>0.22142624586509907</v>
      </c>
      <c r="I418" s="81">
        <f t="shared" si="312"/>
        <v>0.22010372409260595</v>
      </c>
      <c r="J418" s="82">
        <f t="shared" si="312"/>
        <v>0.2212889458835483</v>
      </c>
      <c r="K418" s="81">
        <f t="shared" si="312"/>
        <v>0.2185</v>
      </c>
      <c r="L418" s="82">
        <f t="shared" si="312"/>
        <v>0.21849999999999997</v>
      </c>
      <c r="M418" s="81">
        <f t="shared" si="312"/>
        <v>0.2185</v>
      </c>
      <c r="N418" s="82">
        <f t="shared" si="312"/>
        <v>0.21850000000000003</v>
      </c>
      <c r="O418" s="45">
        <f>IF(O417=0,0,+O419/O417)</f>
        <v>0.22042233070173606</v>
      </c>
      <c r="P418" s="47"/>
      <c r="Q418" s="47"/>
      <c r="R418" s="47"/>
      <c r="S418" s="41"/>
      <c r="Z418" s="124"/>
      <c r="AA418" s="15"/>
      <c r="AC418" s="47"/>
      <c r="AD418" s="33"/>
      <c r="AE418" s="47"/>
      <c r="AF418" s="58"/>
    </row>
    <row r="419" spans="1:32">
      <c r="A419" s="42"/>
      <c r="B419" s="35" t="s">
        <v>15</v>
      </c>
      <c r="C419" s="48">
        <f t="shared" ref="C419:N419" si="313">C41+C137+C325+C231</f>
        <v>8638.1201273381739</v>
      </c>
      <c r="D419" s="49">
        <f t="shared" si="313"/>
        <v>8967.5556730873031</v>
      </c>
      <c r="E419" s="48">
        <f t="shared" si="313"/>
        <v>8826.6172516498718</v>
      </c>
      <c r="F419" s="49">
        <f t="shared" si="313"/>
        <v>7945.0994913412051</v>
      </c>
      <c r="G419" s="48">
        <f t="shared" si="313"/>
        <v>10263.700835186228</v>
      </c>
      <c r="H419" s="49">
        <f t="shared" si="313"/>
        <v>12460.785374487274</v>
      </c>
      <c r="I419" s="48">
        <f t="shared" si="313"/>
        <v>12198.029870467988</v>
      </c>
      <c r="J419" s="49">
        <f t="shared" si="313"/>
        <v>13042.226585182976</v>
      </c>
      <c r="K419" s="48">
        <f t="shared" si="313"/>
        <v>10682.650285049363</v>
      </c>
      <c r="L419" s="49">
        <f t="shared" si="313"/>
        <v>10986.799724890001</v>
      </c>
      <c r="M419" s="48">
        <f t="shared" si="313"/>
        <v>9521.1225243315603</v>
      </c>
      <c r="N419" s="49">
        <f t="shared" si="313"/>
        <v>8762.0577096754532</v>
      </c>
      <c r="O419" s="50">
        <f>SUM(C419:N419)</f>
        <v>122294.7654526874</v>
      </c>
      <c r="P419" s="40"/>
      <c r="Q419" s="40"/>
      <c r="R419" s="40"/>
      <c r="S419" s="41"/>
      <c r="Z419" s="124"/>
      <c r="AA419" s="15"/>
      <c r="AC419" s="40"/>
      <c r="AD419" s="33"/>
      <c r="AE419" s="40"/>
      <c r="AF419" s="58"/>
    </row>
    <row r="420" spans="1:32" ht="13.5" thickBot="1">
      <c r="A420" s="51"/>
      <c r="B420" s="52" t="s">
        <v>59</v>
      </c>
      <c r="C420" s="53">
        <f t="shared" ref="C420:O420" si="314">C419/C$385</f>
        <v>8.6471689825643505</v>
      </c>
      <c r="D420" s="54">
        <f t="shared" si="314"/>
        <v>9.2228243950351487</v>
      </c>
      <c r="E420" s="53">
        <f t="shared" si="314"/>
        <v>8.4505817592972896</v>
      </c>
      <c r="F420" s="54">
        <f t="shared" si="314"/>
        <v>7.7759863094944537</v>
      </c>
      <c r="G420" s="53">
        <f t="shared" si="314"/>
        <v>8.698365143420256</v>
      </c>
      <c r="H420" s="54">
        <f t="shared" si="314"/>
        <v>8.5786374876458407</v>
      </c>
      <c r="I420" s="53">
        <f t="shared" si="314"/>
        <v>8.4248269202883534</v>
      </c>
      <c r="J420" s="54">
        <f t="shared" si="314"/>
        <v>8.6674629851802845</v>
      </c>
      <c r="K420" s="53">
        <f t="shared" si="314"/>
        <v>8.4384996112549739</v>
      </c>
      <c r="L420" s="54">
        <f t="shared" si="314"/>
        <v>8.4292219348202853</v>
      </c>
      <c r="M420" s="53">
        <f t="shared" si="314"/>
        <v>8.3380268614856092</v>
      </c>
      <c r="N420" s="54">
        <f t="shared" si="314"/>
        <v>8.2493321393489953</v>
      </c>
      <c r="O420" s="55">
        <f t="shared" si="314"/>
        <v>8.4950386450351179</v>
      </c>
      <c r="P420" s="57"/>
      <c r="Q420" s="57"/>
      <c r="R420" s="57"/>
      <c r="S420" s="41"/>
      <c r="Z420" s="124"/>
      <c r="AA420" s="15"/>
      <c r="AC420" s="57"/>
      <c r="AD420" s="33"/>
      <c r="AE420" s="57"/>
      <c r="AF420" s="58"/>
    </row>
    <row r="421" spans="1:32">
      <c r="A421" s="28" t="s">
        <v>67</v>
      </c>
      <c r="B421" s="29" t="s">
        <v>55</v>
      </c>
      <c r="C421" s="120">
        <f t="shared" ref="C421:N421" si="315">C422/C$385</f>
        <v>422.50477593747763</v>
      </c>
      <c r="D421" s="121">
        <f t="shared" si="315"/>
        <v>345.85056154669564</v>
      </c>
      <c r="E421" s="120">
        <f t="shared" si="315"/>
        <v>376.38317649826348</v>
      </c>
      <c r="F421" s="121">
        <f t="shared" si="315"/>
        <v>410.79053292203201</v>
      </c>
      <c r="G421" s="120">
        <f t="shared" si="315"/>
        <v>391.10618363740326</v>
      </c>
      <c r="H421" s="121">
        <f t="shared" si="315"/>
        <v>358.72628764066644</v>
      </c>
      <c r="I421" s="120">
        <f t="shared" si="315"/>
        <v>377.4802057139454</v>
      </c>
      <c r="J421" s="121">
        <f t="shared" si="315"/>
        <v>354.55819901797781</v>
      </c>
      <c r="K421" s="120">
        <f t="shared" si="315"/>
        <v>373.07227324086449</v>
      </c>
      <c r="L421" s="121">
        <f t="shared" si="315"/>
        <v>307.76621595606787</v>
      </c>
      <c r="M421" s="120">
        <f t="shared" si="315"/>
        <v>359.74431272022758</v>
      </c>
      <c r="N421" s="121">
        <f t="shared" si="315"/>
        <v>448.50052837570644</v>
      </c>
      <c r="O421" s="32">
        <f>O422/O$385</f>
        <v>374.71509031431691</v>
      </c>
    </row>
    <row r="422" spans="1:32">
      <c r="A422" s="34" t="s">
        <v>64</v>
      </c>
      <c r="B422" s="35" t="s">
        <v>57</v>
      </c>
      <c r="C422" s="36">
        <f t="shared" ref="C422:N422" si="316">C44+C140+C328+C234</f>
        <v>422062.64458124584</v>
      </c>
      <c r="D422" s="37">
        <f t="shared" si="316"/>
        <v>336278.13264102384</v>
      </c>
      <c r="E422" s="36">
        <f t="shared" si="316"/>
        <v>393131.54212788882</v>
      </c>
      <c r="F422" s="37">
        <f t="shared" si="316"/>
        <v>419724.45992884075</v>
      </c>
      <c r="G422" s="36">
        <f t="shared" si="316"/>
        <v>461488.65878344863</v>
      </c>
      <c r="H422" s="37">
        <f t="shared" si="316"/>
        <v>521063.08081140253</v>
      </c>
      <c r="I422" s="36">
        <f t="shared" si="316"/>
        <v>546541.17744789342</v>
      </c>
      <c r="J422" s="37">
        <f t="shared" si="316"/>
        <v>533515.79085291957</v>
      </c>
      <c r="K422" s="36">
        <f t="shared" si="316"/>
        <v>472287.82481247588</v>
      </c>
      <c r="L422" s="37">
        <f t="shared" si="316"/>
        <v>401148.03038089129</v>
      </c>
      <c r="M422" s="36">
        <f t="shared" si="316"/>
        <v>410788.99549508805</v>
      </c>
      <c r="N422" s="37">
        <f t="shared" si="316"/>
        <v>476376.44430667773</v>
      </c>
      <c r="O422" s="38">
        <f>SUM(C422:N422)</f>
        <v>5394406.7821697975</v>
      </c>
    </row>
    <row r="423" spans="1:32">
      <c r="A423" s="34"/>
      <c r="B423" s="35" t="s">
        <v>58</v>
      </c>
      <c r="C423" s="81">
        <f t="shared" ref="C423:N423" si="317">IF(C422=0,0,C424/C422)</f>
        <v>0.15654999999999997</v>
      </c>
      <c r="D423" s="125">
        <f t="shared" si="317"/>
        <v>0.15654999999999999</v>
      </c>
      <c r="E423" s="126">
        <f t="shared" si="317"/>
        <v>0.15654999999999999</v>
      </c>
      <c r="F423" s="125">
        <f t="shared" si="317"/>
        <v>0.15654999999999997</v>
      </c>
      <c r="G423" s="126">
        <f t="shared" si="317"/>
        <v>0.15654999999999997</v>
      </c>
      <c r="H423" s="125">
        <f t="shared" si="317"/>
        <v>0.15654999999999997</v>
      </c>
      <c r="I423" s="126">
        <f t="shared" si="317"/>
        <v>0.15655000000000002</v>
      </c>
      <c r="J423" s="125">
        <f t="shared" si="317"/>
        <v>0.15654999999999999</v>
      </c>
      <c r="K423" s="126">
        <f t="shared" si="317"/>
        <v>0.15654999999999999</v>
      </c>
      <c r="L423" s="125">
        <f t="shared" si="317"/>
        <v>0.15654999999999999</v>
      </c>
      <c r="M423" s="126">
        <f t="shared" si="317"/>
        <v>0.15654999999999999</v>
      </c>
      <c r="N423" s="125">
        <f t="shared" si="317"/>
        <v>0.15654999999999999</v>
      </c>
      <c r="O423" s="45">
        <f>IF(O422=0,0,+O424/O422)</f>
        <v>0.15654999999999994</v>
      </c>
    </row>
    <row r="424" spans="1:32">
      <c r="A424" s="34"/>
      <c r="B424" s="35" t="s">
        <v>15</v>
      </c>
      <c r="C424" s="48">
        <f t="shared" ref="C424:N424" si="318">C46+C142+C330+C236</f>
        <v>66073.907009194023</v>
      </c>
      <c r="D424" s="49">
        <f t="shared" si="318"/>
        <v>52644.341664952284</v>
      </c>
      <c r="E424" s="48">
        <f t="shared" si="318"/>
        <v>61544.742920120989</v>
      </c>
      <c r="F424" s="49">
        <f t="shared" si="318"/>
        <v>65707.864201860008</v>
      </c>
      <c r="G424" s="48">
        <f t="shared" si="318"/>
        <v>72246.049532548874</v>
      </c>
      <c r="H424" s="49">
        <f t="shared" si="318"/>
        <v>81572.425301025054</v>
      </c>
      <c r="I424" s="48">
        <f t="shared" si="318"/>
        <v>85561.021329467723</v>
      </c>
      <c r="J424" s="49">
        <f t="shared" si="318"/>
        <v>83521.897058024551</v>
      </c>
      <c r="K424" s="48">
        <f t="shared" si="318"/>
        <v>73936.658974393096</v>
      </c>
      <c r="L424" s="49">
        <f t="shared" si="318"/>
        <v>62799.724156128534</v>
      </c>
      <c r="M424" s="48">
        <f t="shared" si="318"/>
        <v>64309.017244756033</v>
      </c>
      <c r="N424" s="49">
        <f t="shared" si="318"/>
        <v>74576.732356210399</v>
      </c>
      <c r="O424" s="50">
        <f>SUM(C424:N424)</f>
        <v>844494.38174868154</v>
      </c>
    </row>
    <row r="425" spans="1:32" ht="13.5" thickBot="1">
      <c r="A425" s="127"/>
      <c r="B425" s="52" t="s">
        <v>59</v>
      </c>
      <c r="C425" s="53">
        <f t="shared" ref="C425:O425" si="319">C424/C$385</f>
        <v>66.143122673012115</v>
      </c>
      <c r="D425" s="128">
        <f t="shared" si="319"/>
        <v>54.142905410135207</v>
      </c>
      <c r="E425" s="129">
        <f t="shared" si="319"/>
        <v>58.922786280803145</v>
      </c>
      <c r="F425" s="128">
        <f t="shared" si="319"/>
        <v>64.309257928944106</v>
      </c>
      <c r="G425" s="129">
        <f t="shared" si="319"/>
        <v>61.22767304843547</v>
      </c>
      <c r="H425" s="128">
        <f t="shared" si="319"/>
        <v>56.158600330146328</v>
      </c>
      <c r="I425" s="129">
        <f t="shared" si="319"/>
        <v>59.094526204518161</v>
      </c>
      <c r="J425" s="128">
        <f t="shared" si="319"/>
        <v>55.506086056264422</v>
      </c>
      <c r="K425" s="129">
        <f t="shared" si="319"/>
        <v>58.404464375857337</v>
      </c>
      <c r="L425" s="128">
        <f t="shared" si="319"/>
        <v>48.18080110792242</v>
      </c>
      <c r="M425" s="129">
        <f t="shared" si="319"/>
        <v>56.317972156351622</v>
      </c>
      <c r="N425" s="128">
        <f t="shared" si="319"/>
        <v>70.212757717216846</v>
      </c>
      <c r="O425" s="55">
        <f t="shared" si="319"/>
        <v>58.661647388706299</v>
      </c>
    </row>
    <row r="426" spans="1:32">
      <c r="A426" s="28" t="s">
        <v>68</v>
      </c>
      <c r="B426" s="29" t="s">
        <v>55</v>
      </c>
      <c r="C426" s="120">
        <f t="shared" ref="C426:N426" si="320">C427/C$385</f>
        <v>16.085758936790054</v>
      </c>
      <c r="D426" s="121">
        <f t="shared" si="320"/>
        <v>18.093051397122395</v>
      </c>
      <c r="E426" s="120">
        <f t="shared" si="320"/>
        <v>17.584681936540022</v>
      </c>
      <c r="F426" s="121">
        <f t="shared" si="320"/>
        <v>16.933668369640355</v>
      </c>
      <c r="G426" s="120">
        <f t="shared" si="320"/>
        <v>17.369367850597339</v>
      </c>
      <c r="H426" s="121">
        <f t="shared" si="320"/>
        <v>15.402737416086806</v>
      </c>
      <c r="I426" s="120">
        <f t="shared" si="320"/>
        <v>15.693121493989276</v>
      </c>
      <c r="J426" s="121">
        <f t="shared" si="320"/>
        <v>16.285128607783303</v>
      </c>
      <c r="K426" s="120">
        <f t="shared" si="320"/>
        <v>18.335025985228597</v>
      </c>
      <c r="L426" s="121">
        <f t="shared" si="320"/>
        <v>18.142915559690042</v>
      </c>
      <c r="M426" s="120">
        <f t="shared" si="320"/>
        <v>20.180536377210281</v>
      </c>
      <c r="N426" s="121">
        <f t="shared" si="320"/>
        <v>18.997449181421199</v>
      </c>
      <c r="O426" s="32">
        <f>O427/O$385</f>
        <v>17.33158495163044</v>
      </c>
      <c r="Z426" s="124"/>
      <c r="AD426" s="33"/>
      <c r="AF426" s="58"/>
    </row>
    <row r="427" spans="1:32">
      <c r="A427" s="34" t="s">
        <v>64</v>
      </c>
      <c r="B427" s="35" t="s">
        <v>57</v>
      </c>
      <c r="C427" s="36">
        <f t="shared" ref="C427:N427" si="321">C49+C145+C333+C239</f>
        <v>16068.925947390206</v>
      </c>
      <c r="D427" s="37">
        <f t="shared" si="321"/>
        <v>17592.273120484449</v>
      </c>
      <c r="E427" s="36">
        <f t="shared" si="321"/>
        <v>18367.168245556011</v>
      </c>
      <c r="F427" s="37">
        <f t="shared" si="321"/>
        <v>17301.944035819317</v>
      </c>
      <c r="G427" s="36">
        <f t="shared" si="321"/>
        <v>20495.115159621153</v>
      </c>
      <c r="H427" s="37">
        <f t="shared" si="321"/>
        <v>22373.040637029189</v>
      </c>
      <c r="I427" s="36">
        <f t="shared" si="321"/>
        <v>22721.554585718724</v>
      </c>
      <c r="J427" s="37">
        <f t="shared" si="321"/>
        <v>24504.787344890792</v>
      </c>
      <c r="K427" s="36">
        <f t="shared" si="321"/>
        <v>23211.077749680724</v>
      </c>
      <c r="L427" s="37">
        <f t="shared" si="321"/>
        <v>23647.802990746019</v>
      </c>
      <c r="M427" s="36">
        <f t="shared" si="321"/>
        <v>23043.984223854473</v>
      </c>
      <c r="N427" s="37">
        <f t="shared" si="321"/>
        <v>20178.208763136958</v>
      </c>
      <c r="O427" s="38">
        <f>SUM(C427:N427)</f>
        <v>249505.88280392799</v>
      </c>
      <c r="P427" s="57"/>
      <c r="Q427" s="57"/>
      <c r="R427" s="57"/>
      <c r="S427" s="41"/>
      <c r="Y427" s="15"/>
      <c r="Z427" s="124"/>
      <c r="AA427" s="15"/>
      <c r="AC427" s="57"/>
      <c r="AD427" s="33"/>
      <c r="AE427" s="57"/>
      <c r="AF427" s="58"/>
    </row>
    <row r="428" spans="1:32">
      <c r="A428" s="42"/>
      <c r="B428" s="35" t="s">
        <v>58</v>
      </c>
      <c r="C428" s="81">
        <f t="shared" ref="C428:N428" si="322">IF(C427=0,0,C429/C427)</f>
        <v>0.36631678849804644</v>
      </c>
      <c r="D428" s="122">
        <f t="shared" si="322"/>
        <v>0.35736043762348435</v>
      </c>
      <c r="E428" s="123">
        <f t="shared" si="322"/>
        <v>0.35746531434550011</v>
      </c>
      <c r="F428" s="122">
        <f t="shared" si="322"/>
        <v>0.36475377735010117</v>
      </c>
      <c r="G428" s="123">
        <f t="shared" si="322"/>
        <v>0.35486380530302031</v>
      </c>
      <c r="H428" s="122">
        <f t="shared" si="322"/>
        <v>0.3614418125153317</v>
      </c>
      <c r="I428" s="123">
        <f t="shared" si="322"/>
        <v>0.35692529132348144</v>
      </c>
      <c r="J428" s="122">
        <f t="shared" si="322"/>
        <v>0.35551112677884034</v>
      </c>
      <c r="K428" s="123">
        <f t="shared" si="322"/>
        <v>0.3509000000000001</v>
      </c>
      <c r="L428" s="122">
        <f t="shared" si="322"/>
        <v>0.35139821882207117</v>
      </c>
      <c r="M428" s="123">
        <f t="shared" si="322"/>
        <v>0.35090000000000005</v>
      </c>
      <c r="N428" s="122">
        <f t="shared" si="322"/>
        <v>0.35214912489682321</v>
      </c>
      <c r="O428" s="45">
        <f>IF(O427=0,0,+O429/O427)</f>
        <v>0.35621308164286791</v>
      </c>
      <c r="P428" s="47"/>
      <c r="Q428" s="68"/>
      <c r="R428" s="47"/>
      <c r="S428" s="41"/>
      <c r="Z428" s="124"/>
      <c r="AA428" s="15"/>
      <c r="AC428" s="47"/>
      <c r="AD428" s="33"/>
      <c r="AE428" s="68"/>
      <c r="AF428" s="58"/>
    </row>
    <row r="429" spans="1:32">
      <c r="A429" s="42"/>
      <c r="B429" s="35" t="s">
        <v>15</v>
      </c>
      <c r="C429" s="48">
        <f t="shared" ref="C429:N429" si="323">C51+C147+C335+C241</f>
        <v>5886.3173476609081</v>
      </c>
      <c r="D429" s="49">
        <f t="shared" si="323"/>
        <v>6286.7824211281832</v>
      </c>
      <c r="E429" s="48">
        <f t="shared" si="323"/>
        <v>6565.6255705343674</v>
      </c>
      <c r="F429" s="49">
        <f t="shared" si="323"/>
        <v>6310.9494425651501</v>
      </c>
      <c r="G429" s="48">
        <f t="shared" si="323"/>
        <v>7272.9745556667804</v>
      </c>
      <c r="H429" s="49">
        <f t="shared" si="323"/>
        <v>8086.5523593270009</v>
      </c>
      <c r="I429" s="48">
        <f t="shared" si="323"/>
        <v>8109.8974898300412</v>
      </c>
      <c r="J429" s="49">
        <f t="shared" si="323"/>
        <v>8711.724560457993</v>
      </c>
      <c r="K429" s="48">
        <f t="shared" si="323"/>
        <v>8144.767182362968</v>
      </c>
      <c r="L429" s="49">
        <f t="shared" si="323"/>
        <v>8309.7958500033983</v>
      </c>
      <c r="M429" s="48">
        <f t="shared" si="323"/>
        <v>8086.1340641505358</v>
      </c>
      <c r="N429" s="49">
        <f t="shared" si="323"/>
        <v>7105.738557924089</v>
      </c>
      <c r="O429" s="50">
        <f>SUM(C429:N429)</f>
        <v>88877.259401611431</v>
      </c>
      <c r="P429" s="40"/>
      <c r="Q429" s="40"/>
      <c r="R429" s="40"/>
      <c r="S429" s="41"/>
      <c r="Z429" s="124"/>
      <c r="AA429" s="15"/>
      <c r="AC429" s="40"/>
      <c r="AD429" s="33"/>
      <c r="AE429" s="40"/>
      <c r="AF429" s="58"/>
    </row>
    <row r="430" spans="1:32" ht="13.5" thickBot="1">
      <c r="A430" s="51"/>
      <c r="B430" s="52" t="s">
        <v>59</v>
      </c>
      <c r="C430" s="53">
        <f t="shared" ref="C430:O430" si="324">C429/C$385</f>
        <v>5.892483554278682</v>
      </c>
      <c r="D430" s="54">
        <f t="shared" si="324"/>
        <v>6.465740765219854</v>
      </c>
      <c r="E430" s="53">
        <f t="shared" si="324"/>
        <v>6.2859138561109162</v>
      </c>
      <c r="F430" s="54">
        <f t="shared" si="324"/>
        <v>6.1766195022202481</v>
      </c>
      <c r="G430" s="53">
        <f t="shared" si="324"/>
        <v>6.1637599711709141</v>
      </c>
      <c r="H430" s="54">
        <f t="shared" si="324"/>
        <v>5.5671933293681315</v>
      </c>
      <c r="I430" s="53">
        <f t="shared" si="324"/>
        <v>5.601271961016911</v>
      </c>
      <c r="J430" s="54">
        <f t="shared" si="324"/>
        <v>5.78954442109137</v>
      </c>
      <c r="K430" s="53">
        <f t="shared" si="324"/>
        <v>6.4337606182167164</v>
      </c>
      <c r="L430" s="54">
        <f t="shared" si="324"/>
        <v>6.3753882119143208</v>
      </c>
      <c r="M430" s="53">
        <f t="shared" si="324"/>
        <v>7.0813502147630878</v>
      </c>
      <c r="N430" s="54">
        <f t="shared" si="324"/>
        <v>6.6899351045093454</v>
      </c>
      <c r="O430" s="55">
        <f t="shared" si="324"/>
        <v>6.1737372853754344</v>
      </c>
      <c r="P430" s="57"/>
      <c r="Q430" s="57"/>
      <c r="R430" s="57"/>
      <c r="S430" s="41"/>
      <c r="Z430" s="124"/>
      <c r="AA430" s="15"/>
      <c r="AC430" s="57"/>
      <c r="AD430" s="33"/>
      <c r="AE430" s="57"/>
      <c r="AF430" s="58"/>
    </row>
    <row r="431" spans="1:32">
      <c r="A431" s="28" t="s">
        <v>69</v>
      </c>
      <c r="B431" s="29" t="s">
        <v>55</v>
      </c>
      <c r="C431" s="120">
        <f t="shared" ref="C431:N431" si="325">C432/C$385</f>
        <v>0.53106810189001741</v>
      </c>
      <c r="D431" s="121">
        <f t="shared" si="325"/>
        <v>0.62212702342965187</v>
      </c>
      <c r="E431" s="120">
        <f t="shared" si="325"/>
        <v>0.61496458117313701</v>
      </c>
      <c r="F431" s="121">
        <f t="shared" si="325"/>
        <v>0.40262460802008121</v>
      </c>
      <c r="G431" s="120">
        <f t="shared" si="325"/>
        <v>0.77515572936816723</v>
      </c>
      <c r="H431" s="121">
        <f t="shared" si="325"/>
        <v>0.2180174400439043</v>
      </c>
      <c r="I431" s="120">
        <f t="shared" si="325"/>
        <v>0.72669149696582958</v>
      </c>
      <c r="J431" s="121">
        <f t="shared" si="325"/>
        <v>0.7532336058590875</v>
      </c>
      <c r="K431" s="120">
        <f t="shared" si="325"/>
        <v>0.52927996572541414</v>
      </c>
      <c r="L431" s="121">
        <f t="shared" si="325"/>
        <v>0.34826213760839314</v>
      </c>
      <c r="M431" s="120">
        <f t="shared" si="325"/>
        <v>0.56103846031857441</v>
      </c>
      <c r="N431" s="121">
        <f t="shared" si="325"/>
        <v>0.44833817646113094</v>
      </c>
      <c r="O431" s="32">
        <f>O432/O$385</f>
        <v>0.54507046292427175</v>
      </c>
    </row>
    <row r="432" spans="1:32">
      <c r="A432" s="34" t="s">
        <v>56</v>
      </c>
      <c r="B432" s="35" t="s">
        <v>57</v>
      </c>
      <c r="C432" s="36">
        <f t="shared" ref="C432:N432" si="326">C54+C150+C338+C244</f>
        <v>530.51236412440494</v>
      </c>
      <c r="D432" s="37">
        <f t="shared" si="326"/>
        <v>604.90783293464528</v>
      </c>
      <c r="E432" s="36">
        <f t="shared" si="326"/>
        <v>642.32938464437984</v>
      </c>
      <c r="F432" s="37">
        <f t="shared" si="326"/>
        <v>411.38094140880389</v>
      </c>
      <c r="G432" s="36">
        <f t="shared" si="326"/>
        <v>914.6507850309797</v>
      </c>
      <c r="H432" s="37">
        <f t="shared" si="326"/>
        <v>316.67832242527248</v>
      </c>
      <c r="I432" s="36">
        <f t="shared" si="326"/>
        <v>1052.1527231921928</v>
      </c>
      <c r="J432" s="37">
        <f t="shared" si="326"/>
        <v>1133.4162460209559</v>
      </c>
      <c r="K432" s="36">
        <f t="shared" si="326"/>
        <v>670.03768883111115</v>
      </c>
      <c r="L432" s="37">
        <f t="shared" si="326"/>
        <v>453.93114420910968</v>
      </c>
      <c r="M432" s="36">
        <f t="shared" si="326"/>
        <v>640.6450842980048</v>
      </c>
      <c r="N432" s="37">
        <f t="shared" si="326"/>
        <v>476.20400163850081</v>
      </c>
      <c r="O432" s="38">
        <f>SUM(C432:N432)</f>
        <v>7846.8465187583615</v>
      </c>
      <c r="P432" s="57"/>
      <c r="Q432" s="57"/>
      <c r="R432" s="57"/>
      <c r="S432" s="41"/>
    </row>
    <row r="433" spans="1:32">
      <c r="A433" s="42"/>
      <c r="B433" s="35" t="s">
        <v>58</v>
      </c>
      <c r="C433" s="81">
        <f t="shared" ref="C433:N433" si="327">IF(C432=0,0,C434/C432)</f>
        <v>1.1751487034481447</v>
      </c>
      <c r="D433" s="122">
        <f t="shared" si="327"/>
        <v>1.1542457456080315</v>
      </c>
      <c r="E433" s="123">
        <f t="shared" si="327"/>
        <v>1.153247861793403</v>
      </c>
      <c r="F433" s="122">
        <f t="shared" si="327"/>
        <v>1.149453947905724</v>
      </c>
      <c r="G433" s="123">
        <f t="shared" si="327"/>
        <v>0.74958113193238007</v>
      </c>
      <c r="H433" s="122">
        <f t="shared" si="327"/>
        <v>1.147875140004412</v>
      </c>
      <c r="I433" s="123">
        <f t="shared" si="327"/>
        <v>0.79675269598146159</v>
      </c>
      <c r="J433" s="122">
        <f t="shared" si="327"/>
        <v>0.8996109956832895</v>
      </c>
      <c r="K433" s="123">
        <f t="shared" si="327"/>
        <v>0.71886991039588488</v>
      </c>
      <c r="L433" s="122">
        <f t="shared" si="327"/>
        <v>1.154169769916032</v>
      </c>
      <c r="M433" s="123">
        <f t="shared" si="327"/>
        <v>1.1528890385464816</v>
      </c>
      <c r="N433" s="122">
        <f t="shared" si="327"/>
        <v>1.0571385963310449</v>
      </c>
      <c r="O433" s="45">
        <f>IF(O432=0,0,+O434/O432)</f>
        <v>0.98000042072082549</v>
      </c>
      <c r="P433" s="47"/>
      <c r="Q433" s="47"/>
      <c r="R433" s="47"/>
      <c r="S433" s="41"/>
    </row>
    <row r="434" spans="1:32">
      <c r="A434" s="42"/>
      <c r="B434" s="35" t="s">
        <v>15</v>
      </c>
      <c r="C434" s="48">
        <f t="shared" ref="C434:N434" si="328">C56+C152+C340+C246</f>
        <v>623.43091686400453</v>
      </c>
      <c r="D434" s="49">
        <f t="shared" si="328"/>
        <v>698.2122926497882</v>
      </c>
      <c r="E434" s="48">
        <f t="shared" si="328"/>
        <v>740.76498940820329</v>
      </c>
      <c r="F434" s="49">
        <f t="shared" si="328"/>
        <v>472.86344719552295</v>
      </c>
      <c r="G434" s="48">
        <f t="shared" si="328"/>
        <v>685.60497076636182</v>
      </c>
      <c r="H434" s="49">
        <f t="shared" si="328"/>
        <v>363.507173690272</v>
      </c>
      <c r="I434" s="48">
        <f t="shared" si="328"/>
        <v>838.30551878761605</v>
      </c>
      <c r="J434" s="49">
        <f t="shared" si="328"/>
        <v>1019.6337176065283</v>
      </c>
      <c r="K434" s="48">
        <f t="shared" si="328"/>
        <v>481.66993333188668</v>
      </c>
      <c r="L434" s="49">
        <f t="shared" si="328"/>
        <v>523.9136042695493</v>
      </c>
      <c r="M434" s="48">
        <f t="shared" si="328"/>
        <v>738.59269528585639</v>
      </c>
      <c r="N434" s="49">
        <f t="shared" si="328"/>
        <v>503.41362985935137</v>
      </c>
      <c r="O434" s="50">
        <f>SUM(C434:N434)</f>
        <v>7689.9128897149394</v>
      </c>
      <c r="P434" s="40"/>
      <c r="Q434" s="40"/>
      <c r="R434" s="40"/>
      <c r="S434" s="41"/>
    </row>
    <row r="435" spans="1:32" ht="13.5" thickBot="1">
      <c r="A435" s="51"/>
      <c r="B435" s="52" t="s">
        <v>59</v>
      </c>
      <c r="C435" s="53">
        <f t="shared" ref="C435:O435" si="329">C434/C$385</f>
        <v>0.62408399137872117</v>
      </c>
      <c r="D435" s="54">
        <f t="shared" si="329"/>
        <v>0.71808747002146378</v>
      </c>
      <c r="E435" s="53">
        <f t="shared" si="329"/>
        <v>0.70920658831659578</v>
      </c>
      <c r="F435" s="54">
        <f t="shared" si="329"/>
        <v>0.46279844521267693</v>
      </c>
      <c r="G435" s="53">
        <f t="shared" si="329"/>
        <v>0.58104210904366049</v>
      </c>
      <c r="H435" s="54">
        <f t="shared" si="329"/>
        <v>0.25025679951380014</v>
      </c>
      <c r="I435" s="53">
        <f t="shared" si="329"/>
        <v>0.57899340935432886</v>
      </c>
      <c r="J435" s="54">
        <f t="shared" si="329"/>
        <v>0.6776172341490081</v>
      </c>
      <c r="K435" s="53">
        <f t="shared" si="329"/>
        <v>0.38048344153536551</v>
      </c>
      <c r="L435" s="54">
        <f t="shared" si="329"/>
        <v>0.40195363123394456</v>
      </c>
      <c r="M435" s="53">
        <f t="shared" si="329"/>
        <v>0.64681509110427959</v>
      </c>
      <c r="N435" s="54">
        <f t="shared" si="329"/>
        <v>0.47395559054574032</v>
      </c>
      <c r="O435" s="55">
        <f t="shared" si="329"/>
        <v>0.53416928298828148</v>
      </c>
      <c r="P435" s="57"/>
      <c r="Q435" s="57"/>
      <c r="R435" s="57"/>
      <c r="S435" s="41"/>
    </row>
    <row r="436" spans="1:32">
      <c r="A436" s="181" t="s">
        <v>70</v>
      </c>
      <c r="B436" s="29" t="s">
        <v>55</v>
      </c>
      <c r="C436" s="120">
        <f t="shared" ref="C436:N436" si="330">C437/C$385</f>
        <v>1.672146467776076</v>
      </c>
      <c r="D436" s="121">
        <f t="shared" si="330"/>
        <v>2.2459922428935273</v>
      </c>
      <c r="E436" s="120">
        <f t="shared" si="330"/>
        <v>2.2205913587309078</v>
      </c>
      <c r="F436" s="121">
        <f t="shared" si="330"/>
        <v>1.899518170610055</v>
      </c>
      <c r="G436" s="120">
        <f t="shared" si="330"/>
        <v>2.5781558839506125</v>
      </c>
      <c r="H436" s="121">
        <f t="shared" si="330"/>
        <v>2.7489360727423864</v>
      </c>
      <c r="I436" s="120">
        <f t="shared" si="330"/>
        <v>3.6488464216319048</v>
      </c>
      <c r="J436" s="121">
        <f t="shared" si="330"/>
        <v>3.5136522711209643</v>
      </c>
      <c r="K436" s="120">
        <f t="shared" si="330"/>
        <v>2.1653206970498493</v>
      </c>
      <c r="L436" s="121">
        <f t="shared" si="330"/>
        <v>1.6653763188882384</v>
      </c>
      <c r="M436" s="120">
        <f t="shared" si="330"/>
        <v>3.423396830126741</v>
      </c>
      <c r="N436" s="121">
        <f t="shared" si="330"/>
        <v>3.974997911733765</v>
      </c>
      <c r="O436" s="32">
        <f>O437/O$385</f>
        <v>2.6925991131120295</v>
      </c>
      <c r="P436" s="9"/>
      <c r="Q436" s="9"/>
      <c r="R436" s="9"/>
      <c r="S436" s="70"/>
    </row>
    <row r="437" spans="1:32">
      <c r="A437" s="34" t="s">
        <v>71</v>
      </c>
      <c r="B437" s="35" t="s">
        <v>57</v>
      </c>
      <c r="C437" s="36">
        <f t="shared" ref="C437:N437" si="331">C59+C155+C343+C249</f>
        <v>1670.3966452232407</v>
      </c>
      <c r="D437" s="37">
        <f t="shared" si="331"/>
        <v>2183.8278185489803</v>
      </c>
      <c r="E437" s="36">
        <f t="shared" si="331"/>
        <v>2319.4036285460102</v>
      </c>
      <c r="F437" s="37">
        <f t="shared" si="331"/>
        <v>1940.8291437807975</v>
      </c>
      <c r="G437" s="36">
        <f t="shared" si="331"/>
        <v>3042.1142666516498</v>
      </c>
      <c r="H437" s="37">
        <f t="shared" si="331"/>
        <v>3992.9303994903748</v>
      </c>
      <c r="I437" s="36">
        <f t="shared" si="331"/>
        <v>5283.0447515345295</v>
      </c>
      <c r="J437" s="37">
        <f t="shared" si="331"/>
        <v>5287.1121734071294</v>
      </c>
      <c r="K437" s="36">
        <f t="shared" si="331"/>
        <v>2741.1702111962013</v>
      </c>
      <c r="L437" s="37">
        <f t="shared" si="331"/>
        <v>2170.6814963093893</v>
      </c>
      <c r="M437" s="36">
        <f t="shared" si="331"/>
        <v>3909.1479567670176</v>
      </c>
      <c r="N437" s="37">
        <f t="shared" si="331"/>
        <v>4222.0582842478743</v>
      </c>
      <c r="O437" s="38">
        <f>SUM(C437:N437)</f>
        <v>38762.7167757032</v>
      </c>
      <c r="P437" s="15"/>
      <c r="Q437" s="15"/>
      <c r="R437" s="15"/>
      <c r="S437" s="71"/>
    </row>
    <row r="438" spans="1:32" ht="15.75">
      <c r="A438" s="34" t="s">
        <v>56</v>
      </c>
      <c r="B438" s="35" t="s">
        <v>58</v>
      </c>
      <c r="C438" s="81">
        <f t="shared" ref="C438:N438" si="332">IF(C437=0,0,C439/C437)</f>
        <v>2.5502875478286273</v>
      </c>
      <c r="D438" s="122">
        <f t="shared" si="332"/>
        <v>2.5350999999999999</v>
      </c>
      <c r="E438" s="123">
        <f t="shared" si="332"/>
        <v>2.5350999999999999</v>
      </c>
      <c r="F438" s="122">
        <f t="shared" si="332"/>
        <v>2.5350999999999999</v>
      </c>
      <c r="G438" s="123">
        <f t="shared" si="332"/>
        <v>2.5473427404196283</v>
      </c>
      <c r="H438" s="122">
        <f t="shared" si="332"/>
        <v>2.100108170569579</v>
      </c>
      <c r="I438" s="123">
        <f t="shared" si="332"/>
        <v>2.2324350733577281</v>
      </c>
      <c r="J438" s="122">
        <f t="shared" si="332"/>
        <v>2.4060362624818086</v>
      </c>
      <c r="K438" s="123">
        <f t="shared" si="332"/>
        <v>2.522056206089903</v>
      </c>
      <c r="L438" s="122">
        <f t="shared" si="332"/>
        <v>2.5068658982090661</v>
      </c>
      <c r="M438" s="123">
        <f t="shared" si="332"/>
        <v>2.5494412633218819</v>
      </c>
      <c r="N438" s="122">
        <f t="shared" si="332"/>
        <v>2.5441115460447969</v>
      </c>
      <c r="O438" s="45">
        <f>IF(O437=0,0,+O439/O437)</f>
        <v>2.432976637577617</v>
      </c>
      <c r="P438" s="15"/>
      <c r="Q438" s="72"/>
      <c r="R438" s="15"/>
      <c r="S438" s="15"/>
    </row>
    <row r="439" spans="1:32">
      <c r="A439" s="42"/>
      <c r="B439" s="35" t="s">
        <v>15</v>
      </c>
      <c r="C439" s="48">
        <f t="shared" ref="C439:N439" si="333">C61+C157+C345+C251</f>
        <v>4259.9917642475439</v>
      </c>
      <c r="D439" s="49">
        <f t="shared" si="333"/>
        <v>5536.2219028035197</v>
      </c>
      <c r="E439" s="48">
        <f t="shared" si="333"/>
        <v>5879.9201387269904</v>
      </c>
      <c r="F439" s="49">
        <f t="shared" si="333"/>
        <v>4920.1959623986995</v>
      </c>
      <c r="G439" s="48">
        <f t="shared" si="333"/>
        <v>7749.3076926820613</v>
      </c>
      <c r="H439" s="49">
        <f t="shared" si="333"/>
        <v>8385.5857564853886</v>
      </c>
      <c r="I439" s="48">
        <f t="shared" si="333"/>
        <v>11794.054397444148</v>
      </c>
      <c r="J439" s="49">
        <f t="shared" si="333"/>
        <v>12720.983613026561</v>
      </c>
      <c r="K439" s="48">
        <f t="shared" si="333"/>
        <v>6913.3853430961499</v>
      </c>
      <c r="L439" s="49">
        <f t="shared" si="333"/>
        <v>5441.6074189714373</v>
      </c>
      <c r="M439" s="48">
        <f t="shared" si="333"/>
        <v>9966.1431054122586</v>
      </c>
      <c r="N439" s="49">
        <f t="shared" si="333"/>
        <v>10741.387229029102</v>
      </c>
      <c r="O439" s="50">
        <f>SUM(C439:N439)</f>
        <v>94308.78432432386</v>
      </c>
      <c r="P439" s="15"/>
      <c r="Q439" s="15"/>
      <c r="R439" s="15"/>
      <c r="S439" s="15"/>
    </row>
    <row r="440" spans="1:32" ht="13.5" thickBot="1">
      <c r="A440" s="51"/>
      <c r="B440" s="52" t="s">
        <v>59</v>
      </c>
      <c r="C440" s="53">
        <f t="shared" ref="C440:O440" si="334">C439/C$385</f>
        <v>4.2644543149149499</v>
      </c>
      <c r="D440" s="54">
        <f t="shared" si="334"/>
        <v>5.6938149349593807</v>
      </c>
      <c r="E440" s="53">
        <f t="shared" si="334"/>
        <v>5.6294211535187246</v>
      </c>
      <c r="F440" s="54">
        <f t="shared" si="334"/>
        <v>4.8154685143135501</v>
      </c>
      <c r="G440" s="53">
        <f t="shared" si="334"/>
        <v>6.5674466746517419</v>
      </c>
      <c r="H440" s="54">
        <f t="shared" si="334"/>
        <v>5.7730631067397349</v>
      </c>
      <c r="I440" s="53">
        <f t="shared" si="334"/>
        <v>8.1458127289469058</v>
      </c>
      <c r="J440" s="54">
        <f t="shared" si="334"/>
        <v>8.4539747780686039</v>
      </c>
      <c r="K440" s="53">
        <f t="shared" si="334"/>
        <v>5.461060502169488</v>
      </c>
      <c r="L440" s="54">
        <f t="shared" si="334"/>
        <v>4.1748751015058723</v>
      </c>
      <c r="M440" s="53">
        <f t="shared" si="334"/>
        <v>8.7277491394504452</v>
      </c>
      <c r="N440" s="54">
        <f t="shared" si="334"/>
        <v>10.112838082745828</v>
      </c>
      <c r="O440" s="55">
        <f t="shared" si="334"/>
        <v>6.5510307365637788</v>
      </c>
      <c r="P440" s="8"/>
      <c r="S440" s="41"/>
    </row>
    <row r="441" spans="1:32">
      <c r="A441" s="28" t="s">
        <v>72</v>
      </c>
      <c r="B441" s="29" t="s">
        <v>55</v>
      </c>
      <c r="C441" s="120">
        <f t="shared" ref="C441:N441" si="335">C442/C$385</f>
        <v>3.1189653734952278</v>
      </c>
      <c r="D441" s="121">
        <f t="shared" si="335"/>
        <v>3.4371555636243953</v>
      </c>
      <c r="E441" s="120">
        <f t="shared" si="335"/>
        <v>3.8499466186660491</v>
      </c>
      <c r="F441" s="121">
        <f t="shared" si="335"/>
        <v>3.0460049981562412</v>
      </c>
      <c r="G441" s="120">
        <f t="shared" si="335"/>
        <v>3.4651586357365778</v>
      </c>
      <c r="H441" s="121">
        <f t="shared" si="335"/>
        <v>3.7407149017320296</v>
      </c>
      <c r="I441" s="120">
        <f t="shared" si="335"/>
        <v>3.133831359159871</v>
      </c>
      <c r="J441" s="121">
        <f t="shared" si="335"/>
        <v>2.8511875119169079</v>
      </c>
      <c r="K441" s="120">
        <f t="shared" si="335"/>
        <v>3.814440077951061</v>
      </c>
      <c r="L441" s="121">
        <f t="shared" si="335"/>
        <v>3.2825840747584811</v>
      </c>
      <c r="M441" s="120">
        <f t="shared" si="335"/>
        <v>4.9639859865504663</v>
      </c>
      <c r="N441" s="121">
        <f t="shared" si="335"/>
        <v>2.9221956210002054</v>
      </c>
      <c r="O441" s="32">
        <f>O442/O$385</f>
        <v>3.46072988478313</v>
      </c>
    </row>
    <row r="442" spans="1:32">
      <c r="A442" s="34" t="s">
        <v>56</v>
      </c>
      <c r="B442" s="35" t="s">
        <v>57</v>
      </c>
      <c r="C442" s="36">
        <f t="shared" ref="C442:N442" si="336">C64+C160+C348+C254</f>
        <v>3115.7015230746883</v>
      </c>
      <c r="D442" s="37">
        <f t="shared" si="336"/>
        <v>3342.02219988664</v>
      </c>
      <c r="E442" s="36">
        <f t="shared" si="336"/>
        <v>4021.262229060384</v>
      </c>
      <c r="F442" s="37">
        <f t="shared" si="336"/>
        <v>3112.2499189491637</v>
      </c>
      <c r="G442" s="36">
        <f t="shared" si="336"/>
        <v>4088.7397800913359</v>
      </c>
      <c r="H442" s="37">
        <f t="shared" si="336"/>
        <v>5433.5254992130995</v>
      </c>
      <c r="I442" s="36">
        <f t="shared" si="336"/>
        <v>4537.3713774446333</v>
      </c>
      <c r="J442" s="37">
        <f t="shared" si="336"/>
        <v>4290.2789006246821</v>
      </c>
      <c r="K442" s="36">
        <f t="shared" si="336"/>
        <v>4828.8595441396865</v>
      </c>
      <c r="L442" s="37">
        <f t="shared" si="336"/>
        <v>4278.5792198095332</v>
      </c>
      <c r="M442" s="36">
        <f t="shared" si="336"/>
        <v>5668.3337163765063</v>
      </c>
      <c r="N442" s="37">
        <f t="shared" si="336"/>
        <v>3103.8205563372189</v>
      </c>
      <c r="O442" s="38">
        <f>SUM(C442:N442)</f>
        <v>49820.744465007578</v>
      </c>
      <c r="P442" s="57"/>
      <c r="Q442" s="57"/>
      <c r="R442" s="60"/>
      <c r="S442" s="41"/>
    </row>
    <row r="443" spans="1:32" ht="15.75">
      <c r="A443" s="42"/>
      <c r="B443" s="35" t="s">
        <v>58</v>
      </c>
      <c r="C443" s="81">
        <f t="shared" ref="C443:N443" si="337">IF(C442=0,0,C444/C442)</f>
        <v>0.16159999999999999</v>
      </c>
      <c r="D443" s="44">
        <f t="shared" si="337"/>
        <v>0.16159999999999999</v>
      </c>
      <c r="E443" s="43">
        <f t="shared" si="337"/>
        <v>0.16160000000000002</v>
      </c>
      <c r="F443" s="44">
        <f t="shared" si="337"/>
        <v>0.16160000000000002</v>
      </c>
      <c r="G443" s="43">
        <f t="shared" si="337"/>
        <v>0.16159999999999999</v>
      </c>
      <c r="H443" s="44">
        <f t="shared" si="337"/>
        <v>0.16159999999999999</v>
      </c>
      <c r="I443" s="43">
        <f t="shared" si="337"/>
        <v>0.16160000000000002</v>
      </c>
      <c r="J443" s="44">
        <f t="shared" si="337"/>
        <v>0.16159999999999999</v>
      </c>
      <c r="K443" s="43">
        <f t="shared" si="337"/>
        <v>0.16160000000000002</v>
      </c>
      <c r="L443" s="44">
        <f t="shared" si="337"/>
        <v>0.16159999999999999</v>
      </c>
      <c r="M443" s="43">
        <f t="shared" si="337"/>
        <v>0.16159999999999999</v>
      </c>
      <c r="N443" s="44">
        <f t="shared" si="337"/>
        <v>0.16159999999999999</v>
      </c>
      <c r="O443" s="45">
        <f>IF(O442=0,0,+O444/O442)</f>
        <v>0.16159999999999999</v>
      </c>
      <c r="P443" s="46"/>
      <c r="Q443" s="47"/>
      <c r="R443" s="47"/>
      <c r="S443" s="41"/>
    </row>
    <row r="444" spans="1:32">
      <c r="A444" s="42"/>
      <c r="B444" s="35" t="s">
        <v>15</v>
      </c>
      <c r="C444" s="48">
        <f t="shared" ref="C444:N444" si="338">C66+C162+C350+C256</f>
        <v>503.4973661288696</v>
      </c>
      <c r="D444" s="49">
        <f t="shared" si="338"/>
        <v>540.07078750168102</v>
      </c>
      <c r="E444" s="48">
        <f t="shared" si="338"/>
        <v>649.83597621615809</v>
      </c>
      <c r="F444" s="49">
        <f t="shared" si="338"/>
        <v>502.93958690218489</v>
      </c>
      <c r="G444" s="48">
        <f t="shared" si="338"/>
        <v>660.74034846275981</v>
      </c>
      <c r="H444" s="49">
        <f t="shared" si="338"/>
        <v>878.05772067283681</v>
      </c>
      <c r="I444" s="48">
        <f t="shared" si="338"/>
        <v>733.23921459505277</v>
      </c>
      <c r="J444" s="49">
        <f t="shared" si="338"/>
        <v>693.30907034094855</v>
      </c>
      <c r="K444" s="48">
        <f t="shared" si="338"/>
        <v>780.34370233297341</v>
      </c>
      <c r="L444" s="49">
        <f t="shared" si="338"/>
        <v>691.41840192122049</v>
      </c>
      <c r="M444" s="48">
        <f t="shared" si="338"/>
        <v>916.00272856644347</v>
      </c>
      <c r="N444" s="49">
        <f t="shared" si="338"/>
        <v>501.57740190409459</v>
      </c>
      <c r="O444" s="50">
        <f>SUM(C444:N444)</f>
        <v>8051.0323055452245</v>
      </c>
      <c r="P444" s="40"/>
      <c r="Q444" s="40"/>
      <c r="R444" s="40"/>
      <c r="S444" s="41"/>
    </row>
    <row r="445" spans="1:32" ht="16.5" thickBot="1">
      <c r="A445" s="51"/>
      <c r="B445" s="52" t="s">
        <v>59</v>
      </c>
      <c r="C445" s="53">
        <f t="shared" ref="C445:O445" si="339">C444/C$385</f>
        <v>0.50402480435682873</v>
      </c>
      <c r="D445" s="54">
        <f t="shared" si="339"/>
        <v>0.55544433908170232</v>
      </c>
      <c r="E445" s="53">
        <f t="shared" si="339"/>
        <v>0.62215137357643358</v>
      </c>
      <c r="F445" s="54">
        <f t="shared" si="339"/>
        <v>0.49223440770204863</v>
      </c>
      <c r="G445" s="53">
        <f t="shared" si="339"/>
        <v>0.55996963553503087</v>
      </c>
      <c r="H445" s="54">
        <f t="shared" si="339"/>
        <v>0.60449952811989593</v>
      </c>
      <c r="I445" s="53">
        <f t="shared" si="339"/>
        <v>0.50642714764023511</v>
      </c>
      <c r="J445" s="54">
        <f t="shared" si="339"/>
        <v>0.46075190192577226</v>
      </c>
      <c r="K445" s="53">
        <f t="shared" si="339"/>
        <v>0.61641351659689148</v>
      </c>
      <c r="L445" s="54">
        <f t="shared" si="339"/>
        <v>0.53046558648097053</v>
      </c>
      <c r="M445" s="53">
        <f t="shared" si="339"/>
        <v>0.80218013542655531</v>
      </c>
      <c r="N445" s="54">
        <f t="shared" si="339"/>
        <v>0.47222681235363317</v>
      </c>
      <c r="O445" s="55">
        <f t="shared" si="339"/>
        <v>0.55925394938095385</v>
      </c>
      <c r="P445" s="56"/>
      <c r="Q445" s="57"/>
      <c r="R445" s="57"/>
      <c r="S445" s="41"/>
    </row>
    <row r="446" spans="1:32">
      <c r="A446" s="181" t="s">
        <v>73</v>
      </c>
      <c r="B446" s="29" t="s">
        <v>55</v>
      </c>
      <c r="C446" s="120">
        <f t="shared" ref="C446:N446" si="340">C447/C$385</f>
        <v>15.233563666881603</v>
      </c>
      <c r="D446" s="121">
        <f t="shared" si="340"/>
        <v>14.939250798310104</v>
      </c>
      <c r="E446" s="120">
        <f t="shared" si="340"/>
        <v>18.040832493638746</v>
      </c>
      <c r="F446" s="121">
        <f t="shared" si="340"/>
        <v>31.483718651487855</v>
      </c>
      <c r="G446" s="120">
        <f t="shared" si="340"/>
        <v>11.689284410177789</v>
      </c>
      <c r="H446" s="121">
        <f t="shared" si="340"/>
        <v>2.3500758296067006</v>
      </c>
      <c r="I446" s="120">
        <f t="shared" si="340"/>
        <v>22.834250304385275</v>
      </c>
      <c r="J446" s="121">
        <f t="shared" si="340"/>
        <v>12.629995191948421</v>
      </c>
      <c r="K446" s="120">
        <f t="shared" si="340"/>
        <v>0.35164940416531593</v>
      </c>
      <c r="L446" s="121">
        <f t="shared" si="340"/>
        <v>1.7332634118393656E-2</v>
      </c>
      <c r="M446" s="120">
        <f t="shared" si="340"/>
        <v>0</v>
      </c>
      <c r="N446" s="121">
        <f t="shared" si="340"/>
        <v>3.5919076174616196</v>
      </c>
      <c r="O446" s="32">
        <f>O447/O$385</f>
        <v>10.718969495098666</v>
      </c>
      <c r="Z446" s="124"/>
      <c r="AD446" s="33"/>
      <c r="AF446" s="58"/>
    </row>
    <row r="447" spans="1:32">
      <c r="A447" s="34" t="s">
        <v>64</v>
      </c>
      <c r="B447" s="35" t="s">
        <v>57</v>
      </c>
      <c r="C447" s="36">
        <f t="shared" ref="C447:N447" si="341">C69+C165+C353+C259</f>
        <v>15217.622459709832</v>
      </c>
      <c r="D447" s="66">
        <f t="shared" si="341"/>
        <v>14525.763205485953</v>
      </c>
      <c r="E447" s="65">
        <f t="shared" si="341"/>
        <v>18843.616671394579</v>
      </c>
      <c r="F447" s="66">
        <f t="shared" si="341"/>
        <v>32168.430741453863</v>
      </c>
      <c r="G447" s="65">
        <f t="shared" si="341"/>
        <v>13792.858334330171</v>
      </c>
      <c r="H447" s="66">
        <f t="shared" si="341"/>
        <v>3413.5712773352443</v>
      </c>
      <c r="I447" s="65">
        <f t="shared" si="341"/>
        <v>33060.960173778985</v>
      </c>
      <c r="J447" s="66">
        <f t="shared" si="341"/>
        <v>19004.783677162319</v>
      </c>
      <c r="K447" s="65">
        <f t="shared" si="341"/>
        <v>445.16771709436352</v>
      </c>
      <c r="L447" s="66">
        <f t="shared" si="341"/>
        <v>22.59166756268905</v>
      </c>
      <c r="M447" s="65">
        <f t="shared" si="341"/>
        <v>0</v>
      </c>
      <c r="N447" s="66">
        <f t="shared" si="341"/>
        <v>3815.1575546217805</v>
      </c>
      <c r="O447" s="67">
        <f>SUM(C447:N447)</f>
        <v>154310.52347992978</v>
      </c>
      <c r="P447" s="57"/>
      <c r="Q447" s="57"/>
      <c r="R447" s="60"/>
      <c r="S447" s="41"/>
      <c r="Y447" s="15"/>
      <c r="Z447" s="124"/>
      <c r="AA447" s="15"/>
      <c r="AC447" s="57"/>
      <c r="AD447" s="33"/>
      <c r="AE447" s="57"/>
      <c r="AF447" s="58"/>
    </row>
    <row r="448" spans="1:32">
      <c r="A448" s="42"/>
      <c r="B448" s="35" t="s">
        <v>58</v>
      </c>
      <c r="C448" s="81">
        <f t="shared" ref="C448:N448" si="342">IF(C447=0,0,C449/C447)</f>
        <v>0.2047072940584638</v>
      </c>
      <c r="D448" s="82">
        <f t="shared" si="342"/>
        <v>0.21000000000000002</v>
      </c>
      <c r="E448" s="81">
        <f t="shared" si="342"/>
        <v>0.19840537581226145</v>
      </c>
      <c r="F448" s="82">
        <f t="shared" si="342"/>
        <v>0.12899905752885732</v>
      </c>
      <c r="G448" s="81">
        <f t="shared" si="342"/>
        <v>0.11595622684303536</v>
      </c>
      <c r="H448" s="82">
        <f t="shared" si="342"/>
        <v>0.11353259333294911</v>
      </c>
      <c r="I448" s="81">
        <f t="shared" si="342"/>
        <v>0.10500000000000001</v>
      </c>
      <c r="J448" s="82">
        <f t="shared" si="342"/>
        <v>0.10500000000000001</v>
      </c>
      <c r="K448" s="81">
        <f t="shared" si="342"/>
        <v>0.10500000000000001</v>
      </c>
      <c r="L448" s="82">
        <f t="shared" si="342"/>
        <v>0.10500000000000001</v>
      </c>
      <c r="M448" s="81">
        <f t="shared" si="342"/>
        <v>0</v>
      </c>
      <c r="N448" s="82">
        <f t="shared" si="342"/>
        <v>0.105</v>
      </c>
      <c r="O448" s="45">
        <f>IF(O447=0,0,+O449/O447)</f>
        <v>0.14229405086143612</v>
      </c>
      <c r="P448" s="47"/>
      <c r="Q448" s="47"/>
      <c r="R448" s="47"/>
      <c r="S448" s="41"/>
      <c r="Z448" s="124"/>
      <c r="AA448" s="15"/>
      <c r="AC448" s="47"/>
      <c r="AD448" s="33"/>
      <c r="AE448" s="47"/>
      <c r="AF448" s="58"/>
    </row>
    <row r="449" spans="1:32">
      <c r="A449" s="42"/>
      <c r="B449" s="35" t="s">
        <v>15</v>
      </c>
      <c r="C449" s="48">
        <f t="shared" ref="C449:N449" si="343">C71+C167+C355+C261</f>
        <v>3115.1583157305035</v>
      </c>
      <c r="D449" s="49">
        <f t="shared" si="343"/>
        <v>3050.4102731520506</v>
      </c>
      <c r="E449" s="48">
        <f t="shared" si="343"/>
        <v>3738.6748473502366</v>
      </c>
      <c r="F449" s="49">
        <f t="shared" si="343"/>
        <v>4149.6972478298694</v>
      </c>
      <c r="G449" s="48">
        <f t="shared" si="343"/>
        <v>1599.3678098294401</v>
      </c>
      <c r="H449" s="49">
        <f t="shared" si="343"/>
        <v>387.55159964273793</v>
      </c>
      <c r="I449" s="48">
        <f t="shared" si="343"/>
        <v>3471.4008182467937</v>
      </c>
      <c r="J449" s="49">
        <f t="shared" si="343"/>
        <v>1995.5022861020436</v>
      </c>
      <c r="K449" s="48">
        <f t="shared" si="343"/>
        <v>46.742610294908175</v>
      </c>
      <c r="L449" s="49">
        <f t="shared" si="343"/>
        <v>2.3721250940823504</v>
      </c>
      <c r="M449" s="48">
        <f t="shared" si="343"/>
        <v>0</v>
      </c>
      <c r="N449" s="49">
        <f t="shared" si="343"/>
        <v>400.59154323528696</v>
      </c>
      <c r="O449" s="50">
        <f>SUM(C449:N449)</f>
        <v>21957.469476507958</v>
      </c>
      <c r="P449" s="40"/>
      <c r="Q449" s="40"/>
      <c r="R449" s="40"/>
      <c r="S449" s="41"/>
      <c r="Z449" s="124"/>
      <c r="AA449" s="15"/>
      <c r="AC449" s="40"/>
      <c r="AD449" s="33"/>
      <c r="AE449" s="40"/>
      <c r="AF449" s="58"/>
    </row>
    <row r="450" spans="1:32" ht="13.5" thickBot="1">
      <c r="A450" s="51"/>
      <c r="B450" s="52" t="s">
        <v>59</v>
      </c>
      <c r="C450" s="53">
        <f t="shared" ref="C450:O450" si="344">C449/C$385</f>
        <v>3.1184215971146618</v>
      </c>
      <c r="D450" s="54">
        <f t="shared" si="344"/>
        <v>3.1372426676451224</v>
      </c>
      <c r="E450" s="53">
        <f t="shared" si="344"/>
        <v>3.5793981508664534</v>
      </c>
      <c r="F450" s="54">
        <f t="shared" si="344"/>
        <v>4.0613700335456402</v>
      </c>
      <c r="G450" s="53">
        <f t="shared" si="344"/>
        <v>1.3554453146993326</v>
      </c>
      <c r="H450" s="54">
        <f t="shared" si="344"/>
        <v>0.26681020346433054</v>
      </c>
      <c r="I450" s="53">
        <f t="shared" si="344"/>
        <v>2.3975962819604542</v>
      </c>
      <c r="J450" s="54">
        <f t="shared" si="344"/>
        <v>1.3261494951545845</v>
      </c>
      <c r="K450" s="53">
        <f t="shared" si="344"/>
        <v>3.6923187437358174E-2</v>
      </c>
      <c r="L450" s="54">
        <f t="shared" si="344"/>
        <v>1.819926582431334E-3</v>
      </c>
      <c r="M450" s="53">
        <f t="shared" si="344"/>
        <v>0</v>
      </c>
      <c r="N450" s="54">
        <f t="shared" si="344"/>
        <v>0.37715029983347009</v>
      </c>
      <c r="O450" s="55">
        <f t="shared" si="344"/>
        <v>1.5252455905177515</v>
      </c>
      <c r="P450" s="57"/>
      <c r="Q450" s="57"/>
      <c r="R450" s="57"/>
      <c r="S450" s="41"/>
      <c r="Z450" s="124"/>
      <c r="AA450" s="15"/>
      <c r="AC450" s="57"/>
      <c r="AD450" s="33"/>
      <c r="AE450" s="57"/>
      <c r="AF450" s="58"/>
    </row>
    <row r="451" spans="1:32">
      <c r="A451" s="28" t="s">
        <v>74</v>
      </c>
      <c r="B451" s="29" t="s">
        <v>55</v>
      </c>
      <c r="C451" s="120">
        <f t="shared" ref="C451:N451" si="345">C452/C$385</f>
        <v>4.2322972928285196</v>
      </c>
      <c r="D451" s="121">
        <f t="shared" si="345"/>
        <v>7.0978024923005734</v>
      </c>
      <c r="E451" s="120">
        <f t="shared" si="345"/>
        <v>10.977381296096041</v>
      </c>
      <c r="F451" s="121">
        <f t="shared" si="345"/>
        <v>22.474507408540081</v>
      </c>
      <c r="G451" s="120">
        <f t="shared" si="345"/>
        <v>31.615308861636297</v>
      </c>
      <c r="H451" s="121">
        <f t="shared" si="345"/>
        <v>24.254406098467943</v>
      </c>
      <c r="I451" s="120">
        <f t="shared" si="345"/>
        <v>27.652315633950277</v>
      </c>
      <c r="J451" s="121">
        <f t="shared" si="345"/>
        <v>41.259640128715503</v>
      </c>
      <c r="K451" s="120">
        <f t="shared" si="345"/>
        <v>29.178168647038561</v>
      </c>
      <c r="L451" s="121">
        <f t="shared" si="345"/>
        <v>29.51875970519955</v>
      </c>
      <c r="M451" s="120">
        <f t="shared" si="345"/>
        <v>14.71092191606852</v>
      </c>
      <c r="N451" s="121">
        <f t="shared" si="345"/>
        <v>8.4006176875359291</v>
      </c>
      <c r="O451" s="32">
        <f>O452/O$385</f>
        <v>22.322091723362934</v>
      </c>
      <c r="Z451" s="124"/>
      <c r="AD451" s="33"/>
      <c r="AF451" s="58"/>
    </row>
    <row r="452" spans="1:32">
      <c r="A452" s="34" t="s">
        <v>64</v>
      </c>
      <c r="B452" s="35" t="s">
        <v>57</v>
      </c>
      <c r="C452" s="36">
        <f t="shared" ref="C452:N452" si="346">C74+C170+C358+C264</f>
        <v>4227.8683929707549</v>
      </c>
      <c r="D452" s="37">
        <f t="shared" si="346"/>
        <v>6901.3499856451117</v>
      </c>
      <c r="E452" s="36">
        <f t="shared" si="346"/>
        <v>11465.854764313543</v>
      </c>
      <c r="F452" s="37">
        <f t="shared" si="346"/>
        <v>22963.28597720293</v>
      </c>
      <c r="G452" s="36">
        <f t="shared" si="346"/>
        <v>37304.719521150764</v>
      </c>
      <c r="H452" s="37">
        <f t="shared" si="346"/>
        <v>35230.413828991659</v>
      </c>
      <c r="I452" s="36">
        <f t="shared" si="346"/>
        <v>40036.878535540243</v>
      </c>
      <c r="J452" s="37">
        <f t="shared" si="346"/>
        <v>62084.784936710377</v>
      </c>
      <c r="K452" s="36">
        <f t="shared" si="346"/>
        <v>36937.866442367333</v>
      </c>
      <c r="L452" s="37">
        <f t="shared" si="346"/>
        <v>38475.283189360591</v>
      </c>
      <c r="M452" s="36">
        <f t="shared" si="346"/>
        <v>16798.277618382137</v>
      </c>
      <c r="N452" s="37">
        <f t="shared" si="346"/>
        <v>8922.7461971144385</v>
      </c>
      <c r="O452" s="38">
        <f>SUM(C452:N452)</f>
        <v>321349.32938974991</v>
      </c>
      <c r="P452" s="57"/>
      <c r="Q452" s="57"/>
      <c r="R452" s="60"/>
      <c r="S452" s="41"/>
      <c r="Y452" s="15"/>
      <c r="Z452" s="124"/>
      <c r="AA452" s="15"/>
      <c r="AC452" s="57"/>
      <c r="AD452" s="33"/>
      <c r="AE452" s="57"/>
      <c r="AF452" s="58"/>
    </row>
    <row r="453" spans="1:32">
      <c r="A453" s="42"/>
      <c r="B453" s="35" t="s">
        <v>58</v>
      </c>
      <c r="C453" s="81">
        <f t="shared" ref="C453:N453" si="347">IF(C452=0,0,C454/C452)</f>
        <v>0.16800000000000001</v>
      </c>
      <c r="D453" s="82">
        <f t="shared" si="347"/>
        <v>0.16800000000000001</v>
      </c>
      <c r="E453" s="81">
        <f t="shared" si="347"/>
        <v>0.16800000000000001</v>
      </c>
      <c r="F453" s="82">
        <f t="shared" si="347"/>
        <v>0.18118519973055827</v>
      </c>
      <c r="G453" s="81">
        <f t="shared" si="347"/>
        <v>0.18094829827563383</v>
      </c>
      <c r="H453" s="82">
        <f t="shared" si="347"/>
        <v>0.1839231344169574</v>
      </c>
      <c r="I453" s="81">
        <f t="shared" si="347"/>
        <v>0.18002532809858177</v>
      </c>
      <c r="J453" s="82">
        <f t="shared" si="347"/>
        <v>0.17622369447709907</v>
      </c>
      <c r="K453" s="81">
        <f t="shared" si="347"/>
        <v>0.16800000000000001</v>
      </c>
      <c r="L453" s="82">
        <f t="shared" si="347"/>
        <v>0.16800000000000001</v>
      </c>
      <c r="M453" s="81">
        <f t="shared" si="347"/>
        <v>0.16800000000000004</v>
      </c>
      <c r="N453" s="82">
        <f t="shared" si="347"/>
        <v>0.16800000000000001</v>
      </c>
      <c r="O453" s="45">
        <f>IF(O452=0,0,+O454/O452)</f>
        <v>0.17527809101192909</v>
      </c>
      <c r="P453" s="47"/>
      <c r="Q453" s="47"/>
      <c r="R453" s="47"/>
      <c r="S453" s="41"/>
      <c r="Z453" s="124"/>
      <c r="AA453" s="15"/>
      <c r="AC453" s="47"/>
      <c r="AD453" s="33"/>
      <c r="AE453" s="47"/>
      <c r="AF453" s="58"/>
    </row>
    <row r="454" spans="1:32">
      <c r="A454" s="42"/>
      <c r="B454" s="35" t="s">
        <v>15</v>
      </c>
      <c r="C454" s="48">
        <f t="shared" ref="C454:N454" si="348">C76+C172+C360+C266</f>
        <v>710.28189001908686</v>
      </c>
      <c r="D454" s="49">
        <f t="shared" si="348"/>
        <v>1159.4267975883788</v>
      </c>
      <c r="E454" s="48">
        <f t="shared" si="348"/>
        <v>1926.2636004046753</v>
      </c>
      <c r="F454" s="49">
        <f t="shared" si="348"/>
        <v>4160.6075562494407</v>
      </c>
      <c r="G454" s="48">
        <f t="shared" si="348"/>
        <v>6750.2255150020483</v>
      </c>
      <c r="H454" s="49">
        <f t="shared" si="348"/>
        <v>6479.6881382346673</v>
      </c>
      <c r="I454" s="48">
        <f t="shared" si="348"/>
        <v>7207.6521944036986</v>
      </c>
      <c r="J454" s="49">
        <f t="shared" si="348"/>
        <v>10940.810172363252</v>
      </c>
      <c r="K454" s="48">
        <f t="shared" si="348"/>
        <v>6205.5615623177118</v>
      </c>
      <c r="L454" s="49">
        <f t="shared" si="348"/>
        <v>6463.8475758125796</v>
      </c>
      <c r="M454" s="48">
        <f t="shared" si="348"/>
        <v>2822.1106398881998</v>
      </c>
      <c r="N454" s="49">
        <f t="shared" si="348"/>
        <v>1499.0213611152258</v>
      </c>
      <c r="O454" s="50">
        <f>SUM(C454:N454)</f>
        <v>56325.497003398967</v>
      </c>
      <c r="P454" s="40"/>
      <c r="Q454" s="40"/>
      <c r="R454" s="40"/>
      <c r="S454" s="41"/>
      <c r="Z454" s="124"/>
      <c r="AA454" s="15"/>
      <c r="AC454" s="40"/>
      <c r="AD454" s="33"/>
      <c r="AE454" s="40"/>
      <c r="AF454" s="58"/>
    </row>
    <row r="455" spans="1:32" ht="13.5" thickBot="1">
      <c r="A455" s="51"/>
      <c r="B455" s="52" t="s">
        <v>59</v>
      </c>
      <c r="C455" s="53">
        <f t="shared" ref="C455:O455" si="349">C454/C$385</f>
        <v>0.71102594519519136</v>
      </c>
      <c r="D455" s="54">
        <f t="shared" si="349"/>
        <v>1.1924308187064963</v>
      </c>
      <c r="E455" s="53">
        <f t="shared" si="349"/>
        <v>1.8442000577441351</v>
      </c>
      <c r="F455" s="54">
        <f t="shared" si="349"/>
        <v>4.0720481136622464</v>
      </c>
      <c r="G455" s="53">
        <f t="shared" si="349"/>
        <v>5.7207363379716538</v>
      </c>
      <c r="H455" s="54">
        <f t="shared" si="349"/>
        <v>4.4609463930519899</v>
      </c>
      <c r="I455" s="53">
        <f t="shared" si="349"/>
        <v>4.9781171946874414</v>
      </c>
      <c r="J455" s="54">
        <f t="shared" si="349"/>
        <v>7.2709262162778181</v>
      </c>
      <c r="K455" s="53">
        <f t="shared" si="349"/>
        <v>4.9019323327024784</v>
      </c>
      <c r="L455" s="54">
        <f t="shared" si="349"/>
        <v>4.9591516304735244</v>
      </c>
      <c r="M455" s="53">
        <f t="shared" si="349"/>
        <v>2.471434881899512</v>
      </c>
      <c r="N455" s="54">
        <f t="shared" si="349"/>
        <v>1.4113037715060361</v>
      </c>
      <c r="O455" s="55">
        <f t="shared" si="349"/>
        <v>3.9125736246642377</v>
      </c>
      <c r="P455" s="57"/>
      <c r="Q455" s="57"/>
      <c r="R455" s="57"/>
      <c r="S455" s="41"/>
      <c r="Z455" s="124"/>
      <c r="AA455" s="15"/>
      <c r="AC455" s="57"/>
      <c r="AD455" s="33"/>
      <c r="AE455" s="57"/>
      <c r="AF455" s="58"/>
    </row>
    <row r="456" spans="1:32">
      <c r="A456" s="181" t="s">
        <v>75</v>
      </c>
      <c r="B456" s="29" t="s">
        <v>55</v>
      </c>
      <c r="C456" s="120">
        <f t="shared" ref="C456:N456" si="350">C457/C$385</f>
        <v>1.9471756951421806</v>
      </c>
      <c r="D456" s="121">
        <f t="shared" si="350"/>
        <v>2.1026284537921272</v>
      </c>
      <c r="E456" s="120">
        <f t="shared" si="350"/>
        <v>1.3294398984233649</v>
      </c>
      <c r="F456" s="121">
        <f t="shared" si="350"/>
        <v>1.8763752890046914</v>
      </c>
      <c r="G456" s="120">
        <f t="shared" si="350"/>
        <v>1.0063707351340982</v>
      </c>
      <c r="H456" s="121">
        <f t="shared" si="350"/>
        <v>1.4434430880598148</v>
      </c>
      <c r="I456" s="120">
        <f t="shared" si="350"/>
        <v>1.3931641211026056</v>
      </c>
      <c r="J456" s="121">
        <f t="shared" si="350"/>
        <v>2.2555381376782226</v>
      </c>
      <c r="K456" s="120">
        <f t="shared" si="350"/>
        <v>0</v>
      </c>
      <c r="L456" s="121">
        <f t="shared" si="350"/>
        <v>0</v>
      </c>
      <c r="M456" s="120">
        <f t="shared" si="350"/>
        <v>0</v>
      </c>
      <c r="N456" s="121">
        <f t="shared" si="350"/>
        <v>0</v>
      </c>
      <c r="O456" s="32">
        <f>O457/O$385</f>
        <v>1.1107638274825582</v>
      </c>
      <c r="P456" s="9"/>
      <c r="Q456" s="9"/>
      <c r="R456" s="9"/>
      <c r="S456" s="70"/>
    </row>
    <row r="457" spans="1:32">
      <c r="A457" s="34" t="s">
        <v>71</v>
      </c>
      <c r="B457" s="35" t="s">
        <v>57</v>
      </c>
      <c r="C457" s="36">
        <f t="shared" ref="C457:N457" si="351">C79+C175+C363+C269</f>
        <v>1945.1380674514533</v>
      </c>
      <c r="D457" s="66">
        <f t="shared" si="351"/>
        <v>2044.4320428944386</v>
      </c>
      <c r="E457" s="65">
        <f t="shared" si="351"/>
        <v>1388.597551824776</v>
      </c>
      <c r="F457" s="66">
        <f t="shared" si="351"/>
        <v>1917.1829477160697</v>
      </c>
      <c r="G457" s="65">
        <f t="shared" si="351"/>
        <v>1187.4746557996707</v>
      </c>
      <c r="H457" s="66">
        <f t="shared" si="351"/>
        <v>2096.6539903921671</v>
      </c>
      <c r="I457" s="65">
        <f t="shared" si="351"/>
        <v>2017.1165205483201</v>
      </c>
      <c r="J457" s="66">
        <f t="shared" si="351"/>
        <v>3393.9850119255088</v>
      </c>
      <c r="K457" s="65">
        <f t="shared" si="351"/>
        <v>0</v>
      </c>
      <c r="L457" s="66">
        <f t="shared" si="351"/>
        <v>0</v>
      </c>
      <c r="M457" s="65">
        <f t="shared" si="351"/>
        <v>0</v>
      </c>
      <c r="N457" s="66">
        <f t="shared" si="351"/>
        <v>0</v>
      </c>
      <c r="O457" s="67">
        <f>SUM(C457:N457)</f>
        <v>15990.580788552405</v>
      </c>
      <c r="P457" s="15"/>
      <c r="Q457" s="15"/>
      <c r="R457" s="15"/>
      <c r="S457" s="71"/>
    </row>
    <row r="458" spans="1:32" ht="15.75">
      <c r="A458" s="182" t="s">
        <v>64</v>
      </c>
      <c r="B458" s="35" t="s">
        <v>58</v>
      </c>
      <c r="C458" s="81">
        <f t="shared" ref="C458:N458" si="352">IF(C457=0,0,C459/C457)</f>
        <v>1.2423</v>
      </c>
      <c r="D458" s="122">
        <f t="shared" si="352"/>
        <v>1.2423</v>
      </c>
      <c r="E458" s="123">
        <f t="shared" si="352"/>
        <v>1.2423</v>
      </c>
      <c r="F458" s="122">
        <f t="shared" si="352"/>
        <v>1.2423</v>
      </c>
      <c r="G458" s="123">
        <f t="shared" si="352"/>
        <v>1.2423</v>
      </c>
      <c r="H458" s="122">
        <f t="shared" si="352"/>
        <v>1.2423</v>
      </c>
      <c r="I458" s="123">
        <f t="shared" si="352"/>
        <v>1.2423</v>
      </c>
      <c r="J458" s="122">
        <f t="shared" si="352"/>
        <v>1.2423</v>
      </c>
      <c r="K458" s="123">
        <f t="shared" si="352"/>
        <v>0</v>
      </c>
      <c r="L458" s="122">
        <f t="shared" si="352"/>
        <v>0</v>
      </c>
      <c r="M458" s="123">
        <f t="shared" si="352"/>
        <v>0</v>
      </c>
      <c r="N458" s="122">
        <f t="shared" si="352"/>
        <v>0</v>
      </c>
      <c r="O458" s="45">
        <f>IF(O457=0,0,+O459/O457)</f>
        <v>1.2423</v>
      </c>
      <c r="P458" s="15"/>
      <c r="Q458" s="72"/>
      <c r="R458" s="15"/>
      <c r="S458" s="15"/>
    </row>
    <row r="459" spans="1:32">
      <c r="A459" s="42"/>
      <c r="B459" s="35" t="s">
        <v>15</v>
      </c>
      <c r="C459" s="48">
        <f t="shared" ref="C459:N459" si="353">C81+C177+C365+C271</f>
        <v>2416.4450211949402</v>
      </c>
      <c r="D459" s="49">
        <f t="shared" si="353"/>
        <v>2539.7979268877612</v>
      </c>
      <c r="E459" s="48">
        <f t="shared" si="353"/>
        <v>1725.0547386319192</v>
      </c>
      <c r="F459" s="49">
        <f t="shared" si="353"/>
        <v>2381.7163759476734</v>
      </c>
      <c r="G459" s="48">
        <f t="shared" si="353"/>
        <v>1475.1997648999309</v>
      </c>
      <c r="H459" s="49">
        <f t="shared" si="353"/>
        <v>2604.6732522641892</v>
      </c>
      <c r="I459" s="48">
        <f t="shared" si="353"/>
        <v>2505.8638534771781</v>
      </c>
      <c r="J459" s="49">
        <f t="shared" si="353"/>
        <v>4216.3475803150595</v>
      </c>
      <c r="K459" s="48">
        <f t="shared" si="353"/>
        <v>0</v>
      </c>
      <c r="L459" s="49">
        <f t="shared" si="353"/>
        <v>0</v>
      </c>
      <c r="M459" s="48">
        <f t="shared" si="353"/>
        <v>0</v>
      </c>
      <c r="N459" s="49">
        <f t="shared" si="353"/>
        <v>0</v>
      </c>
      <c r="O459" s="50">
        <f>SUM(C459:N459)</f>
        <v>19865.09851361865</v>
      </c>
      <c r="P459" s="15"/>
      <c r="Q459" s="15"/>
      <c r="R459" s="15"/>
      <c r="S459" s="15"/>
    </row>
    <row r="460" spans="1:32" ht="13.5" thickBot="1">
      <c r="A460" s="51"/>
      <c r="B460" s="52" t="s">
        <v>59</v>
      </c>
      <c r="C460" s="53">
        <f t="shared" ref="C460:O460" si="354">C459/C$385</f>
        <v>2.4189763660751309</v>
      </c>
      <c r="D460" s="54">
        <f t="shared" si="354"/>
        <v>2.6120953281459593</v>
      </c>
      <c r="E460" s="53">
        <f t="shared" si="354"/>
        <v>1.651563185811346</v>
      </c>
      <c r="F460" s="54">
        <f t="shared" si="354"/>
        <v>2.3310210215305283</v>
      </c>
      <c r="G460" s="53">
        <f t="shared" si="354"/>
        <v>1.2502143642570902</v>
      </c>
      <c r="H460" s="54">
        <f t="shared" si="354"/>
        <v>1.7931893482967078</v>
      </c>
      <c r="I460" s="53">
        <f t="shared" si="354"/>
        <v>1.730727787645767</v>
      </c>
      <c r="J460" s="54">
        <f t="shared" si="354"/>
        <v>2.802055028437656</v>
      </c>
      <c r="K460" s="53">
        <f t="shared" si="354"/>
        <v>0</v>
      </c>
      <c r="L460" s="54">
        <f t="shared" si="354"/>
        <v>0</v>
      </c>
      <c r="M460" s="53">
        <f t="shared" si="354"/>
        <v>0</v>
      </c>
      <c r="N460" s="54">
        <f t="shared" si="354"/>
        <v>0</v>
      </c>
      <c r="O460" s="55">
        <f t="shared" si="354"/>
        <v>1.379901902881582</v>
      </c>
      <c r="P460" s="8"/>
      <c r="S460" s="41"/>
    </row>
    <row r="461" spans="1:32">
      <c r="A461" s="181" t="s">
        <v>76</v>
      </c>
      <c r="B461" s="29" t="s">
        <v>55</v>
      </c>
      <c r="C461" s="120">
        <f t="shared" ref="C461:N461" si="355">C462/C$385</f>
        <v>4.2767128424477745</v>
      </c>
      <c r="D461" s="121">
        <f t="shared" si="355"/>
        <v>11.507478794351059</v>
      </c>
      <c r="E461" s="120">
        <f t="shared" si="355"/>
        <v>4.9493728126799619</v>
      </c>
      <c r="F461" s="121">
        <f t="shared" si="355"/>
        <v>10.013104160261063</v>
      </c>
      <c r="G461" s="120">
        <f t="shared" si="355"/>
        <v>3.5555688617587129</v>
      </c>
      <c r="H461" s="121">
        <f t="shared" si="355"/>
        <v>3.1282557479929172</v>
      </c>
      <c r="I461" s="120">
        <f t="shared" si="355"/>
        <v>3.8814701415255581</v>
      </c>
      <c r="J461" s="121">
        <f t="shared" si="355"/>
        <v>1.1303509577329738</v>
      </c>
      <c r="K461" s="120">
        <f t="shared" si="355"/>
        <v>0</v>
      </c>
      <c r="L461" s="121">
        <f t="shared" si="355"/>
        <v>0</v>
      </c>
      <c r="M461" s="120">
        <f t="shared" si="355"/>
        <v>0</v>
      </c>
      <c r="N461" s="121">
        <f t="shared" si="355"/>
        <v>0</v>
      </c>
      <c r="O461" s="32">
        <f>O462/O$385</f>
        <v>3.2593552727123165</v>
      </c>
    </row>
    <row r="462" spans="1:32">
      <c r="A462" s="34" t="s">
        <v>64</v>
      </c>
      <c r="B462" s="35" t="s">
        <v>57</v>
      </c>
      <c r="C462" s="36">
        <f t="shared" ref="C462:N462" si="356">C84+C180+C368+C274</f>
        <v>4272.2374638084448</v>
      </c>
      <c r="D462" s="66">
        <f t="shared" si="356"/>
        <v>11188.975559457283</v>
      </c>
      <c r="E462" s="65">
        <f t="shared" si="356"/>
        <v>5169.6108856865894</v>
      </c>
      <c r="F462" s="66">
        <f t="shared" si="356"/>
        <v>10230.870477909682</v>
      </c>
      <c r="G462" s="65">
        <f t="shared" si="356"/>
        <v>4195.4200006882711</v>
      </c>
      <c r="H462" s="66">
        <f t="shared" si="356"/>
        <v>4543.9061305926534</v>
      </c>
      <c r="I462" s="65">
        <f t="shared" si="356"/>
        <v>5619.8529863730255</v>
      </c>
      <c r="J462" s="66">
        <f t="shared" si="356"/>
        <v>1700.877562066149</v>
      </c>
      <c r="K462" s="65">
        <f t="shared" si="356"/>
        <v>0</v>
      </c>
      <c r="L462" s="66">
        <f t="shared" si="356"/>
        <v>0</v>
      </c>
      <c r="M462" s="65">
        <f t="shared" si="356"/>
        <v>0</v>
      </c>
      <c r="N462" s="66">
        <f t="shared" si="356"/>
        <v>0</v>
      </c>
      <c r="O462" s="67">
        <f>SUM(C462:N462)</f>
        <v>46921.751066582103</v>
      </c>
    </row>
    <row r="463" spans="1:32">
      <c r="A463" s="103"/>
      <c r="B463" s="35" t="s">
        <v>58</v>
      </c>
      <c r="C463" s="81">
        <f t="shared" ref="C463:N463" si="357">IF(C462=0,0,C464/C462)</f>
        <v>0.28280000000000005</v>
      </c>
      <c r="D463" s="82">
        <f t="shared" si="357"/>
        <v>0.28280000000000005</v>
      </c>
      <c r="E463" s="81">
        <f t="shared" si="357"/>
        <v>0.28280000000000005</v>
      </c>
      <c r="F463" s="82">
        <f t="shared" si="357"/>
        <v>0.28280000000000005</v>
      </c>
      <c r="G463" s="81">
        <f t="shared" si="357"/>
        <v>0.28280000000000005</v>
      </c>
      <c r="H463" s="82">
        <f t="shared" si="357"/>
        <v>0.28280000000000005</v>
      </c>
      <c r="I463" s="81">
        <f t="shared" si="357"/>
        <v>0.28280000000000005</v>
      </c>
      <c r="J463" s="82">
        <f t="shared" si="357"/>
        <v>0.28280000000000005</v>
      </c>
      <c r="K463" s="81">
        <f t="shared" si="357"/>
        <v>0</v>
      </c>
      <c r="L463" s="82">
        <f t="shared" si="357"/>
        <v>0</v>
      </c>
      <c r="M463" s="81">
        <f t="shared" si="357"/>
        <v>0</v>
      </c>
      <c r="N463" s="82">
        <f t="shared" si="357"/>
        <v>0</v>
      </c>
      <c r="O463" s="45">
        <f>IF(O462=0,0,+O464/O462)</f>
        <v>0.28280000000000005</v>
      </c>
    </row>
    <row r="464" spans="1:32">
      <c r="A464" s="42"/>
      <c r="B464" s="35" t="s">
        <v>15</v>
      </c>
      <c r="C464" s="48">
        <f t="shared" ref="C464:N464" si="358">C86+C182+C370+C276</f>
        <v>1208.1887547650283</v>
      </c>
      <c r="D464" s="49">
        <f t="shared" si="358"/>
        <v>3164.2422882145202</v>
      </c>
      <c r="E464" s="48">
        <f t="shared" si="358"/>
        <v>1461.9659584721678</v>
      </c>
      <c r="F464" s="49">
        <f t="shared" si="358"/>
        <v>2893.2901711528589</v>
      </c>
      <c r="G464" s="48">
        <f t="shared" si="358"/>
        <v>1186.4647761946433</v>
      </c>
      <c r="H464" s="49">
        <f t="shared" si="358"/>
        <v>1285.0166537316027</v>
      </c>
      <c r="I464" s="48">
        <f t="shared" si="358"/>
        <v>1589.2944245462918</v>
      </c>
      <c r="J464" s="49">
        <f t="shared" si="358"/>
        <v>481.00817455230703</v>
      </c>
      <c r="K464" s="48">
        <f t="shared" si="358"/>
        <v>0</v>
      </c>
      <c r="L464" s="49">
        <f t="shared" si="358"/>
        <v>0</v>
      </c>
      <c r="M464" s="48">
        <f t="shared" si="358"/>
        <v>0</v>
      </c>
      <c r="N464" s="49">
        <f t="shared" si="358"/>
        <v>0</v>
      </c>
      <c r="O464" s="50">
        <f>SUM(C464:N464)</f>
        <v>13269.471201629422</v>
      </c>
    </row>
    <row r="465" spans="1:19" ht="13.5" thickBot="1">
      <c r="A465" s="51"/>
      <c r="B465" s="52" t="s">
        <v>59</v>
      </c>
      <c r="C465" s="53">
        <f t="shared" ref="C465:O465" si="359">C464/C$385</f>
        <v>1.2094543918442306</v>
      </c>
      <c r="D465" s="54">
        <f t="shared" si="359"/>
        <v>3.2543150030424797</v>
      </c>
      <c r="E465" s="53">
        <f t="shared" si="359"/>
        <v>1.3996826314258934</v>
      </c>
      <c r="F465" s="54">
        <f t="shared" si="359"/>
        <v>2.8317058565218289</v>
      </c>
      <c r="G465" s="53">
        <f t="shared" si="359"/>
        <v>1.0055148741053641</v>
      </c>
      <c r="H465" s="54">
        <f t="shared" si="359"/>
        <v>0.88467072553239723</v>
      </c>
      <c r="I465" s="53">
        <f t="shared" si="359"/>
        <v>1.0976797560234279</v>
      </c>
      <c r="J465" s="54">
        <f t="shared" si="359"/>
        <v>0.31966325084688507</v>
      </c>
      <c r="K465" s="53">
        <f t="shared" si="359"/>
        <v>0</v>
      </c>
      <c r="L465" s="54">
        <f t="shared" si="359"/>
        <v>0</v>
      </c>
      <c r="M465" s="53">
        <f t="shared" si="359"/>
        <v>0</v>
      </c>
      <c r="N465" s="54">
        <f t="shared" si="359"/>
        <v>0</v>
      </c>
      <c r="O465" s="55">
        <f t="shared" si="359"/>
        <v>0.92174567112304329</v>
      </c>
    </row>
    <row r="466" spans="1:19">
      <c r="A466" s="34" t="s">
        <v>91</v>
      </c>
      <c r="B466" s="35" t="s">
        <v>15</v>
      </c>
      <c r="C466" s="48">
        <f t="shared" ref="C466:N466" si="360">C95</f>
        <v>0</v>
      </c>
      <c r="D466" s="49">
        <f t="shared" si="360"/>
        <v>0</v>
      </c>
      <c r="E466" s="48">
        <f t="shared" si="360"/>
        <v>0</v>
      </c>
      <c r="F466" s="49">
        <f t="shared" si="360"/>
        <v>0</v>
      </c>
      <c r="G466" s="48">
        <f t="shared" si="360"/>
        <v>0</v>
      </c>
      <c r="H466" s="49">
        <f t="shared" si="360"/>
        <v>0</v>
      </c>
      <c r="I466" s="48">
        <f t="shared" si="360"/>
        <v>0</v>
      </c>
      <c r="J466" s="49">
        <f t="shared" si="360"/>
        <v>0</v>
      </c>
      <c r="K466" s="48">
        <f t="shared" si="360"/>
        <v>0</v>
      </c>
      <c r="L466" s="49">
        <f t="shared" si="360"/>
        <v>0</v>
      </c>
      <c r="M466" s="48">
        <f t="shared" si="360"/>
        <v>0</v>
      </c>
      <c r="N466" s="49">
        <f t="shared" si="360"/>
        <v>0</v>
      </c>
      <c r="O466" s="50">
        <f>SUM(C466:N466)</f>
        <v>0</v>
      </c>
    </row>
    <row r="467" spans="1:19" ht="13.5" thickBot="1">
      <c r="A467" s="130"/>
      <c r="B467" s="91"/>
      <c r="C467" s="92"/>
      <c r="D467" s="94"/>
      <c r="E467" s="92"/>
      <c r="F467" s="94"/>
      <c r="G467" s="92"/>
      <c r="H467" s="94"/>
      <c r="I467" s="92"/>
      <c r="J467" s="94"/>
      <c r="K467" s="92"/>
      <c r="L467" s="94"/>
      <c r="M467" s="92"/>
      <c r="N467" s="94"/>
      <c r="O467" s="95"/>
    </row>
    <row r="468" spans="1:19" ht="13.5" thickBot="1">
      <c r="A468" s="10" t="s">
        <v>1</v>
      </c>
      <c r="B468" s="73" t="s">
        <v>1</v>
      </c>
      <c r="C468" s="74" t="s">
        <v>1</v>
      </c>
      <c r="D468" s="75" t="s">
        <v>1</v>
      </c>
      <c r="E468" s="74" t="s">
        <v>1</v>
      </c>
      <c r="F468" s="75" t="s">
        <v>1</v>
      </c>
      <c r="G468" s="74" t="s">
        <v>1</v>
      </c>
      <c r="H468" s="75" t="s">
        <v>1</v>
      </c>
      <c r="I468" s="74" t="s">
        <v>1</v>
      </c>
      <c r="J468" s="75" t="s">
        <v>1</v>
      </c>
      <c r="K468" s="74" t="s">
        <v>1</v>
      </c>
      <c r="L468" s="75" t="s">
        <v>1</v>
      </c>
      <c r="M468" s="74" t="s">
        <v>1</v>
      </c>
      <c r="N468" s="75" t="s">
        <v>1</v>
      </c>
      <c r="O468" s="6" t="s">
        <v>1</v>
      </c>
    </row>
    <row r="469" spans="1:19" ht="15.75">
      <c r="A469" s="131" t="s">
        <v>92</v>
      </c>
      <c r="B469" s="29" t="s">
        <v>55</v>
      </c>
      <c r="C469" s="78">
        <f t="shared" ref="C469:O469" si="361">C$470/(C$385-C$197-C$291)</f>
        <v>598.04531207155958</v>
      </c>
      <c r="D469" s="79">
        <f t="shared" si="361"/>
        <v>579.17638675374531</v>
      </c>
      <c r="E469" s="78">
        <f t="shared" si="361"/>
        <v>581.10564983207837</v>
      </c>
      <c r="F469" s="79">
        <f t="shared" si="361"/>
        <v>576.44850868535673</v>
      </c>
      <c r="G469" s="78">
        <f t="shared" si="361"/>
        <v>584.31889224001179</v>
      </c>
      <c r="H469" s="79">
        <f t="shared" si="361"/>
        <v>571.94515887056104</v>
      </c>
      <c r="I469" s="78">
        <f t="shared" si="361"/>
        <v>570.24877602192487</v>
      </c>
      <c r="J469" s="79">
        <f t="shared" si="361"/>
        <v>632.18359234147238</v>
      </c>
      <c r="K469" s="78">
        <f t="shared" si="361"/>
        <v>613.28363846568595</v>
      </c>
      <c r="L469" s="79">
        <f t="shared" si="361"/>
        <v>634.2665076435627</v>
      </c>
      <c r="M469" s="78">
        <f t="shared" si="361"/>
        <v>607.24276788830446</v>
      </c>
      <c r="N469" s="79">
        <f t="shared" si="361"/>
        <v>643.71443367415964</v>
      </c>
      <c r="O469" s="132">
        <f t="shared" si="361"/>
        <v>600.2073274071812</v>
      </c>
      <c r="P469" s="57"/>
      <c r="Q469" s="57"/>
      <c r="R469" s="57"/>
      <c r="S469" s="41"/>
    </row>
    <row r="470" spans="1:19">
      <c r="A470" s="34" t="s">
        <v>95</v>
      </c>
      <c r="B470" s="35" t="s">
        <v>57</v>
      </c>
      <c r="C470" s="36">
        <f t="shared" ref="C470:N470" si="362">C$387+C$392+C$397+C$402+C$407+C$412+C$417+C$422+C$427+C$432+C$437+C$442+C$447+C$452+C$457+C$462-C$281-C$375</f>
        <v>448885.65167672647</v>
      </c>
      <c r="D470" s="37">
        <f t="shared" si="362"/>
        <v>433219.25778261392</v>
      </c>
      <c r="E470" s="36">
        <f t="shared" si="362"/>
        <v>462637.18641194352</v>
      </c>
      <c r="F470" s="37">
        <f t="shared" si="362"/>
        <v>450433.63939961127</v>
      </c>
      <c r="G470" s="36">
        <f t="shared" si="362"/>
        <v>544346.77079069999</v>
      </c>
      <c r="H470" s="37">
        <f t="shared" si="362"/>
        <v>640327.69741595897</v>
      </c>
      <c r="I470" s="36">
        <f t="shared" si="362"/>
        <v>629436.40473047993</v>
      </c>
      <c r="J470" s="37">
        <f t="shared" si="362"/>
        <v>733749.93399080285</v>
      </c>
      <c r="K470" s="36">
        <f t="shared" si="362"/>
        <v>643840.44249075395</v>
      </c>
      <c r="L470" s="37">
        <f t="shared" si="362"/>
        <v>685069.4296681697</v>
      </c>
      <c r="M470" s="36">
        <f t="shared" si="362"/>
        <v>562169.91211313289</v>
      </c>
      <c r="N470" s="37">
        <f t="shared" si="362"/>
        <v>539968.71157566691</v>
      </c>
      <c r="O470" s="38">
        <f>SUM(C470:N470)</f>
        <v>6774085.0380465593</v>
      </c>
      <c r="P470" s="47"/>
      <c r="Q470" s="68"/>
      <c r="R470" s="47"/>
      <c r="S470" s="41"/>
    </row>
    <row r="471" spans="1:19">
      <c r="A471" s="42"/>
      <c r="B471" s="35" t="s">
        <v>58</v>
      </c>
      <c r="C471" s="133">
        <f t="shared" ref="C471:N471" si="363">C472/C470</f>
        <v>0.19277020787946794</v>
      </c>
      <c r="D471" s="134">
        <f t="shared" si="363"/>
        <v>0.20442308067916343</v>
      </c>
      <c r="E471" s="133">
        <f t="shared" si="363"/>
        <v>0.20772494061163579</v>
      </c>
      <c r="F471" s="134">
        <f t="shared" si="363"/>
        <v>0.19662726037589989</v>
      </c>
      <c r="G471" s="133">
        <f t="shared" si="363"/>
        <v>0.19726674009808037</v>
      </c>
      <c r="H471" s="134">
        <f t="shared" si="363"/>
        <v>0.19875880122325171</v>
      </c>
      <c r="I471" s="133">
        <f t="shared" si="363"/>
        <v>0.19977568881162819</v>
      </c>
      <c r="J471" s="134">
        <f t="shared" si="363"/>
        <v>0.18540162568655497</v>
      </c>
      <c r="K471" s="133">
        <f t="shared" si="363"/>
        <v>0.18576587389633581</v>
      </c>
      <c r="L471" s="134">
        <f t="shared" si="363"/>
        <v>0.18645990453086608</v>
      </c>
      <c r="M471" s="133">
        <f t="shared" si="363"/>
        <v>0.19834923604807475</v>
      </c>
      <c r="N471" s="134">
        <f t="shared" si="363"/>
        <v>0.20234986389898155</v>
      </c>
      <c r="O471" s="135">
        <f>IF(O470=0,0,O472/O470)</f>
        <v>0.19549614951870367</v>
      </c>
      <c r="P471" s="40"/>
      <c r="Q471" s="40"/>
      <c r="R471" s="39"/>
      <c r="S471" s="41"/>
    </row>
    <row r="472" spans="1:19">
      <c r="A472" s="34" t="s">
        <v>94</v>
      </c>
      <c r="B472" s="35" t="s">
        <v>15</v>
      </c>
      <c r="C472" s="144">
        <f t="shared" ref="C472:N472" si="364">C$185+C$389+C$394+C$399+C$404+C$414+C$419+C$424+C$429+C$434+C$439+C444+C$454+C$464+C$279+C$449+C$409+C$459-C$283-C$377+C466</f>
        <v>86531.780387833001</v>
      </c>
      <c r="D472" s="145">
        <f t="shared" si="364"/>
        <v>88560.015285462578</v>
      </c>
      <c r="E472" s="144">
        <f t="shared" si="364"/>
        <v>96101.282072155242</v>
      </c>
      <c r="F472" s="145">
        <f t="shared" si="364"/>
        <v>88567.532496291562</v>
      </c>
      <c r="G472" s="144">
        <f t="shared" si="364"/>
        <v>107381.51295679834</v>
      </c>
      <c r="H472" s="145">
        <f t="shared" si="364"/>
        <v>127270.76552844106</v>
      </c>
      <c r="I472" s="144">
        <f t="shared" si="364"/>
        <v>125746.09131814641</v>
      </c>
      <c r="J472" s="145">
        <f t="shared" si="364"/>
        <v>136038.43060929724</v>
      </c>
      <c r="K472" s="144">
        <f t="shared" si="364"/>
        <v>119603.58244909844</v>
      </c>
      <c r="L472" s="145">
        <f t="shared" si="364"/>
        <v>127737.9804529418</v>
      </c>
      <c r="M472" s="144">
        <f t="shared" si="364"/>
        <v>111505.97259685323</v>
      </c>
      <c r="N472" s="145">
        <f t="shared" si="364"/>
        <v>109262.59529704462</v>
      </c>
      <c r="O472" s="146">
        <f>SUM(C472:N472)</f>
        <v>1324307.5414503636</v>
      </c>
      <c r="P472" s="57"/>
      <c r="Q472" s="57"/>
      <c r="R472" s="57"/>
      <c r="S472" s="41"/>
    </row>
    <row r="473" spans="1:19" ht="13.5" thickBot="1">
      <c r="A473" s="51"/>
      <c r="B473" s="52" t="s">
        <v>59</v>
      </c>
      <c r="C473" s="53">
        <f t="shared" ref="C473:O473" si="365">C$472/(C$385-C$197-C$291)</f>
        <v>115.28531912937581</v>
      </c>
      <c r="D473" s="54">
        <f t="shared" si="365"/>
        <v>118.39702123682723</v>
      </c>
      <c r="E473" s="53">
        <f t="shared" si="365"/>
        <v>120.7101366004545</v>
      </c>
      <c r="F473" s="54">
        <f t="shared" si="365"/>
        <v>113.34549101057482</v>
      </c>
      <c r="G473" s="53">
        <f t="shared" si="365"/>
        <v>115.26668304990862</v>
      </c>
      <c r="H473" s="54">
        <f t="shared" si="365"/>
        <v>113.67913414255497</v>
      </c>
      <c r="I473" s="53">
        <f t="shared" si="365"/>
        <v>113.92184202376794</v>
      </c>
      <c r="J473" s="54">
        <f t="shared" si="365"/>
        <v>117.20786575247533</v>
      </c>
      <c r="K473" s="53">
        <f t="shared" si="365"/>
        <v>113.92717104590263</v>
      </c>
      <c r="L473" s="54">
        <f t="shared" si="365"/>
        <v>118.26527246234454</v>
      </c>
      <c r="M473" s="53">
        <f t="shared" si="365"/>
        <v>120.44613910636356</v>
      </c>
      <c r="N473" s="54">
        <f t="shared" si="365"/>
        <v>130.2555280437762</v>
      </c>
      <c r="O473" s="55">
        <f t="shared" si="365"/>
        <v>117.33822142101582</v>
      </c>
      <c r="P473" s="9"/>
      <c r="Q473" s="9"/>
      <c r="R473" s="9"/>
      <c r="S473" s="70"/>
    </row>
    <row r="474" spans="1:19" ht="31.5">
      <c r="A474" s="131" t="s">
        <v>96</v>
      </c>
      <c r="B474" s="29" t="s">
        <v>55</v>
      </c>
      <c r="C474" s="78">
        <f>C$475/C$385</f>
        <v>643.51741330276104</v>
      </c>
      <c r="D474" s="79">
        <f t="shared" ref="D474:N474" si="366">D475/D385</f>
        <v>592.99097108806382</v>
      </c>
      <c r="E474" s="78">
        <f t="shared" si="366"/>
        <v>628.29374353475612</v>
      </c>
      <c r="F474" s="79">
        <f t="shared" si="366"/>
        <v>666.73385816412986</v>
      </c>
      <c r="G474" s="78">
        <f t="shared" si="366"/>
        <v>628.10185727201224</v>
      </c>
      <c r="H474" s="79">
        <f t="shared" si="366"/>
        <v>581.81448653935593</v>
      </c>
      <c r="I474" s="78">
        <f t="shared" si="366"/>
        <v>640.48199472141437</v>
      </c>
      <c r="J474" s="79">
        <f t="shared" si="366"/>
        <v>684.88477374530385</v>
      </c>
      <c r="K474" s="78">
        <f t="shared" si="366"/>
        <v>662.83196537487345</v>
      </c>
      <c r="L474" s="79">
        <f t="shared" si="366"/>
        <v>615.72166627850049</v>
      </c>
      <c r="M474" s="78">
        <f t="shared" si="366"/>
        <v>607.99347738105052</v>
      </c>
      <c r="N474" s="79">
        <f t="shared" si="366"/>
        <v>633.50083249301804</v>
      </c>
      <c r="O474" s="132">
        <f>O$475/O$385</f>
        <v>632.80242655864583</v>
      </c>
      <c r="P474" s="57"/>
      <c r="Q474" s="57"/>
      <c r="R474" s="57"/>
      <c r="S474" s="41"/>
    </row>
    <row r="475" spans="1:19">
      <c r="A475" s="34" t="s">
        <v>95</v>
      </c>
      <c r="B475" s="35" t="s">
        <v>57</v>
      </c>
      <c r="C475" s="36">
        <f t="shared" ref="C475:N475" si="367">C$387+C$392+C$397+C$402+C$412+C$417+C$422+C$427+C$432+C$437+C$442+C$452+C$462+C447+C407+C457</f>
        <v>642844.00262693851</v>
      </c>
      <c r="D475" s="37">
        <f t="shared" si="367"/>
        <v>576578.20631746401</v>
      </c>
      <c r="E475" s="36">
        <f t="shared" si="367"/>
        <v>656251.67044697213</v>
      </c>
      <c r="F475" s="37">
        <f t="shared" si="367"/>
        <v>681234.07456258533</v>
      </c>
      <c r="G475" s="36">
        <f t="shared" si="367"/>
        <v>741133.4717238493</v>
      </c>
      <c r="H475" s="37">
        <f t="shared" si="367"/>
        <v>845106.86632638506</v>
      </c>
      <c r="I475" s="36">
        <f t="shared" si="367"/>
        <v>927332.81965646986</v>
      </c>
      <c r="J475" s="37">
        <f t="shared" si="367"/>
        <v>1030569.4318165274</v>
      </c>
      <c r="K475" s="36">
        <f t="shared" si="367"/>
        <v>839106.76187122136</v>
      </c>
      <c r="L475" s="37">
        <f t="shared" si="367"/>
        <v>802542.71224401821</v>
      </c>
      <c r="M475" s="36">
        <f t="shared" si="367"/>
        <v>694262.62211728923</v>
      </c>
      <c r="N475" s="37">
        <f t="shared" si="367"/>
        <v>672875.18064090353</v>
      </c>
      <c r="O475" s="38">
        <f>SUM(C475:N475)</f>
        <v>9109837.8203506246</v>
      </c>
      <c r="P475" s="47"/>
      <c r="Q475" s="68"/>
      <c r="R475" s="47"/>
      <c r="S475" s="41"/>
    </row>
    <row r="476" spans="1:19">
      <c r="A476" s="42"/>
      <c r="B476" s="35" t="s">
        <v>58</v>
      </c>
      <c r="C476" s="133">
        <f t="shared" ref="C476:N476" si="368">C477/C475</f>
        <v>0.2016809927419928</v>
      </c>
      <c r="D476" s="134">
        <f t="shared" si="368"/>
        <v>0.21136196726822368</v>
      </c>
      <c r="E476" s="133">
        <f t="shared" si="368"/>
        <v>0.2079375876214562</v>
      </c>
      <c r="F476" s="134">
        <f t="shared" si="368"/>
        <v>0.19797673197139573</v>
      </c>
      <c r="G476" s="133">
        <f t="shared" si="368"/>
        <v>0.20109502216476358</v>
      </c>
      <c r="H476" s="134">
        <f t="shared" si="368"/>
        <v>0.2067011282209345</v>
      </c>
      <c r="I476" s="133">
        <f t="shared" si="368"/>
        <v>0.20149972487921947</v>
      </c>
      <c r="J476" s="134">
        <f t="shared" si="368"/>
        <v>0.19649926028520287</v>
      </c>
      <c r="K476" s="133">
        <f t="shared" si="368"/>
        <v>0.18518959531209778</v>
      </c>
      <c r="L476" s="134">
        <f t="shared" si="368"/>
        <v>0.18505844859266765</v>
      </c>
      <c r="M476" s="133">
        <f t="shared" si="368"/>
        <v>0.19956048012378502</v>
      </c>
      <c r="N476" s="134">
        <f t="shared" si="368"/>
        <v>0.20051025690653651</v>
      </c>
      <c r="O476" s="135">
        <f>IF(O475=0,0,O477/O475)</f>
        <v>0.19904933364786601</v>
      </c>
      <c r="P476" s="40"/>
      <c r="Q476" s="40"/>
      <c r="R476" s="39"/>
      <c r="S476" s="41"/>
    </row>
    <row r="477" spans="1:19">
      <c r="A477" s="34" t="s">
        <v>94</v>
      </c>
      <c r="B477" s="35" t="s">
        <v>15</v>
      </c>
      <c r="C477" s="144">
        <f t="shared" ref="C477:N477" si="369">C$185+C$389+C$394+C$399+C$404+C$414+C$419+C$424+C$429+C$434+C$439+C444+C$454+C$464+C$466+C279+C449+C409+C459</f>
        <v>129649.41662803719</v>
      </c>
      <c r="D477" s="145">
        <f t="shared" si="369"/>
        <v>121866.70397124294</v>
      </c>
      <c r="E477" s="144">
        <f t="shared" si="369"/>
        <v>136459.38922529426</v>
      </c>
      <c r="F477" s="145">
        <f t="shared" si="369"/>
        <v>134868.49578945877</v>
      </c>
      <c r="G477" s="144">
        <f t="shared" si="369"/>
        <v>149038.25192335565</v>
      </c>
      <c r="H477" s="145">
        <f t="shared" si="369"/>
        <v>174684.54273692227</v>
      </c>
      <c r="I477" s="144">
        <f t="shared" si="369"/>
        <v>186857.30803224951</v>
      </c>
      <c r="J477" s="145">
        <f t="shared" si="369"/>
        <v>202506.13102448944</v>
      </c>
      <c r="K477" s="144">
        <f t="shared" si="369"/>
        <v>155393.84165457627</v>
      </c>
      <c r="L477" s="145">
        <f t="shared" si="369"/>
        <v>148517.3092572297</v>
      </c>
      <c r="M477" s="144">
        <f t="shared" si="369"/>
        <v>138547.38220172416</v>
      </c>
      <c r="N477" s="145">
        <f t="shared" si="369"/>
        <v>134918.37533633973</v>
      </c>
      <c r="O477" s="146">
        <f>SUM(C477:N477)</f>
        <v>1813307.1477809199</v>
      </c>
      <c r="P477" s="57"/>
      <c r="Q477" s="57"/>
      <c r="R477" s="57"/>
      <c r="S477" s="41"/>
    </row>
    <row r="478" spans="1:19" ht="13.5" thickBot="1">
      <c r="A478" s="51"/>
      <c r="B478" s="52" t="s">
        <v>59</v>
      </c>
      <c r="C478" s="53">
        <f t="shared" ref="C478:N478" si="370">C477/C$385</f>
        <v>129.78523076166013</v>
      </c>
      <c r="D478" s="54">
        <f t="shared" si="370"/>
        <v>125.33573822146751</v>
      </c>
      <c r="E478" s="53">
        <f t="shared" si="370"/>
        <v>130.64588534827109</v>
      </c>
      <c r="F478" s="54">
        <f t="shared" si="370"/>
        <v>131.99779033401452</v>
      </c>
      <c r="G478" s="53">
        <f t="shared" si="370"/>
        <v>126.30815690984447</v>
      </c>
      <c r="H478" s="54">
        <f t="shared" si="370"/>
        <v>120.26171078296858</v>
      </c>
      <c r="I478" s="53">
        <f t="shared" si="370"/>
        <v>129.05694572645868</v>
      </c>
      <c r="J478" s="54">
        <f t="shared" si="370"/>
        <v>134.57935142155071</v>
      </c>
      <c r="K478" s="53">
        <f t="shared" si="370"/>
        <v>122.74958342769521</v>
      </c>
      <c r="L478" s="54">
        <f t="shared" si="370"/>
        <v>113.94449632639154</v>
      </c>
      <c r="M478" s="53">
        <f t="shared" si="370"/>
        <v>121.33147025829206</v>
      </c>
      <c r="N478" s="54">
        <f t="shared" si="370"/>
        <v>127.02341467367978</v>
      </c>
      <c r="O478" s="55">
        <f>O$477/O$385</f>
        <v>125.95890133725112</v>
      </c>
      <c r="P478" s="9"/>
      <c r="Q478" s="9"/>
      <c r="R478" s="9"/>
      <c r="S478" s="70"/>
    </row>
    <row r="479" spans="1:19" ht="13.5" thickBot="1">
      <c r="A479" s="148" t="s">
        <v>1</v>
      </c>
      <c r="B479" s="73" t="s">
        <v>1</v>
      </c>
      <c r="C479" s="74" t="s">
        <v>1</v>
      </c>
      <c r="D479" s="75" t="s">
        <v>1</v>
      </c>
      <c r="E479" s="74" t="s">
        <v>1</v>
      </c>
      <c r="F479" s="75" t="s">
        <v>1</v>
      </c>
      <c r="G479" s="74" t="s">
        <v>1</v>
      </c>
      <c r="H479" s="75" t="s">
        <v>1</v>
      </c>
      <c r="I479" s="74" t="s">
        <v>1</v>
      </c>
      <c r="J479" s="75" t="s">
        <v>1</v>
      </c>
      <c r="K479" s="74" t="s">
        <v>1</v>
      </c>
      <c r="L479" s="75" t="s">
        <v>1</v>
      </c>
      <c r="M479" s="74" t="s">
        <v>1</v>
      </c>
      <c r="N479" s="75" t="s">
        <v>1</v>
      </c>
      <c r="O479" s="6" t="s">
        <v>1</v>
      </c>
      <c r="P479" s="39"/>
      <c r="Q479" s="39"/>
      <c r="R479" s="39"/>
      <c r="S479" s="41"/>
    </row>
    <row r="480" spans="1:19" s="3" customFormat="1" ht="15.75">
      <c r="A480" s="149" t="s">
        <v>469</v>
      </c>
      <c r="B480" s="150" t="s">
        <v>97</v>
      </c>
      <c r="C480" s="84">
        <f t="shared" ref="C480:N480" si="371">C95</f>
        <v>0</v>
      </c>
      <c r="D480" s="85">
        <f t="shared" si="371"/>
        <v>0</v>
      </c>
      <c r="E480" s="84">
        <f t="shared" si="371"/>
        <v>0</v>
      </c>
      <c r="F480" s="85">
        <f t="shared" si="371"/>
        <v>0</v>
      </c>
      <c r="G480" s="84">
        <f t="shared" si="371"/>
        <v>0</v>
      </c>
      <c r="H480" s="85">
        <f t="shared" si="371"/>
        <v>0</v>
      </c>
      <c r="I480" s="84">
        <f t="shared" si="371"/>
        <v>0</v>
      </c>
      <c r="J480" s="85">
        <f t="shared" si="371"/>
        <v>0</v>
      </c>
      <c r="K480" s="84">
        <f t="shared" si="371"/>
        <v>0</v>
      </c>
      <c r="L480" s="85">
        <f t="shared" si="371"/>
        <v>0</v>
      </c>
      <c r="M480" s="84">
        <f t="shared" si="371"/>
        <v>0</v>
      </c>
      <c r="N480" s="85">
        <f t="shared" si="371"/>
        <v>0</v>
      </c>
      <c r="O480" s="86">
        <f t="shared" ref="O480:O487" si="372">SUM(C480:N480)</f>
        <v>0</v>
      </c>
      <c r="P480" s="152"/>
      <c r="Q480" s="152"/>
      <c r="R480" s="152"/>
      <c r="S480" s="153"/>
    </row>
    <row r="481" spans="1:19" s="3" customFormat="1" ht="15.75">
      <c r="A481" s="161" t="s">
        <v>467</v>
      </c>
      <c r="B481" s="154" t="s">
        <v>466</v>
      </c>
      <c r="C481" s="155">
        <f>C92</f>
        <v>50145.280935512885</v>
      </c>
      <c r="D481" s="156">
        <f t="shared" ref="D481:N481" si="373">D92</f>
        <v>47058.97058808765</v>
      </c>
      <c r="E481" s="155">
        <f t="shared" si="373"/>
        <v>53430.058406443408</v>
      </c>
      <c r="F481" s="156">
        <f t="shared" si="373"/>
        <v>47200.028887138847</v>
      </c>
      <c r="G481" s="155">
        <f t="shared" si="373"/>
        <v>51163.584852649328</v>
      </c>
      <c r="H481" s="156">
        <f t="shared" si="373"/>
        <v>49828.347333476195</v>
      </c>
      <c r="I481" s="155">
        <f t="shared" si="373"/>
        <v>52396.184921263877</v>
      </c>
      <c r="J481" s="156">
        <f t="shared" si="373"/>
        <v>48469.269953674535</v>
      </c>
      <c r="K481" s="155">
        <f t="shared" si="373"/>
        <v>44716.489438373421</v>
      </c>
      <c r="L481" s="156">
        <f t="shared" si="373"/>
        <v>49627.713961759495</v>
      </c>
      <c r="M481" s="155">
        <f t="shared" si="373"/>
        <v>50080.414712048223</v>
      </c>
      <c r="N481" s="156">
        <f t="shared" si="373"/>
        <v>56810.869956671981</v>
      </c>
      <c r="O481" s="157">
        <f t="shared" si="372"/>
        <v>600927.21394709987</v>
      </c>
      <c r="P481" s="152"/>
      <c r="Q481" s="152"/>
      <c r="R481" s="152"/>
      <c r="S481" s="153"/>
    </row>
    <row r="482" spans="1:19" s="3" customFormat="1" ht="15.75">
      <c r="A482" s="161" t="s">
        <v>465</v>
      </c>
      <c r="B482" s="154" t="s">
        <v>468</v>
      </c>
      <c r="C482" s="155">
        <f>C189</f>
        <v>36386.499452320095</v>
      </c>
      <c r="D482" s="156">
        <f t="shared" ref="D482:N482" si="374">D189</f>
        <v>41501.04469737492</v>
      </c>
      <c r="E482" s="155">
        <f t="shared" si="374"/>
        <v>42671.223665711877</v>
      </c>
      <c r="F482" s="156">
        <f t="shared" si="374"/>
        <v>41367.5036091527</v>
      </c>
      <c r="G482" s="155">
        <f t="shared" si="374"/>
        <v>56217.928104149025</v>
      </c>
      <c r="H482" s="156">
        <f t="shared" si="374"/>
        <v>77442.418194964906</v>
      </c>
      <c r="I482" s="155">
        <f t="shared" si="374"/>
        <v>73349.906396882521</v>
      </c>
      <c r="J482" s="156">
        <f t="shared" si="374"/>
        <v>87569.16065562272</v>
      </c>
      <c r="K482" s="155">
        <f t="shared" si="374"/>
        <v>74887.093010725046</v>
      </c>
      <c r="L482" s="156">
        <f t="shared" si="374"/>
        <v>78110.266491182294</v>
      </c>
      <c r="M482" s="155">
        <f t="shared" si="374"/>
        <v>61425.557884805028</v>
      </c>
      <c r="N482" s="156">
        <f t="shared" si="374"/>
        <v>52451.725340372628</v>
      </c>
      <c r="O482" s="157">
        <f t="shared" si="372"/>
        <v>723380.32750326372</v>
      </c>
      <c r="P482" s="152"/>
      <c r="Q482" s="152"/>
      <c r="R482" s="152"/>
      <c r="S482" s="153"/>
    </row>
    <row r="483" spans="1:19" ht="15.75">
      <c r="A483" s="83"/>
      <c r="B483" s="154" t="s">
        <v>98</v>
      </c>
      <c r="C483" s="155">
        <f t="shared" ref="C483:N483" si="375">C189+C92</f>
        <v>86531.780387832987</v>
      </c>
      <c r="D483" s="156">
        <f t="shared" si="375"/>
        <v>88560.015285462578</v>
      </c>
      <c r="E483" s="155">
        <f t="shared" si="375"/>
        <v>96101.282072155285</v>
      </c>
      <c r="F483" s="156">
        <f t="shared" si="375"/>
        <v>88567.532496291547</v>
      </c>
      <c r="G483" s="155">
        <f t="shared" si="375"/>
        <v>107381.51295679835</v>
      </c>
      <c r="H483" s="156">
        <f t="shared" si="375"/>
        <v>127270.7655284411</v>
      </c>
      <c r="I483" s="155">
        <f t="shared" si="375"/>
        <v>125746.0913181464</v>
      </c>
      <c r="J483" s="156">
        <f t="shared" si="375"/>
        <v>136038.43060929724</v>
      </c>
      <c r="K483" s="155">
        <f t="shared" si="375"/>
        <v>119603.58244909847</v>
      </c>
      <c r="L483" s="156">
        <f t="shared" si="375"/>
        <v>127737.98045294179</v>
      </c>
      <c r="M483" s="155">
        <f t="shared" si="375"/>
        <v>111505.97259685324</v>
      </c>
      <c r="N483" s="156">
        <f t="shared" si="375"/>
        <v>109262.59529704461</v>
      </c>
      <c r="O483" s="157">
        <f t="shared" si="372"/>
        <v>1324307.5414503636</v>
      </c>
      <c r="P483" s="80"/>
      <c r="Q483" s="57"/>
      <c r="R483" s="57"/>
      <c r="S483" s="41"/>
    </row>
    <row r="484" spans="1:19" s="3" customFormat="1" ht="15.75">
      <c r="A484" s="83" t="s">
        <v>89</v>
      </c>
      <c r="B484" s="154" t="s">
        <v>99</v>
      </c>
      <c r="C484" s="155">
        <f t="shared" ref="C484:N484" si="376">C283</f>
        <v>17767.071775810145</v>
      </c>
      <c r="D484" s="156">
        <f t="shared" si="376"/>
        <v>19863.099087067611</v>
      </c>
      <c r="E484" s="155">
        <f t="shared" si="376"/>
        <v>18182.452057319086</v>
      </c>
      <c r="F484" s="156">
        <f t="shared" si="376"/>
        <v>20215.243767669803</v>
      </c>
      <c r="G484" s="155">
        <f t="shared" si="376"/>
        <v>14131.147530645483</v>
      </c>
      <c r="H484" s="156">
        <f t="shared" si="376"/>
        <v>15498.658779215872</v>
      </c>
      <c r="I484" s="155">
        <f t="shared" si="376"/>
        <v>14865.301054805603</v>
      </c>
      <c r="J484" s="156">
        <f t="shared" si="376"/>
        <v>15775.765108579038</v>
      </c>
      <c r="K484" s="155">
        <f t="shared" si="376"/>
        <v>0</v>
      </c>
      <c r="L484" s="156">
        <f t="shared" si="376"/>
        <v>0</v>
      </c>
      <c r="M484" s="155">
        <f t="shared" si="376"/>
        <v>0</v>
      </c>
      <c r="N484" s="156">
        <f t="shared" si="376"/>
        <v>0</v>
      </c>
      <c r="O484" s="157">
        <f t="shared" si="372"/>
        <v>136298.73916111264</v>
      </c>
      <c r="P484" s="159"/>
      <c r="Q484" s="160"/>
      <c r="R484" s="160"/>
      <c r="S484" s="153"/>
    </row>
    <row r="485" spans="1:19" s="3" customFormat="1" ht="15.75">
      <c r="A485" s="161" t="s">
        <v>470</v>
      </c>
      <c r="B485" s="154" t="s">
        <v>100</v>
      </c>
      <c r="C485" s="155">
        <f t="shared" ref="C485:N485" si="377">C377</f>
        <v>25350.564464394047</v>
      </c>
      <c r="D485" s="156">
        <f t="shared" si="377"/>
        <v>13443.589598712751</v>
      </c>
      <c r="E485" s="155">
        <f t="shared" si="377"/>
        <v>22175.655095819933</v>
      </c>
      <c r="F485" s="156">
        <f t="shared" si="377"/>
        <v>26085.719525497407</v>
      </c>
      <c r="G485" s="155">
        <f t="shared" si="377"/>
        <v>27525.591435911829</v>
      </c>
      <c r="H485" s="156">
        <f t="shared" si="377"/>
        <v>31915.118429265331</v>
      </c>
      <c r="I485" s="155">
        <f t="shared" si="377"/>
        <v>46245.915659297483</v>
      </c>
      <c r="J485" s="156">
        <f t="shared" si="377"/>
        <v>50691.935306613159</v>
      </c>
      <c r="K485" s="155">
        <f t="shared" si="377"/>
        <v>35790.259205477836</v>
      </c>
      <c r="L485" s="156">
        <f t="shared" si="377"/>
        <v>20779.328804287903</v>
      </c>
      <c r="M485" s="155">
        <f t="shared" si="377"/>
        <v>27041.409604870933</v>
      </c>
      <c r="N485" s="156">
        <f t="shared" si="377"/>
        <v>25655.780039295099</v>
      </c>
      <c r="O485" s="157">
        <f t="shared" si="372"/>
        <v>352700.86716944369</v>
      </c>
      <c r="P485" s="159"/>
      <c r="Q485" s="160"/>
      <c r="R485" s="160"/>
      <c r="S485" s="153"/>
    </row>
    <row r="486" spans="1:19" s="3" customFormat="1" ht="15.75">
      <c r="A486" s="161" t="s">
        <v>101</v>
      </c>
      <c r="B486" s="154" t="s">
        <v>102</v>
      </c>
      <c r="C486" s="155">
        <f>'ND WWTP 2012-2016'!B78</f>
        <v>2095.7152833333334</v>
      </c>
      <c r="D486" s="156">
        <f>'ND WWTP 2012-2016'!C78</f>
        <v>8387.8162166666662</v>
      </c>
      <c r="E486" s="155">
        <f>'ND WWTP 2012-2016'!D78</f>
        <v>600.98986666666667</v>
      </c>
      <c r="F486" s="156">
        <f>'ND WWTP 2012-2016'!E78</f>
        <v>2199.1413833333331</v>
      </c>
      <c r="G486" s="155">
        <f>'ND WWTP 2012-2016'!F78</f>
        <v>1793.4380000000001</v>
      </c>
      <c r="H486" s="156">
        <f>'ND WWTP 2012-2016'!G78</f>
        <v>1107.646</v>
      </c>
      <c r="I486" s="155">
        <f>'ND WWTP 2012-2016'!H78</f>
        <v>4822.2502500000001</v>
      </c>
      <c r="J486" s="156">
        <f>'ND WWTP 2012-2016'!I78</f>
        <v>1406.8222000000001</v>
      </c>
      <c r="K486" s="155">
        <f>'ND WWTP 2012-2016'!J78</f>
        <v>975.15560000000005</v>
      </c>
      <c r="L486" s="156">
        <f>'ND WWTP 2012-2016'!K78</f>
        <v>1632.2825500000001</v>
      </c>
      <c r="M486" s="155">
        <f>'ND WWTP 2012-2016'!L78</f>
        <v>1648.2962</v>
      </c>
      <c r="N486" s="156">
        <f>'ND WWTP 2012-2016'!M78</f>
        <v>845.29960000000005</v>
      </c>
      <c r="O486" s="157">
        <f t="shared" si="372"/>
        <v>27514.853149999995</v>
      </c>
      <c r="P486" s="159"/>
      <c r="Q486" s="160"/>
      <c r="R486" s="160"/>
      <c r="S486" s="153"/>
    </row>
    <row r="487" spans="1:19" s="3" customFormat="1" ht="16.5" thickBot="1">
      <c r="A487" s="161" t="s">
        <v>471</v>
      </c>
      <c r="B487" s="154" t="s">
        <v>103</v>
      </c>
      <c r="C487" s="155">
        <f>'RWV 2012-2016'!B37</f>
        <v>159.5034</v>
      </c>
      <c r="D487" s="156">
        <f>'RWV 2012-2016'!C37</f>
        <v>130.96530000000001</v>
      </c>
      <c r="E487" s="155">
        <f>'RWV 2012-2016'!D37</f>
        <v>134.2791</v>
      </c>
      <c r="F487" s="156">
        <f>'RWV 2012-2016'!E37</f>
        <v>149.31854999999999</v>
      </c>
      <c r="G487" s="155">
        <f>'RWV 2012-2016'!F37</f>
        <v>251.62439999999998</v>
      </c>
      <c r="H487" s="156">
        <f>'RWV 2012-2016'!G37</f>
        <v>262.05539999999996</v>
      </c>
      <c r="I487" s="155">
        <f>'RWV 2012-2016'!H37</f>
        <v>125.0478</v>
      </c>
      <c r="J487" s="156">
        <f>'RWV 2012-2016'!I37</f>
        <v>220.81319999999999</v>
      </c>
      <c r="K487" s="155">
        <f>'RWV 2012-2016'!J37</f>
        <v>209.60640000000001</v>
      </c>
      <c r="L487" s="156">
        <f>'RWV 2012-2016'!K37</f>
        <v>339.05939999999998</v>
      </c>
      <c r="M487" s="155">
        <f>'RWV 2012-2016'!L37</f>
        <v>320.08019999999999</v>
      </c>
      <c r="N487" s="156">
        <f>'RWV 2012-2016'!M37</f>
        <v>217.34580000000003</v>
      </c>
      <c r="O487" s="157">
        <f t="shared" si="372"/>
        <v>2519.69895</v>
      </c>
      <c r="P487" s="159"/>
      <c r="Q487" s="160"/>
      <c r="R487" s="160"/>
      <c r="S487" s="153"/>
    </row>
    <row r="488" spans="1:19" s="169" customFormat="1" ht="16.5" thickBot="1">
      <c r="A488" s="162" t="s">
        <v>104</v>
      </c>
      <c r="B488" s="163" t="s">
        <v>105</v>
      </c>
      <c r="C488" s="84">
        <f>SUM(C483:C487)</f>
        <v>131904.63531137051</v>
      </c>
      <c r="D488" s="85">
        <f t="shared" ref="D488:N488" si="378">SUM(D483:D487)</f>
        <v>130385.48548790959</v>
      </c>
      <c r="E488" s="84">
        <f t="shared" si="378"/>
        <v>137194.65819196097</v>
      </c>
      <c r="F488" s="85">
        <f t="shared" si="378"/>
        <v>137216.95572279207</v>
      </c>
      <c r="G488" s="84">
        <f t="shared" si="378"/>
        <v>151083.31432335565</v>
      </c>
      <c r="H488" s="85">
        <f t="shared" si="378"/>
        <v>176054.24413692232</v>
      </c>
      <c r="I488" s="84">
        <f t="shared" si="378"/>
        <v>191804.60608224949</v>
      </c>
      <c r="J488" s="85">
        <f t="shared" si="378"/>
        <v>204133.76642448944</v>
      </c>
      <c r="K488" s="84">
        <f t="shared" si="378"/>
        <v>156578.60365457629</v>
      </c>
      <c r="L488" s="85">
        <f t="shared" si="378"/>
        <v>150488.6512072297</v>
      </c>
      <c r="M488" s="84">
        <f t="shared" si="378"/>
        <v>140515.75860172417</v>
      </c>
      <c r="N488" s="85">
        <f t="shared" si="378"/>
        <v>135981.02073633971</v>
      </c>
      <c r="O488" s="86">
        <f>SUM(O483:O487)</f>
        <v>1843341.6998809201</v>
      </c>
      <c r="P488" s="166"/>
      <c r="Q488" s="167"/>
      <c r="R488" s="167"/>
      <c r="S488" s="168"/>
    </row>
    <row r="489" spans="1:19" s="178" customFormat="1" ht="16.5" thickBot="1">
      <c r="A489" s="170" t="s">
        <v>104</v>
      </c>
      <c r="B489" s="171" t="s">
        <v>107</v>
      </c>
      <c r="C489" s="172">
        <f>SUM(C483:C487)</f>
        <v>131904.63531137051</v>
      </c>
      <c r="D489" s="172">
        <f t="shared" ref="D489:N489" si="379">SUM(D483:D487)</f>
        <v>130385.48548790959</v>
      </c>
      <c r="E489" s="172">
        <f t="shared" si="379"/>
        <v>137194.65819196097</v>
      </c>
      <c r="F489" s="172">
        <f t="shared" si="379"/>
        <v>137216.95572279207</v>
      </c>
      <c r="G489" s="172">
        <f t="shared" si="379"/>
        <v>151083.31432335565</v>
      </c>
      <c r="H489" s="172">
        <f t="shared" si="379"/>
        <v>176054.24413692232</v>
      </c>
      <c r="I489" s="172">
        <f t="shared" si="379"/>
        <v>191804.60608224949</v>
      </c>
      <c r="J489" s="172">
        <f t="shared" si="379"/>
        <v>204133.76642448944</v>
      </c>
      <c r="K489" s="172">
        <f t="shared" si="379"/>
        <v>156578.60365457629</v>
      </c>
      <c r="L489" s="172">
        <f t="shared" si="379"/>
        <v>150488.6512072297</v>
      </c>
      <c r="M489" s="172">
        <f t="shared" si="379"/>
        <v>140515.75860172417</v>
      </c>
      <c r="N489" s="172">
        <f t="shared" si="379"/>
        <v>135981.02073633971</v>
      </c>
      <c r="O489" s="184">
        <f>SUM(C489:N489)</f>
        <v>1843341.6998809201</v>
      </c>
      <c r="P489" s="175"/>
      <c r="Q489" s="176"/>
      <c r="R489" s="176"/>
      <c r="S489" s="177"/>
    </row>
    <row r="490" spans="1:19" s="3" customFormat="1">
      <c r="A490" s="4"/>
      <c r="C490" s="2"/>
      <c r="D490" s="2"/>
      <c r="E490" s="2"/>
      <c r="F490" s="2"/>
      <c r="G490" s="2"/>
      <c r="H490" s="2"/>
      <c r="I490" s="2"/>
      <c r="J490" s="2"/>
      <c r="K490" s="2"/>
      <c r="L490" s="2"/>
      <c r="M490" s="2"/>
      <c r="N490" s="2"/>
      <c r="O490" s="2"/>
    </row>
    <row r="491" spans="1:19" s="3" customFormat="1">
      <c r="A491" s="4"/>
      <c r="C491" s="179">
        <f>C487/'Price Changes'!B84*'Price Changes'!D84</f>
        <v>166.07805234146343</v>
      </c>
      <c r="D491" s="179"/>
      <c r="E491" s="179"/>
      <c r="F491" s="179"/>
      <c r="G491" s="179"/>
      <c r="H491" s="179"/>
      <c r="I491" s="179"/>
      <c r="J491" s="179"/>
      <c r="K491" s="179"/>
      <c r="L491" s="179"/>
      <c r="M491" s="179"/>
      <c r="N491" s="179"/>
      <c r="O491" s="179"/>
    </row>
    <row r="492" spans="1:19" s="3" customFormat="1">
      <c r="A492" s="4"/>
      <c r="C492" s="179"/>
      <c r="D492" s="179"/>
      <c r="E492" s="179"/>
      <c r="F492" s="179"/>
      <c r="G492" s="179"/>
      <c r="H492" s="179"/>
      <c r="I492" s="179"/>
      <c r="J492" s="179"/>
      <c r="K492" s="179"/>
      <c r="L492" s="179"/>
      <c r="M492" s="179"/>
      <c r="N492" s="179"/>
      <c r="O492" s="179"/>
    </row>
    <row r="493" spans="1:19" s="3" customFormat="1">
      <c r="A493" s="4"/>
      <c r="C493" s="179"/>
      <c r="D493" s="179"/>
      <c r="E493" s="179"/>
      <c r="F493" s="179"/>
      <c r="G493" s="179"/>
      <c r="H493" s="179"/>
      <c r="I493" s="179"/>
      <c r="J493" s="179"/>
      <c r="K493" s="179"/>
      <c r="L493" s="179"/>
      <c r="M493" s="179"/>
      <c r="N493" s="179"/>
      <c r="O493" s="2"/>
    </row>
    <row r="494" spans="1:19" s="3" customFormat="1">
      <c r="A494" s="4"/>
      <c r="C494" s="179"/>
      <c r="D494" s="179"/>
      <c r="E494" s="179"/>
      <c r="F494" s="179"/>
      <c r="G494" s="179"/>
      <c r="H494" s="179"/>
      <c r="I494" s="179"/>
      <c r="J494" s="179"/>
      <c r="K494" s="179"/>
      <c r="L494" s="179"/>
      <c r="M494" s="179"/>
      <c r="N494" s="179"/>
      <c r="O494" s="179"/>
    </row>
    <row r="495" spans="1:19" s="3" customFormat="1">
      <c r="A495" s="4"/>
      <c r="C495" s="2"/>
      <c r="D495" s="2"/>
      <c r="E495" s="2"/>
      <c r="F495" s="2"/>
      <c r="G495" s="2"/>
      <c r="H495" s="2"/>
      <c r="I495" s="2"/>
      <c r="J495" s="2"/>
      <c r="K495" s="2"/>
      <c r="L495" s="2"/>
      <c r="M495" s="2"/>
      <c r="N495" s="2"/>
      <c r="O495" s="179"/>
    </row>
    <row r="496" spans="1:19" s="3" customFormat="1">
      <c r="A496" s="4"/>
      <c r="C496" s="2"/>
      <c r="D496" s="2"/>
      <c r="E496" s="2"/>
      <c r="F496" s="2"/>
      <c r="G496" s="2"/>
      <c r="H496" s="2"/>
      <c r="I496" s="2"/>
      <c r="J496" s="2"/>
      <c r="K496" s="2"/>
      <c r="L496" s="2"/>
      <c r="M496" s="2"/>
      <c r="N496" s="2"/>
      <c r="O496" s="2"/>
    </row>
    <row r="497" spans="1:15" s="3" customFormat="1">
      <c r="A497" s="4"/>
      <c r="C497" s="2"/>
      <c r="D497" s="2"/>
      <c r="E497" s="2"/>
      <c r="F497" s="2"/>
      <c r="G497" s="2"/>
      <c r="H497" s="2"/>
      <c r="I497" s="2"/>
      <c r="J497" s="2"/>
      <c r="K497" s="2"/>
      <c r="L497" s="2"/>
      <c r="M497" s="2"/>
      <c r="N497" s="2"/>
      <c r="O497" s="2"/>
    </row>
    <row r="498" spans="1:15" s="3" customFormat="1">
      <c r="A498" s="4"/>
      <c r="C498" s="2"/>
      <c r="D498" s="2"/>
      <c r="E498" s="2"/>
      <c r="F498" s="2"/>
      <c r="G498" s="2"/>
      <c r="H498" s="2"/>
      <c r="I498" s="2"/>
      <c r="J498" s="2"/>
      <c r="K498" s="2"/>
      <c r="L498" s="2"/>
      <c r="M498" s="2"/>
      <c r="N498" s="2"/>
      <c r="O498" s="2"/>
    </row>
    <row r="499" spans="1:15" s="3" customFormat="1">
      <c r="A499" s="4"/>
      <c r="C499" s="2"/>
      <c r="D499" s="2"/>
      <c r="E499" s="2"/>
      <c r="F499" s="2"/>
      <c r="G499" s="2"/>
      <c r="H499" s="2"/>
      <c r="I499" s="2"/>
      <c r="J499" s="2"/>
      <c r="K499" s="2"/>
      <c r="L499" s="2"/>
      <c r="M499" s="2"/>
      <c r="N499" s="2"/>
      <c r="O499" s="2"/>
    </row>
    <row r="500" spans="1:15" s="3" customFormat="1">
      <c r="A500" s="4"/>
      <c r="C500" s="2"/>
      <c r="D500" s="2"/>
      <c r="E500" s="2"/>
      <c r="F500" s="2"/>
      <c r="G500" s="2"/>
      <c r="H500" s="2"/>
      <c r="I500" s="2"/>
      <c r="J500" s="2"/>
      <c r="K500" s="2"/>
      <c r="L500" s="2"/>
      <c r="M500" s="2"/>
      <c r="N500" s="2"/>
      <c r="O500" s="2"/>
    </row>
    <row r="501" spans="1:15" s="3" customFormat="1">
      <c r="A501" s="4"/>
      <c r="C501" s="2"/>
      <c r="D501" s="2"/>
      <c r="E501" s="2"/>
      <c r="F501" s="2"/>
      <c r="G501" s="2"/>
      <c r="H501" s="2"/>
      <c r="I501" s="2"/>
      <c r="J501" s="2"/>
      <c r="K501" s="2"/>
      <c r="L501" s="2"/>
      <c r="M501" s="2"/>
      <c r="N501" s="2"/>
      <c r="O501" s="2"/>
    </row>
    <row r="502" spans="1:15" s="3" customFormat="1">
      <c r="A502" s="4"/>
      <c r="C502" s="2"/>
      <c r="D502" s="2"/>
      <c r="E502" s="2"/>
      <c r="F502" s="2"/>
      <c r="G502" s="2"/>
      <c r="H502" s="2"/>
      <c r="I502" s="2"/>
      <c r="J502" s="2"/>
      <c r="K502" s="2"/>
      <c r="L502" s="2"/>
      <c r="M502" s="2"/>
      <c r="N502" s="2"/>
      <c r="O502" s="2"/>
    </row>
    <row r="503" spans="1:15" s="3" customFormat="1">
      <c r="A503" s="4"/>
      <c r="C503" s="2"/>
      <c r="D503" s="2"/>
      <c r="E503" s="2"/>
      <c r="F503" s="2"/>
      <c r="G503" s="2"/>
      <c r="H503" s="2"/>
      <c r="I503" s="2"/>
      <c r="J503" s="2"/>
      <c r="K503" s="2"/>
      <c r="L503" s="2"/>
      <c r="M503" s="2"/>
      <c r="N503" s="2"/>
      <c r="O503" s="2"/>
    </row>
    <row r="504" spans="1:15" s="3" customFormat="1">
      <c r="A504" s="4"/>
      <c r="C504" s="2"/>
      <c r="D504" s="2"/>
      <c r="E504" s="2"/>
      <c r="F504" s="2"/>
      <c r="G504" s="2"/>
      <c r="H504" s="2"/>
      <c r="I504" s="2"/>
      <c r="J504" s="2"/>
      <c r="K504" s="2"/>
      <c r="L504" s="2"/>
      <c r="M504" s="2"/>
      <c r="N504" s="2"/>
      <c r="O504" s="2"/>
    </row>
    <row r="505" spans="1:15" s="3" customFormat="1">
      <c r="A505" s="4"/>
      <c r="C505" s="2"/>
      <c r="D505" s="2"/>
      <c r="E505" s="2"/>
      <c r="F505" s="2"/>
      <c r="G505" s="2"/>
      <c r="H505" s="2"/>
      <c r="I505" s="2"/>
      <c r="J505" s="2"/>
      <c r="K505" s="2"/>
      <c r="L505" s="2"/>
      <c r="M505" s="2"/>
      <c r="N505" s="2"/>
      <c r="O505" s="2"/>
    </row>
    <row r="506" spans="1:15" s="3" customFormat="1">
      <c r="A506" s="4"/>
      <c r="C506" s="2"/>
      <c r="D506" s="2"/>
      <c r="E506" s="2"/>
      <c r="F506" s="2"/>
      <c r="G506" s="2"/>
      <c r="H506" s="2"/>
      <c r="I506" s="2"/>
      <c r="J506" s="2"/>
      <c r="K506" s="2"/>
      <c r="L506" s="2"/>
      <c r="M506" s="2"/>
      <c r="N506" s="2"/>
      <c r="O506" s="2"/>
    </row>
    <row r="507" spans="1:15" s="3" customFormat="1">
      <c r="A507" s="4"/>
      <c r="C507" s="2"/>
      <c r="D507" s="2"/>
      <c r="E507" s="2"/>
      <c r="F507" s="2"/>
      <c r="G507" s="2"/>
      <c r="H507" s="2"/>
      <c r="I507" s="2"/>
      <c r="J507" s="2"/>
      <c r="K507" s="2"/>
      <c r="L507" s="2"/>
      <c r="M507" s="2"/>
      <c r="N507" s="2"/>
      <c r="O507" s="2"/>
    </row>
    <row r="508" spans="1:15" s="3" customFormat="1">
      <c r="A508" s="4"/>
      <c r="C508" s="2"/>
      <c r="D508" s="2"/>
      <c r="E508" s="2"/>
      <c r="F508" s="2"/>
      <c r="G508" s="2"/>
      <c r="H508" s="2"/>
      <c r="I508" s="2"/>
      <c r="J508" s="2"/>
      <c r="K508" s="2"/>
      <c r="L508" s="2"/>
      <c r="M508" s="2"/>
      <c r="N508" s="2"/>
      <c r="O508" s="2"/>
    </row>
    <row r="509" spans="1:15" s="3" customFormat="1">
      <c r="A509" s="4"/>
      <c r="C509" s="2"/>
      <c r="D509" s="2"/>
      <c r="E509" s="2"/>
      <c r="F509" s="2"/>
      <c r="G509" s="2"/>
      <c r="H509" s="2"/>
      <c r="I509" s="2"/>
      <c r="J509" s="2"/>
      <c r="K509" s="2"/>
      <c r="L509" s="2"/>
      <c r="M509" s="2"/>
      <c r="N509" s="2"/>
      <c r="O509" s="2"/>
    </row>
    <row r="510" spans="1:15" s="3" customFormat="1">
      <c r="A510" s="4"/>
      <c r="C510" s="2"/>
      <c r="D510" s="2"/>
      <c r="E510" s="2"/>
      <c r="F510" s="2"/>
      <c r="G510" s="2"/>
      <c r="H510" s="2"/>
      <c r="I510" s="2"/>
      <c r="J510" s="2"/>
      <c r="K510" s="2"/>
      <c r="L510" s="2"/>
      <c r="M510" s="2"/>
      <c r="N510" s="2"/>
      <c r="O510" s="2"/>
    </row>
    <row r="511" spans="1:15" s="3" customFormat="1">
      <c r="A511" s="4"/>
      <c r="C511" s="2"/>
      <c r="D511" s="2"/>
      <c r="E511" s="2"/>
      <c r="F511" s="2"/>
      <c r="G511" s="2"/>
      <c r="H511" s="2"/>
      <c r="I511" s="2"/>
      <c r="J511" s="2"/>
      <c r="K511" s="2"/>
      <c r="L511" s="2"/>
      <c r="M511" s="2"/>
      <c r="N511" s="2"/>
      <c r="O511" s="2"/>
    </row>
    <row r="512" spans="1:15" s="3" customFormat="1">
      <c r="A512" s="4"/>
      <c r="C512" s="2"/>
      <c r="D512" s="2"/>
      <c r="E512" s="2"/>
      <c r="F512" s="2"/>
      <c r="G512" s="2"/>
      <c r="H512" s="2"/>
      <c r="I512" s="2"/>
      <c r="J512" s="2"/>
      <c r="K512" s="2"/>
      <c r="L512" s="2"/>
      <c r="M512" s="2"/>
      <c r="N512" s="2"/>
      <c r="O512" s="2"/>
    </row>
    <row r="513" spans="1:15" s="3" customFormat="1">
      <c r="A513" s="4"/>
      <c r="C513" s="2"/>
      <c r="D513" s="2"/>
      <c r="E513" s="2"/>
      <c r="F513" s="2"/>
      <c r="G513" s="2"/>
      <c r="H513" s="2"/>
      <c r="I513" s="2"/>
      <c r="J513" s="2"/>
      <c r="K513" s="2"/>
      <c r="L513" s="2"/>
      <c r="M513" s="2"/>
      <c r="N513" s="2"/>
      <c r="O513" s="2"/>
    </row>
    <row r="514" spans="1:15" s="3" customFormat="1">
      <c r="A514" s="4"/>
      <c r="C514" s="2"/>
      <c r="D514" s="2"/>
      <c r="E514" s="2"/>
      <c r="F514" s="2"/>
      <c r="G514" s="2"/>
      <c r="H514" s="2"/>
      <c r="I514" s="2"/>
      <c r="J514" s="2"/>
      <c r="K514" s="2"/>
      <c r="L514" s="2"/>
      <c r="M514" s="2"/>
      <c r="N514" s="2"/>
      <c r="O514" s="2"/>
    </row>
    <row r="515" spans="1:15" s="3" customFormat="1">
      <c r="A515" s="4"/>
      <c r="C515" s="2"/>
      <c r="D515" s="2"/>
      <c r="E515" s="2"/>
      <c r="F515" s="2"/>
      <c r="G515" s="2"/>
      <c r="H515" s="2"/>
      <c r="I515" s="2"/>
      <c r="J515" s="2"/>
      <c r="K515" s="2"/>
      <c r="L515" s="2"/>
      <c r="M515" s="2"/>
      <c r="N515" s="2"/>
      <c r="O515" s="2"/>
    </row>
    <row r="516" spans="1:15" s="3" customFormat="1">
      <c r="A516" s="4"/>
      <c r="C516" s="2"/>
      <c r="D516" s="2"/>
      <c r="E516" s="2"/>
      <c r="F516" s="2"/>
      <c r="G516" s="2"/>
      <c r="H516" s="2"/>
      <c r="I516" s="2"/>
      <c r="J516" s="2"/>
      <c r="K516" s="2"/>
      <c r="L516" s="2"/>
      <c r="M516" s="2"/>
      <c r="N516" s="2"/>
      <c r="O516" s="2"/>
    </row>
    <row r="517" spans="1:15" s="3" customFormat="1">
      <c r="A517" s="4"/>
      <c r="C517" s="2"/>
      <c r="D517" s="2"/>
      <c r="E517" s="2"/>
      <c r="F517" s="2"/>
      <c r="G517" s="2"/>
      <c r="H517" s="2"/>
      <c r="I517" s="2"/>
      <c r="J517" s="2"/>
      <c r="K517" s="2"/>
      <c r="L517" s="2"/>
      <c r="M517" s="2"/>
      <c r="N517" s="2"/>
      <c r="O517" s="2"/>
    </row>
    <row r="518" spans="1:15" s="3" customFormat="1">
      <c r="A518" s="4"/>
      <c r="C518" s="2"/>
      <c r="D518" s="2"/>
      <c r="E518" s="2"/>
      <c r="F518" s="2"/>
      <c r="G518" s="2"/>
      <c r="H518" s="2"/>
      <c r="I518" s="2"/>
      <c r="J518" s="2"/>
      <c r="K518" s="2"/>
      <c r="L518" s="2"/>
      <c r="M518" s="2"/>
      <c r="N518" s="2"/>
      <c r="O518" s="2"/>
    </row>
    <row r="519" spans="1:15" s="3" customFormat="1">
      <c r="A519" s="4"/>
      <c r="C519" s="2"/>
      <c r="D519" s="2"/>
      <c r="E519" s="2"/>
      <c r="F519" s="2"/>
      <c r="G519" s="2"/>
      <c r="H519" s="2"/>
      <c r="I519" s="2"/>
      <c r="J519" s="2"/>
      <c r="K519" s="2"/>
      <c r="L519" s="2"/>
      <c r="M519" s="2"/>
      <c r="N519" s="2"/>
      <c r="O519" s="2"/>
    </row>
    <row r="520" spans="1:15" s="3" customFormat="1">
      <c r="A520" s="4"/>
      <c r="C520" s="2"/>
      <c r="D520" s="2"/>
      <c r="E520" s="2"/>
      <c r="F520" s="2"/>
      <c r="G520" s="2"/>
      <c r="H520" s="2"/>
      <c r="I520" s="2"/>
      <c r="J520" s="2"/>
      <c r="K520" s="2"/>
      <c r="L520" s="2"/>
      <c r="M520" s="2"/>
      <c r="N520" s="2"/>
      <c r="O520" s="2"/>
    </row>
    <row r="521" spans="1:15" s="3" customFormat="1">
      <c r="A521" s="4"/>
      <c r="C521" s="2"/>
      <c r="D521" s="2"/>
      <c r="E521" s="2"/>
      <c r="F521" s="2"/>
      <c r="G521" s="2"/>
      <c r="H521" s="2"/>
      <c r="I521" s="2"/>
      <c r="J521" s="2"/>
      <c r="K521" s="2"/>
      <c r="L521" s="2"/>
      <c r="M521" s="2"/>
      <c r="N521" s="2"/>
      <c r="O521" s="2"/>
    </row>
    <row r="522" spans="1:15" s="3" customFormat="1">
      <c r="A522" s="4"/>
      <c r="C522" s="2"/>
      <c r="D522" s="2"/>
      <c r="E522" s="2"/>
      <c r="F522" s="2"/>
      <c r="G522" s="2"/>
      <c r="H522" s="2"/>
      <c r="I522" s="2"/>
      <c r="J522" s="2"/>
      <c r="K522" s="2"/>
      <c r="L522" s="2"/>
      <c r="M522" s="2"/>
      <c r="N522" s="2"/>
      <c r="O522" s="2"/>
    </row>
    <row r="523" spans="1:15" s="3" customFormat="1">
      <c r="A523" s="4"/>
      <c r="C523" s="2"/>
      <c r="D523" s="2"/>
      <c r="E523" s="2"/>
      <c r="F523" s="2"/>
      <c r="G523" s="2"/>
      <c r="H523" s="2"/>
      <c r="I523" s="2"/>
      <c r="J523" s="2"/>
      <c r="K523" s="2"/>
      <c r="L523" s="2"/>
      <c r="M523" s="2"/>
      <c r="N523" s="2"/>
      <c r="O523" s="2"/>
    </row>
    <row r="524" spans="1:15" s="3" customFormat="1">
      <c r="A524" s="4"/>
      <c r="C524" s="2"/>
      <c r="D524" s="2"/>
      <c r="E524" s="2"/>
      <c r="F524" s="2"/>
      <c r="G524" s="2"/>
      <c r="H524" s="2"/>
      <c r="I524" s="2"/>
      <c r="J524" s="2"/>
      <c r="K524" s="2"/>
      <c r="L524" s="2"/>
      <c r="M524" s="2"/>
      <c r="N524" s="2"/>
      <c r="O524" s="2"/>
    </row>
    <row r="525" spans="1:15" s="3" customFormat="1">
      <c r="A525" s="4"/>
      <c r="C525" s="2"/>
      <c r="D525" s="2"/>
      <c r="E525" s="2"/>
      <c r="F525" s="2"/>
      <c r="G525" s="2"/>
      <c r="H525" s="2"/>
      <c r="I525" s="2"/>
      <c r="J525" s="2"/>
      <c r="K525" s="2"/>
      <c r="L525" s="2"/>
      <c r="M525" s="2"/>
      <c r="N525" s="2"/>
      <c r="O525" s="2"/>
    </row>
    <row r="526" spans="1:15" s="3" customFormat="1">
      <c r="A526" s="4"/>
      <c r="C526" s="2"/>
      <c r="D526" s="2"/>
      <c r="E526" s="2"/>
      <c r="F526" s="2"/>
      <c r="G526" s="2"/>
      <c r="H526" s="2"/>
      <c r="I526" s="2"/>
      <c r="J526" s="2"/>
      <c r="K526" s="2"/>
      <c r="L526" s="2"/>
      <c r="M526" s="2"/>
      <c r="N526" s="2"/>
      <c r="O526" s="2"/>
    </row>
    <row r="527" spans="1:15" s="3" customFormat="1">
      <c r="A527" s="4"/>
      <c r="C527" s="2"/>
      <c r="D527" s="2"/>
      <c r="E527" s="2"/>
      <c r="F527" s="2"/>
      <c r="G527" s="2"/>
      <c r="H527" s="2"/>
      <c r="I527" s="2"/>
      <c r="J527" s="2"/>
      <c r="K527" s="2"/>
      <c r="L527" s="2"/>
      <c r="M527" s="2"/>
      <c r="N527" s="2"/>
      <c r="O527" s="2"/>
    </row>
    <row r="528" spans="1:15" s="3" customFormat="1">
      <c r="A528" s="4"/>
      <c r="C528" s="2"/>
      <c r="D528" s="2"/>
      <c r="E528" s="2"/>
      <c r="F528" s="2"/>
      <c r="G528" s="2"/>
      <c r="H528" s="2"/>
      <c r="I528" s="2"/>
      <c r="J528" s="2"/>
      <c r="K528" s="2"/>
      <c r="L528" s="2"/>
      <c r="M528" s="2"/>
      <c r="N528" s="2"/>
      <c r="O528" s="2"/>
    </row>
    <row r="529" spans="1:15" s="3" customFormat="1">
      <c r="A529" s="4"/>
      <c r="C529" s="2"/>
      <c r="D529" s="2"/>
      <c r="E529" s="2"/>
      <c r="F529" s="2"/>
      <c r="G529" s="2"/>
      <c r="H529" s="2"/>
      <c r="I529" s="2"/>
      <c r="J529" s="2"/>
      <c r="K529" s="2"/>
      <c r="L529" s="2"/>
      <c r="M529" s="2"/>
      <c r="N529" s="2"/>
      <c r="O529" s="2"/>
    </row>
    <row r="530" spans="1:15" s="3" customFormat="1">
      <c r="A530" s="4"/>
      <c r="C530" s="2"/>
      <c r="D530" s="2"/>
      <c r="E530" s="2"/>
      <c r="F530" s="2"/>
      <c r="G530" s="2"/>
      <c r="H530" s="2"/>
      <c r="I530" s="2"/>
      <c r="J530" s="2"/>
      <c r="K530" s="2"/>
      <c r="L530" s="2"/>
      <c r="M530" s="2"/>
      <c r="N530" s="2"/>
      <c r="O530" s="2"/>
    </row>
    <row r="531" spans="1:15" s="3" customFormat="1">
      <c r="A531" s="4"/>
      <c r="C531" s="2"/>
      <c r="D531" s="2"/>
      <c r="E531" s="2"/>
      <c r="F531" s="2"/>
      <c r="G531" s="2"/>
      <c r="H531" s="2"/>
      <c r="I531" s="2"/>
      <c r="J531" s="2"/>
      <c r="K531" s="2"/>
      <c r="L531" s="2"/>
      <c r="M531" s="2"/>
      <c r="N531" s="2"/>
      <c r="O531" s="2"/>
    </row>
    <row r="532" spans="1:15" s="3" customFormat="1">
      <c r="A532" s="4"/>
      <c r="C532" s="2"/>
      <c r="D532" s="2"/>
      <c r="E532" s="2"/>
      <c r="F532" s="2"/>
      <c r="G532" s="2"/>
      <c r="H532" s="2"/>
      <c r="I532" s="2"/>
      <c r="J532" s="2"/>
      <c r="K532" s="2"/>
      <c r="L532" s="2"/>
      <c r="M532" s="2"/>
      <c r="N532" s="2"/>
      <c r="O532" s="2"/>
    </row>
    <row r="533" spans="1:15" s="3" customFormat="1">
      <c r="A533" s="4"/>
      <c r="C533" s="2"/>
      <c r="D533" s="2"/>
      <c r="E533" s="2"/>
      <c r="F533" s="2"/>
      <c r="G533" s="2"/>
      <c r="H533" s="2"/>
      <c r="I533" s="2"/>
      <c r="J533" s="2"/>
      <c r="K533" s="2"/>
      <c r="L533" s="2"/>
      <c r="M533" s="2"/>
      <c r="N533" s="2"/>
      <c r="O533" s="2"/>
    </row>
    <row r="534" spans="1:15" s="3" customFormat="1">
      <c r="A534" s="4"/>
      <c r="C534" s="2"/>
      <c r="D534" s="2"/>
      <c r="E534" s="2"/>
      <c r="F534" s="2"/>
      <c r="G534" s="2"/>
      <c r="H534" s="2"/>
      <c r="I534" s="2"/>
      <c r="J534" s="2"/>
      <c r="K534" s="2"/>
      <c r="L534" s="2"/>
      <c r="M534" s="2"/>
      <c r="N534" s="2"/>
      <c r="O534" s="2"/>
    </row>
    <row r="535" spans="1:15" s="3" customFormat="1">
      <c r="A535" s="4"/>
      <c r="C535" s="2"/>
      <c r="D535" s="2"/>
      <c r="E535" s="2"/>
      <c r="F535" s="2"/>
      <c r="G535" s="2"/>
      <c r="H535" s="2"/>
      <c r="I535" s="2"/>
      <c r="J535" s="2"/>
      <c r="K535" s="2"/>
      <c r="L535" s="2"/>
      <c r="M535" s="2"/>
      <c r="N535" s="2"/>
      <c r="O535" s="2"/>
    </row>
    <row r="536" spans="1:15" s="3" customFormat="1">
      <c r="A536" s="4"/>
      <c r="C536" s="2"/>
      <c r="D536" s="2"/>
      <c r="E536" s="2"/>
      <c r="F536" s="2"/>
      <c r="G536" s="2"/>
      <c r="H536" s="2"/>
      <c r="I536" s="2"/>
      <c r="J536" s="2"/>
      <c r="K536" s="2"/>
      <c r="L536" s="2"/>
      <c r="M536" s="2"/>
      <c r="N536" s="2"/>
      <c r="O536" s="2"/>
    </row>
    <row r="537" spans="1:15" s="3" customFormat="1">
      <c r="A537" s="4"/>
      <c r="C537" s="2"/>
      <c r="D537" s="2"/>
      <c r="E537" s="2"/>
      <c r="F537" s="2"/>
      <c r="G537" s="2"/>
      <c r="H537" s="2"/>
      <c r="I537" s="2"/>
      <c r="J537" s="2"/>
      <c r="K537" s="2"/>
      <c r="L537" s="2"/>
      <c r="M537" s="2"/>
      <c r="N537" s="2"/>
      <c r="O537" s="2"/>
    </row>
    <row r="538" spans="1:15" s="3" customFormat="1">
      <c r="A538" s="4"/>
      <c r="C538" s="2"/>
      <c r="D538" s="2"/>
      <c r="E538" s="2"/>
      <c r="F538" s="2"/>
      <c r="G538" s="2"/>
      <c r="H538" s="2"/>
      <c r="I538" s="2"/>
      <c r="J538" s="2"/>
      <c r="K538" s="2"/>
      <c r="L538" s="2"/>
      <c r="M538" s="2"/>
      <c r="N538" s="2"/>
      <c r="O538" s="2"/>
    </row>
    <row r="539" spans="1:15" s="3" customFormat="1">
      <c r="A539" s="4"/>
      <c r="C539" s="2"/>
      <c r="D539" s="2"/>
      <c r="E539" s="2"/>
      <c r="F539" s="2"/>
      <c r="G539" s="2"/>
      <c r="H539" s="2"/>
      <c r="I539" s="2"/>
      <c r="J539" s="2"/>
      <c r="K539" s="2"/>
      <c r="L539" s="2"/>
      <c r="M539" s="2"/>
      <c r="N539" s="2"/>
      <c r="O539" s="2"/>
    </row>
    <row r="540" spans="1:15" s="3" customFormat="1">
      <c r="A540" s="4"/>
      <c r="C540" s="2"/>
      <c r="D540" s="2"/>
      <c r="E540" s="2"/>
      <c r="F540" s="2"/>
      <c r="G540" s="2"/>
      <c r="H540" s="2"/>
      <c r="I540" s="2"/>
      <c r="J540" s="2"/>
      <c r="K540" s="2"/>
      <c r="L540" s="2"/>
      <c r="M540" s="2"/>
      <c r="N540" s="2"/>
      <c r="O540" s="2"/>
    </row>
    <row r="541" spans="1:15" s="3" customFormat="1">
      <c r="A541" s="4"/>
      <c r="C541" s="2"/>
      <c r="D541" s="2"/>
      <c r="E541" s="2"/>
      <c r="F541" s="2"/>
      <c r="G541" s="2"/>
      <c r="H541" s="2"/>
      <c r="I541" s="2"/>
      <c r="J541" s="2"/>
      <c r="K541" s="2"/>
      <c r="L541" s="2"/>
      <c r="M541" s="2"/>
      <c r="N541" s="2"/>
      <c r="O541" s="2"/>
    </row>
    <row r="542" spans="1:15" s="3" customFormat="1">
      <c r="A542" s="4"/>
      <c r="C542" s="2"/>
      <c r="D542" s="2"/>
      <c r="E542" s="2"/>
      <c r="F542" s="2"/>
      <c r="G542" s="2"/>
      <c r="H542" s="2"/>
      <c r="I542" s="2"/>
      <c r="J542" s="2"/>
      <c r="K542" s="2"/>
      <c r="L542" s="2"/>
      <c r="M542" s="2"/>
      <c r="N542" s="2"/>
      <c r="O542" s="2"/>
    </row>
    <row r="543" spans="1:15" s="3" customFormat="1">
      <c r="A543" s="4"/>
      <c r="C543" s="2"/>
      <c r="D543" s="2"/>
      <c r="E543" s="2"/>
      <c r="F543" s="2"/>
      <c r="G543" s="2"/>
      <c r="H543" s="2"/>
      <c r="I543" s="2"/>
      <c r="J543" s="2"/>
      <c r="K543" s="2"/>
      <c r="L543" s="2"/>
      <c r="M543" s="2"/>
      <c r="N543" s="2"/>
      <c r="O543" s="2"/>
    </row>
    <row r="544" spans="1:15" s="3" customFormat="1">
      <c r="A544" s="4"/>
      <c r="C544" s="2"/>
      <c r="D544" s="2"/>
      <c r="E544" s="2"/>
      <c r="F544" s="2"/>
      <c r="G544" s="2"/>
      <c r="H544" s="2"/>
      <c r="I544" s="2"/>
      <c r="J544" s="2"/>
      <c r="K544" s="2"/>
      <c r="L544" s="2"/>
      <c r="M544" s="2"/>
      <c r="N544" s="2"/>
      <c r="O544" s="2"/>
    </row>
    <row r="545" spans="1:15" s="3" customFormat="1">
      <c r="A545" s="4"/>
      <c r="C545" s="2"/>
      <c r="D545" s="2"/>
      <c r="E545" s="2"/>
      <c r="F545" s="2"/>
      <c r="G545" s="2"/>
      <c r="H545" s="2"/>
      <c r="I545" s="2"/>
      <c r="J545" s="2"/>
      <c r="K545" s="2"/>
      <c r="L545" s="2"/>
      <c r="M545" s="2"/>
      <c r="N545" s="2"/>
      <c r="O545" s="2"/>
    </row>
    <row r="546" spans="1:15" s="3" customFormat="1">
      <c r="A546" s="4"/>
      <c r="C546" s="2"/>
      <c r="D546" s="2"/>
      <c r="E546" s="2"/>
      <c r="F546" s="2"/>
      <c r="G546" s="2"/>
      <c r="H546" s="2"/>
      <c r="I546" s="2"/>
      <c r="J546" s="2"/>
      <c r="K546" s="2"/>
      <c r="L546" s="2"/>
      <c r="M546" s="2"/>
      <c r="N546" s="2"/>
      <c r="O546" s="2"/>
    </row>
    <row r="547" spans="1:15" s="3" customFormat="1">
      <c r="A547" s="4"/>
      <c r="C547" s="2"/>
      <c r="D547" s="2"/>
      <c r="E547" s="2"/>
      <c r="F547" s="2"/>
      <c r="G547" s="2"/>
      <c r="H547" s="2"/>
      <c r="I547" s="2"/>
      <c r="J547" s="2"/>
      <c r="K547" s="2"/>
      <c r="L547" s="2"/>
      <c r="M547" s="2"/>
      <c r="N547" s="2"/>
      <c r="O547" s="2"/>
    </row>
    <row r="548" spans="1:15" s="3" customFormat="1">
      <c r="A548" s="4"/>
      <c r="C548" s="2"/>
      <c r="D548" s="2"/>
      <c r="E548" s="2"/>
      <c r="F548" s="2"/>
      <c r="G548" s="2"/>
      <c r="H548" s="2"/>
      <c r="I548" s="2"/>
      <c r="J548" s="2"/>
      <c r="K548" s="2"/>
      <c r="L548" s="2"/>
      <c r="M548" s="2"/>
      <c r="N548" s="2"/>
      <c r="O548" s="2"/>
    </row>
    <row r="549" spans="1:15" s="3" customFormat="1">
      <c r="A549" s="4"/>
      <c r="C549" s="2"/>
      <c r="D549" s="2"/>
      <c r="E549" s="2"/>
      <c r="F549" s="2"/>
      <c r="G549" s="2"/>
      <c r="H549" s="2"/>
      <c r="I549" s="2"/>
      <c r="J549" s="2"/>
      <c r="K549" s="2"/>
      <c r="L549" s="2"/>
      <c r="M549" s="2"/>
      <c r="N549" s="2"/>
      <c r="O549" s="2"/>
    </row>
    <row r="550" spans="1:15" s="3" customFormat="1">
      <c r="A550" s="4"/>
      <c r="C550" s="2"/>
      <c r="D550" s="2"/>
      <c r="E550" s="2"/>
      <c r="F550" s="2"/>
      <c r="G550" s="2"/>
      <c r="H550" s="2"/>
      <c r="I550" s="2"/>
      <c r="J550" s="2"/>
      <c r="K550" s="2"/>
      <c r="L550" s="2"/>
      <c r="M550" s="2"/>
      <c r="N550" s="2"/>
      <c r="O550" s="2"/>
    </row>
    <row r="551" spans="1:15" s="3" customFormat="1">
      <c r="A551" s="4"/>
      <c r="C551" s="2"/>
      <c r="D551" s="2"/>
      <c r="E551" s="2"/>
      <c r="F551" s="2"/>
      <c r="G551" s="2"/>
      <c r="H551" s="2"/>
      <c r="I551" s="2"/>
      <c r="J551" s="2"/>
      <c r="K551" s="2"/>
      <c r="L551" s="2"/>
      <c r="M551" s="2"/>
      <c r="N551" s="2"/>
      <c r="O551" s="2"/>
    </row>
    <row r="552" spans="1:15" s="3" customFormat="1">
      <c r="A552" s="4"/>
      <c r="C552" s="2"/>
      <c r="D552" s="2"/>
      <c r="E552" s="2"/>
      <c r="F552" s="2"/>
      <c r="G552" s="2"/>
      <c r="H552" s="2"/>
      <c r="I552" s="2"/>
      <c r="J552" s="2"/>
      <c r="K552" s="2"/>
      <c r="L552" s="2"/>
      <c r="M552" s="2"/>
      <c r="N552" s="2"/>
      <c r="O552" s="2"/>
    </row>
    <row r="553" spans="1:15" s="3" customFormat="1">
      <c r="A553" s="4"/>
      <c r="C553" s="2"/>
      <c r="D553" s="2"/>
      <c r="E553" s="2"/>
      <c r="F553" s="2"/>
      <c r="G553" s="2"/>
      <c r="H553" s="2"/>
      <c r="I553" s="2"/>
      <c r="J553" s="2"/>
      <c r="K553" s="2"/>
      <c r="L553" s="2"/>
      <c r="M553" s="2"/>
      <c r="N553" s="2"/>
      <c r="O553" s="2"/>
    </row>
    <row r="554" spans="1:15" s="3" customFormat="1">
      <c r="A554" s="4"/>
      <c r="C554" s="2"/>
      <c r="D554" s="2"/>
      <c r="E554" s="2"/>
      <c r="F554" s="2"/>
      <c r="G554" s="2"/>
      <c r="H554" s="2"/>
      <c r="I554" s="2"/>
      <c r="J554" s="2"/>
      <c r="K554" s="2"/>
      <c r="L554" s="2"/>
      <c r="M554" s="2"/>
      <c r="N554" s="2"/>
      <c r="O554" s="2"/>
    </row>
    <row r="555" spans="1:15" s="3" customFormat="1">
      <c r="A555" s="4"/>
      <c r="C555" s="2"/>
      <c r="D555" s="2"/>
      <c r="E555" s="2"/>
      <c r="F555" s="2"/>
      <c r="G555" s="2"/>
      <c r="H555" s="2"/>
      <c r="I555" s="2"/>
      <c r="J555" s="2"/>
      <c r="K555" s="2"/>
      <c r="L555" s="2"/>
      <c r="M555" s="2"/>
      <c r="N555" s="2"/>
      <c r="O555" s="2"/>
    </row>
    <row r="556" spans="1:15" s="3" customFormat="1">
      <c r="A556" s="4"/>
      <c r="C556" s="2"/>
      <c r="D556" s="2"/>
      <c r="E556" s="2"/>
      <c r="F556" s="2"/>
      <c r="G556" s="2"/>
      <c r="H556" s="2"/>
      <c r="I556" s="2"/>
      <c r="J556" s="2"/>
      <c r="K556" s="2"/>
      <c r="L556" s="2"/>
      <c r="M556" s="2"/>
      <c r="N556" s="2"/>
      <c r="O556" s="2"/>
    </row>
    <row r="557" spans="1:15" s="3" customFormat="1">
      <c r="A557" s="4"/>
      <c r="C557" s="2"/>
      <c r="D557" s="2"/>
      <c r="E557" s="2"/>
      <c r="F557" s="2"/>
      <c r="G557" s="2"/>
      <c r="H557" s="2"/>
      <c r="I557" s="2"/>
      <c r="J557" s="2"/>
      <c r="K557" s="2"/>
      <c r="L557" s="2"/>
      <c r="M557" s="2"/>
      <c r="N557" s="2"/>
      <c r="O557" s="2"/>
    </row>
    <row r="558" spans="1:15" s="3" customFormat="1">
      <c r="A558" s="4"/>
      <c r="C558" s="2"/>
      <c r="D558" s="2"/>
      <c r="E558" s="2"/>
      <c r="F558" s="2"/>
      <c r="G558" s="2"/>
      <c r="H558" s="2"/>
      <c r="I558" s="2"/>
      <c r="J558" s="2"/>
      <c r="K558" s="2"/>
      <c r="L558" s="2"/>
      <c r="M558" s="2"/>
      <c r="N558" s="2"/>
      <c r="O558" s="2"/>
    </row>
    <row r="559" spans="1:15" s="3" customFormat="1">
      <c r="A559" s="4"/>
      <c r="C559" s="2"/>
      <c r="D559" s="2"/>
      <c r="E559" s="2"/>
      <c r="F559" s="2"/>
      <c r="G559" s="2"/>
      <c r="H559" s="2"/>
      <c r="I559" s="2"/>
      <c r="J559" s="2"/>
      <c r="K559" s="2"/>
      <c r="L559" s="2"/>
      <c r="M559" s="2"/>
      <c r="N559" s="2"/>
      <c r="O559" s="2"/>
    </row>
    <row r="560" spans="1:15" s="3" customFormat="1">
      <c r="A560" s="4"/>
      <c r="C560" s="2"/>
      <c r="D560" s="2"/>
      <c r="E560" s="2"/>
      <c r="F560" s="2"/>
      <c r="G560" s="2"/>
      <c r="H560" s="2"/>
      <c r="I560" s="2"/>
      <c r="J560" s="2"/>
      <c r="K560" s="2"/>
      <c r="L560" s="2"/>
      <c r="M560" s="2"/>
      <c r="N560" s="2"/>
      <c r="O560" s="2"/>
    </row>
    <row r="561" spans="1:15" s="3" customFormat="1">
      <c r="A561" s="4"/>
      <c r="C561" s="2"/>
      <c r="D561" s="2"/>
      <c r="E561" s="2"/>
      <c r="F561" s="2"/>
      <c r="G561" s="2"/>
      <c r="H561" s="2"/>
      <c r="I561" s="2"/>
      <c r="J561" s="2"/>
      <c r="K561" s="2"/>
      <c r="L561" s="2"/>
      <c r="M561" s="2"/>
      <c r="N561" s="2"/>
      <c r="O561" s="2"/>
    </row>
    <row r="562" spans="1:15" s="3" customFormat="1">
      <c r="A562" s="4"/>
      <c r="C562" s="2"/>
      <c r="D562" s="2"/>
      <c r="E562" s="2"/>
      <c r="F562" s="2"/>
      <c r="G562" s="2"/>
      <c r="H562" s="2"/>
      <c r="I562" s="2"/>
      <c r="J562" s="2"/>
      <c r="K562" s="2"/>
      <c r="L562" s="2"/>
      <c r="M562" s="2"/>
      <c r="N562" s="2"/>
      <c r="O562" s="2"/>
    </row>
    <row r="563" spans="1:15" s="3" customFormat="1">
      <c r="A563" s="4"/>
      <c r="C563" s="2"/>
      <c r="D563" s="2"/>
      <c r="E563" s="2"/>
      <c r="F563" s="2"/>
      <c r="G563" s="2"/>
      <c r="H563" s="2"/>
      <c r="I563" s="2"/>
      <c r="J563" s="2"/>
      <c r="K563" s="2"/>
      <c r="L563" s="2"/>
      <c r="M563" s="2"/>
      <c r="N563" s="2"/>
      <c r="O563" s="2"/>
    </row>
    <row r="564" spans="1:15" s="3" customFormat="1">
      <c r="A564" s="4"/>
      <c r="C564" s="2"/>
      <c r="D564" s="2"/>
      <c r="E564" s="2"/>
      <c r="F564" s="2"/>
      <c r="G564" s="2"/>
      <c r="H564" s="2"/>
      <c r="I564" s="2"/>
      <c r="J564" s="2"/>
      <c r="K564" s="2"/>
      <c r="L564" s="2"/>
      <c r="M564" s="2"/>
      <c r="N564" s="2"/>
      <c r="O564" s="2"/>
    </row>
    <row r="565" spans="1:15" s="3" customFormat="1">
      <c r="A565" s="4"/>
      <c r="C565" s="2"/>
      <c r="D565" s="2"/>
      <c r="E565" s="2"/>
      <c r="F565" s="2"/>
      <c r="G565" s="2"/>
      <c r="H565" s="2"/>
      <c r="I565" s="2"/>
      <c r="J565" s="2"/>
      <c r="K565" s="2"/>
      <c r="L565" s="2"/>
      <c r="M565" s="2"/>
      <c r="N565" s="2"/>
      <c r="O565" s="2"/>
    </row>
    <row r="566" spans="1:15" s="3" customFormat="1">
      <c r="A566" s="4"/>
      <c r="C566" s="2"/>
      <c r="D566" s="2"/>
      <c r="E566" s="2"/>
      <c r="F566" s="2"/>
      <c r="G566" s="2"/>
      <c r="H566" s="2"/>
      <c r="I566" s="2"/>
      <c r="J566" s="2"/>
      <c r="K566" s="2"/>
      <c r="L566" s="2"/>
      <c r="M566" s="2"/>
      <c r="N566" s="2"/>
      <c r="O566" s="2"/>
    </row>
    <row r="567" spans="1:15" s="3" customFormat="1">
      <c r="A567" s="4"/>
      <c r="C567" s="2"/>
      <c r="D567" s="2"/>
      <c r="E567" s="2"/>
      <c r="F567" s="2"/>
      <c r="G567" s="2"/>
      <c r="H567" s="2"/>
      <c r="I567" s="2"/>
      <c r="J567" s="2"/>
      <c r="K567" s="2"/>
      <c r="L567" s="2"/>
      <c r="M567" s="2"/>
      <c r="N567" s="2"/>
      <c r="O567" s="2"/>
    </row>
    <row r="568" spans="1:15" s="3" customFormat="1">
      <c r="A568" s="4"/>
      <c r="C568" s="2"/>
      <c r="D568" s="2"/>
      <c r="E568" s="2"/>
      <c r="F568" s="2"/>
      <c r="G568" s="2"/>
      <c r="H568" s="2"/>
      <c r="I568" s="2"/>
      <c r="J568" s="2"/>
      <c r="K568" s="2"/>
      <c r="L568" s="2"/>
      <c r="M568" s="2"/>
      <c r="N568" s="2"/>
      <c r="O568" s="2"/>
    </row>
    <row r="569" spans="1:15" s="3" customFormat="1">
      <c r="A569" s="4"/>
      <c r="C569" s="2"/>
      <c r="D569" s="2"/>
      <c r="E569" s="2"/>
      <c r="F569" s="2"/>
      <c r="G569" s="2"/>
      <c r="H569" s="2"/>
      <c r="I569" s="2"/>
      <c r="J569" s="2"/>
      <c r="K569" s="2"/>
      <c r="L569" s="2"/>
      <c r="M569" s="2"/>
      <c r="N569" s="2"/>
      <c r="O569" s="2"/>
    </row>
    <row r="570" spans="1:15" s="3" customFormat="1">
      <c r="A570" s="4"/>
      <c r="C570" s="2"/>
      <c r="D570" s="2"/>
      <c r="E570" s="2"/>
      <c r="F570" s="2"/>
      <c r="G570" s="2"/>
      <c r="H570" s="2"/>
      <c r="I570" s="2"/>
      <c r="J570" s="2"/>
      <c r="K570" s="2"/>
      <c r="L570" s="2"/>
      <c r="M570" s="2"/>
      <c r="N570" s="2"/>
      <c r="O570" s="2"/>
    </row>
    <row r="571" spans="1:15" s="3" customFormat="1">
      <c r="A571" s="4"/>
      <c r="C571" s="2"/>
      <c r="D571" s="2"/>
      <c r="E571" s="2"/>
      <c r="F571" s="2"/>
      <c r="G571" s="2"/>
      <c r="H571" s="2"/>
      <c r="I571" s="2"/>
      <c r="J571" s="2"/>
      <c r="K571" s="2"/>
      <c r="L571" s="2"/>
      <c r="M571" s="2"/>
      <c r="N571" s="2"/>
      <c r="O571" s="2"/>
    </row>
    <row r="572" spans="1:15" s="3" customFormat="1">
      <c r="A572" s="4"/>
      <c r="C572" s="2"/>
      <c r="D572" s="2"/>
      <c r="E572" s="2"/>
      <c r="F572" s="2"/>
      <c r="G572" s="2"/>
      <c r="H572" s="2"/>
      <c r="I572" s="2"/>
      <c r="J572" s="2"/>
      <c r="K572" s="2"/>
      <c r="L572" s="2"/>
      <c r="M572" s="2"/>
      <c r="N572" s="2"/>
      <c r="O572" s="2"/>
    </row>
    <row r="573" spans="1:15" s="3" customFormat="1">
      <c r="A573" s="4"/>
      <c r="C573" s="2"/>
      <c r="D573" s="2"/>
      <c r="E573" s="2"/>
      <c r="F573" s="2"/>
      <c r="G573" s="2"/>
      <c r="H573" s="2"/>
      <c r="I573" s="2"/>
      <c r="J573" s="2"/>
      <c r="K573" s="2"/>
      <c r="L573" s="2"/>
      <c r="M573" s="2"/>
      <c r="N573" s="2"/>
      <c r="O573" s="2"/>
    </row>
    <row r="574" spans="1:15" s="3" customFormat="1">
      <c r="A574" s="4"/>
      <c r="C574" s="2"/>
      <c r="D574" s="2"/>
      <c r="E574" s="2"/>
      <c r="F574" s="2"/>
      <c r="G574" s="2"/>
      <c r="H574" s="2"/>
      <c r="I574" s="2"/>
      <c r="J574" s="2"/>
      <c r="K574" s="2"/>
      <c r="L574" s="2"/>
      <c r="M574" s="2"/>
      <c r="N574" s="2"/>
      <c r="O574" s="2"/>
    </row>
    <row r="575" spans="1:15" s="3" customFormat="1">
      <c r="A575" s="4"/>
      <c r="C575" s="2"/>
      <c r="D575" s="2"/>
      <c r="E575" s="2"/>
      <c r="F575" s="2"/>
      <c r="G575" s="2"/>
      <c r="H575" s="2"/>
      <c r="I575" s="2"/>
      <c r="J575" s="2"/>
      <c r="K575" s="2"/>
      <c r="L575" s="2"/>
      <c r="M575" s="2"/>
      <c r="N575" s="2"/>
      <c r="O575" s="2"/>
    </row>
    <row r="576" spans="1:15" s="3" customFormat="1">
      <c r="A576" s="4"/>
      <c r="C576" s="2"/>
      <c r="D576" s="2"/>
      <c r="E576" s="2"/>
      <c r="F576" s="2"/>
      <c r="G576" s="2"/>
      <c r="H576" s="2"/>
      <c r="I576" s="2"/>
      <c r="J576" s="2"/>
      <c r="K576" s="2"/>
      <c r="L576" s="2"/>
      <c r="M576" s="2"/>
      <c r="N576" s="2"/>
      <c r="O576" s="2"/>
    </row>
    <row r="577" spans="1:15" s="3" customFormat="1">
      <c r="A577" s="4"/>
      <c r="C577" s="2"/>
      <c r="D577" s="2"/>
      <c r="E577" s="2"/>
      <c r="F577" s="2"/>
      <c r="G577" s="2"/>
      <c r="H577" s="2"/>
      <c r="I577" s="2"/>
      <c r="J577" s="2"/>
      <c r="K577" s="2"/>
      <c r="L577" s="2"/>
      <c r="M577" s="2"/>
      <c r="N577" s="2"/>
      <c r="O577" s="2"/>
    </row>
    <row r="578" spans="1:15" s="3" customFormat="1">
      <c r="A578" s="4"/>
      <c r="C578" s="2"/>
      <c r="D578" s="2"/>
      <c r="E578" s="2"/>
      <c r="F578" s="2"/>
      <c r="G578" s="2"/>
      <c r="H578" s="2"/>
      <c r="I578" s="2"/>
      <c r="J578" s="2"/>
      <c r="K578" s="2"/>
      <c r="L578" s="2"/>
      <c r="M578" s="2"/>
      <c r="N578" s="2"/>
      <c r="O578" s="2"/>
    </row>
    <row r="579" spans="1:15" s="3" customFormat="1">
      <c r="A579" s="4"/>
      <c r="C579" s="2"/>
      <c r="D579" s="2"/>
      <c r="E579" s="2"/>
      <c r="F579" s="2"/>
      <c r="G579" s="2"/>
      <c r="H579" s="2"/>
      <c r="I579" s="2"/>
      <c r="J579" s="2"/>
      <c r="K579" s="2"/>
      <c r="L579" s="2"/>
      <c r="M579" s="2"/>
      <c r="N579" s="2"/>
      <c r="O579" s="2"/>
    </row>
    <row r="580" spans="1:15" s="3" customFormat="1">
      <c r="A580" s="4"/>
      <c r="C580" s="2"/>
      <c r="D580" s="2"/>
      <c r="E580" s="2"/>
      <c r="F580" s="2"/>
      <c r="G580" s="2"/>
      <c r="H580" s="2"/>
      <c r="I580" s="2"/>
      <c r="J580" s="2"/>
      <c r="K580" s="2"/>
      <c r="L580" s="2"/>
      <c r="M580" s="2"/>
      <c r="N580" s="2"/>
      <c r="O580" s="2"/>
    </row>
    <row r="581" spans="1:15" s="3" customFormat="1">
      <c r="A581" s="4"/>
      <c r="C581" s="2"/>
      <c r="D581" s="2"/>
      <c r="E581" s="2"/>
      <c r="F581" s="2"/>
      <c r="G581" s="2"/>
      <c r="H581" s="2"/>
      <c r="I581" s="2"/>
      <c r="J581" s="2"/>
      <c r="K581" s="2"/>
      <c r="L581" s="2"/>
      <c r="M581" s="2"/>
      <c r="N581" s="2"/>
      <c r="O581" s="2"/>
    </row>
    <row r="582" spans="1:15" s="3" customFormat="1">
      <c r="A582" s="4"/>
      <c r="C582" s="2"/>
      <c r="D582" s="2"/>
      <c r="E582" s="2"/>
      <c r="F582" s="2"/>
      <c r="G582" s="2"/>
      <c r="H582" s="2"/>
      <c r="I582" s="2"/>
      <c r="J582" s="2"/>
      <c r="K582" s="2"/>
      <c r="L582" s="2"/>
      <c r="M582" s="2"/>
      <c r="N582" s="2"/>
      <c r="O582" s="2"/>
    </row>
    <row r="583" spans="1:15" s="3" customFormat="1">
      <c r="A583" s="4"/>
      <c r="C583" s="2"/>
      <c r="D583" s="2"/>
      <c r="E583" s="2"/>
      <c r="F583" s="2"/>
      <c r="G583" s="2"/>
      <c r="H583" s="2"/>
      <c r="I583" s="2"/>
      <c r="J583" s="2"/>
      <c r="K583" s="2"/>
      <c r="L583" s="2"/>
      <c r="M583" s="2"/>
      <c r="N583" s="2"/>
      <c r="O583" s="2"/>
    </row>
    <row r="584" spans="1:15" s="3" customFormat="1">
      <c r="A584" s="4"/>
      <c r="C584" s="2"/>
      <c r="D584" s="2"/>
      <c r="E584" s="2"/>
      <c r="F584" s="2"/>
      <c r="G584" s="2"/>
      <c r="H584" s="2"/>
      <c r="I584" s="2"/>
      <c r="J584" s="2"/>
      <c r="K584" s="2"/>
      <c r="L584" s="2"/>
      <c r="M584" s="2"/>
      <c r="N584" s="2"/>
      <c r="O584" s="2"/>
    </row>
    <row r="585" spans="1:15" s="3" customFormat="1">
      <c r="A585" s="4"/>
      <c r="C585" s="2"/>
      <c r="D585" s="2"/>
      <c r="E585" s="2"/>
      <c r="F585" s="2"/>
      <c r="G585" s="2"/>
      <c r="H585" s="2"/>
      <c r="I585" s="2"/>
      <c r="J585" s="2"/>
      <c r="K585" s="2"/>
      <c r="L585" s="2"/>
      <c r="M585" s="2"/>
      <c r="N585" s="2"/>
      <c r="O585" s="2"/>
    </row>
    <row r="586" spans="1:15" s="3" customFormat="1">
      <c r="A586" s="4"/>
      <c r="C586" s="2"/>
      <c r="D586" s="2"/>
      <c r="E586" s="2"/>
      <c r="F586" s="2"/>
      <c r="G586" s="2"/>
      <c r="H586" s="2"/>
      <c r="I586" s="2"/>
      <c r="J586" s="2"/>
      <c r="K586" s="2"/>
      <c r="L586" s="2"/>
      <c r="M586" s="2"/>
      <c r="N586" s="2"/>
      <c r="O586" s="2"/>
    </row>
    <row r="587" spans="1:15" s="3" customFormat="1">
      <c r="A587" s="4"/>
      <c r="C587" s="2"/>
      <c r="D587" s="2"/>
      <c r="E587" s="2"/>
      <c r="F587" s="2"/>
      <c r="G587" s="2"/>
      <c r="H587" s="2"/>
      <c r="I587" s="2"/>
      <c r="J587" s="2"/>
      <c r="K587" s="2"/>
      <c r="L587" s="2"/>
      <c r="M587" s="2"/>
      <c r="N587" s="2"/>
      <c r="O587" s="2"/>
    </row>
    <row r="588" spans="1:15" s="3" customFormat="1">
      <c r="A588" s="4"/>
      <c r="C588" s="2"/>
      <c r="D588" s="2"/>
      <c r="E588" s="2"/>
      <c r="F588" s="2"/>
      <c r="G588" s="2"/>
      <c r="H588" s="2"/>
      <c r="I588" s="2"/>
      <c r="J588" s="2"/>
      <c r="K588" s="2"/>
      <c r="L588" s="2"/>
      <c r="M588" s="2"/>
      <c r="N588" s="2"/>
      <c r="O588" s="2"/>
    </row>
    <row r="589" spans="1:15" s="3" customFormat="1">
      <c r="A589" s="4"/>
      <c r="C589" s="2"/>
      <c r="D589" s="2"/>
      <c r="E589" s="2"/>
      <c r="F589" s="2"/>
      <c r="G589" s="2"/>
      <c r="H589" s="2"/>
      <c r="I589" s="2"/>
      <c r="J589" s="2"/>
      <c r="K589" s="2"/>
      <c r="L589" s="2"/>
      <c r="M589" s="2"/>
      <c r="N589" s="2"/>
      <c r="O589" s="2"/>
    </row>
    <row r="590" spans="1:15" s="3" customFormat="1">
      <c r="A590" s="4"/>
      <c r="C590" s="2"/>
      <c r="D590" s="2"/>
      <c r="E590" s="2"/>
      <c r="F590" s="2"/>
      <c r="G590" s="2"/>
      <c r="H590" s="2"/>
      <c r="I590" s="2"/>
      <c r="J590" s="2"/>
      <c r="K590" s="2"/>
      <c r="L590" s="2"/>
      <c r="M590" s="2"/>
      <c r="N590" s="2"/>
      <c r="O590" s="2"/>
    </row>
    <row r="591" spans="1:15" s="3" customFormat="1">
      <c r="A591" s="4"/>
      <c r="C591" s="2"/>
      <c r="D591" s="2"/>
      <c r="E591" s="2"/>
      <c r="F591" s="2"/>
      <c r="G591" s="2"/>
      <c r="H591" s="2"/>
      <c r="I591" s="2"/>
      <c r="J591" s="2"/>
      <c r="K591" s="2"/>
      <c r="L591" s="2"/>
      <c r="M591" s="2"/>
      <c r="N591" s="2"/>
      <c r="O591" s="2"/>
    </row>
    <row r="592" spans="1:15" s="3" customFormat="1">
      <c r="A592" s="4"/>
      <c r="C592" s="2"/>
      <c r="D592" s="2"/>
      <c r="E592" s="2"/>
      <c r="F592" s="2"/>
      <c r="G592" s="2"/>
      <c r="H592" s="2"/>
      <c r="I592" s="2"/>
      <c r="J592" s="2"/>
      <c r="K592" s="2"/>
      <c r="L592" s="2"/>
      <c r="M592" s="2"/>
      <c r="N592" s="2"/>
      <c r="O592" s="2"/>
    </row>
    <row r="593" spans="1:15" s="3" customFormat="1">
      <c r="A593" s="4"/>
      <c r="C593" s="2"/>
      <c r="D593" s="2"/>
      <c r="E593" s="2"/>
      <c r="F593" s="2"/>
      <c r="G593" s="2"/>
      <c r="H593" s="2"/>
      <c r="I593" s="2"/>
      <c r="J593" s="2"/>
      <c r="K593" s="2"/>
      <c r="L593" s="2"/>
      <c r="M593" s="2"/>
      <c r="N593" s="2"/>
      <c r="O593" s="2"/>
    </row>
    <row r="594" spans="1:15" s="3" customFormat="1">
      <c r="A594" s="4"/>
      <c r="C594" s="2"/>
      <c r="D594" s="2"/>
      <c r="E594" s="2"/>
      <c r="F594" s="2"/>
      <c r="G594" s="2"/>
      <c r="H594" s="2"/>
      <c r="I594" s="2"/>
      <c r="J594" s="2"/>
      <c r="K594" s="2"/>
      <c r="L594" s="2"/>
      <c r="M594" s="2"/>
      <c r="N594" s="2"/>
      <c r="O594" s="2"/>
    </row>
    <row r="595" spans="1:15" s="3" customFormat="1">
      <c r="A595" s="4"/>
      <c r="C595" s="2"/>
      <c r="D595" s="2"/>
      <c r="E595" s="2"/>
      <c r="F595" s="2"/>
      <c r="G595" s="2"/>
      <c r="H595" s="2"/>
      <c r="I595" s="2"/>
      <c r="J595" s="2"/>
      <c r="K595" s="2"/>
      <c r="L595" s="2"/>
      <c r="M595" s="2"/>
      <c r="N595" s="2"/>
      <c r="O595" s="2"/>
    </row>
    <row r="596" spans="1:15" s="3" customFormat="1">
      <c r="A596" s="4"/>
      <c r="C596" s="2"/>
      <c r="D596" s="2"/>
      <c r="E596" s="2"/>
      <c r="F596" s="2"/>
      <c r="G596" s="2"/>
      <c r="H596" s="2"/>
      <c r="I596" s="2"/>
      <c r="J596" s="2"/>
      <c r="K596" s="2"/>
      <c r="L596" s="2"/>
      <c r="M596" s="2"/>
      <c r="N596" s="2"/>
      <c r="O596" s="2"/>
    </row>
    <row r="597" spans="1:15" s="3" customFormat="1">
      <c r="A597" s="4"/>
      <c r="C597" s="2"/>
      <c r="D597" s="2"/>
      <c r="E597" s="2"/>
      <c r="F597" s="2"/>
      <c r="G597" s="2"/>
      <c r="H597" s="2"/>
      <c r="I597" s="2"/>
      <c r="J597" s="2"/>
      <c r="K597" s="2"/>
      <c r="L597" s="2"/>
      <c r="M597" s="2"/>
      <c r="N597" s="2"/>
      <c r="O597" s="2"/>
    </row>
    <row r="598" spans="1:15" s="3" customFormat="1">
      <c r="A598" s="4"/>
      <c r="C598" s="2"/>
      <c r="D598" s="2"/>
      <c r="E598" s="2"/>
      <c r="F598" s="2"/>
      <c r="G598" s="2"/>
      <c r="H598" s="2"/>
      <c r="I598" s="2"/>
      <c r="J598" s="2"/>
      <c r="K598" s="2"/>
      <c r="L598" s="2"/>
      <c r="M598" s="2"/>
      <c r="N598" s="2"/>
      <c r="O598" s="2"/>
    </row>
    <row r="599" spans="1:15" s="3" customFormat="1">
      <c r="A599" s="4"/>
      <c r="C599" s="2"/>
      <c r="D599" s="2"/>
      <c r="E599" s="2"/>
      <c r="F599" s="2"/>
      <c r="G599" s="2"/>
      <c r="H599" s="2"/>
      <c r="I599" s="2"/>
      <c r="J599" s="2"/>
      <c r="K599" s="2"/>
      <c r="L599" s="2"/>
      <c r="M599" s="2"/>
      <c r="N599" s="2"/>
      <c r="O599" s="2"/>
    </row>
    <row r="600" spans="1:15" s="3" customFormat="1">
      <c r="A600" s="4"/>
      <c r="C600" s="2"/>
      <c r="D600" s="2"/>
      <c r="E600" s="2"/>
      <c r="F600" s="2"/>
      <c r="G600" s="2"/>
      <c r="H600" s="2"/>
      <c r="I600" s="2"/>
      <c r="J600" s="2"/>
      <c r="K600" s="2"/>
      <c r="L600" s="2"/>
      <c r="M600" s="2"/>
      <c r="N600" s="2"/>
      <c r="O600" s="2"/>
    </row>
    <row r="601" spans="1:15" s="3" customFormat="1">
      <c r="A601" s="4"/>
      <c r="C601" s="2"/>
      <c r="D601" s="2"/>
      <c r="E601" s="2"/>
      <c r="F601" s="2"/>
      <c r="G601" s="2"/>
      <c r="H601" s="2"/>
      <c r="I601" s="2"/>
      <c r="J601" s="2"/>
      <c r="K601" s="2"/>
      <c r="L601" s="2"/>
      <c r="M601" s="2"/>
      <c r="N601" s="2"/>
      <c r="O601" s="2"/>
    </row>
    <row r="602" spans="1:15" s="3" customFormat="1">
      <c r="A602" s="4"/>
      <c r="C602" s="2"/>
      <c r="D602" s="2"/>
      <c r="E602" s="2"/>
      <c r="F602" s="2"/>
      <c r="G602" s="2"/>
      <c r="H602" s="2"/>
      <c r="I602" s="2"/>
      <c r="J602" s="2"/>
      <c r="K602" s="2"/>
      <c r="L602" s="2"/>
      <c r="M602" s="2"/>
      <c r="N602" s="2"/>
      <c r="O602" s="2"/>
    </row>
    <row r="603" spans="1:15" s="3" customFormat="1">
      <c r="A603" s="4"/>
      <c r="C603" s="2"/>
      <c r="D603" s="2"/>
      <c r="E603" s="2"/>
      <c r="F603" s="2"/>
      <c r="G603" s="2"/>
      <c r="H603" s="2"/>
      <c r="I603" s="2"/>
      <c r="J603" s="2"/>
      <c r="K603" s="2"/>
      <c r="L603" s="2"/>
      <c r="M603" s="2"/>
      <c r="N603" s="2"/>
      <c r="O603" s="2"/>
    </row>
    <row r="604" spans="1:15" s="3" customFormat="1">
      <c r="A604" s="4"/>
      <c r="C604" s="2"/>
      <c r="D604" s="2"/>
      <c r="E604" s="2"/>
      <c r="F604" s="2"/>
      <c r="G604" s="2"/>
      <c r="H604" s="2"/>
      <c r="I604" s="2"/>
      <c r="J604" s="2"/>
      <c r="K604" s="2"/>
      <c r="L604" s="2"/>
      <c r="M604" s="2"/>
      <c r="N604" s="2"/>
      <c r="O604" s="2"/>
    </row>
    <row r="605" spans="1:15" s="3" customFormat="1">
      <c r="A605" s="4"/>
      <c r="C605" s="2"/>
      <c r="D605" s="2"/>
      <c r="E605" s="2"/>
      <c r="F605" s="2"/>
      <c r="G605" s="2"/>
      <c r="H605" s="2"/>
      <c r="I605" s="2"/>
      <c r="J605" s="2"/>
      <c r="K605" s="2"/>
      <c r="L605" s="2"/>
      <c r="M605" s="2"/>
      <c r="N605" s="2"/>
      <c r="O605" s="2"/>
    </row>
    <row r="606" spans="1:15" s="3" customFormat="1">
      <c r="A606" s="4"/>
      <c r="C606" s="2"/>
      <c r="D606" s="2"/>
      <c r="E606" s="2"/>
      <c r="F606" s="2"/>
      <c r="G606" s="2"/>
      <c r="H606" s="2"/>
      <c r="I606" s="2"/>
      <c r="J606" s="2"/>
      <c r="K606" s="2"/>
      <c r="L606" s="2"/>
      <c r="M606" s="2"/>
      <c r="N606" s="2"/>
      <c r="O606" s="2"/>
    </row>
    <row r="607" spans="1:15" s="3" customFormat="1">
      <c r="A607" s="4"/>
      <c r="C607" s="2"/>
      <c r="D607" s="2"/>
      <c r="E607" s="2"/>
      <c r="F607" s="2"/>
      <c r="G607" s="2"/>
      <c r="H607" s="2"/>
      <c r="I607" s="2"/>
      <c r="J607" s="2"/>
      <c r="K607" s="2"/>
      <c r="L607" s="2"/>
      <c r="M607" s="2"/>
      <c r="N607" s="2"/>
      <c r="O607" s="2"/>
    </row>
    <row r="608" spans="1:15" s="3" customFormat="1">
      <c r="A608" s="4"/>
      <c r="C608" s="2"/>
      <c r="D608" s="2"/>
      <c r="E608" s="2"/>
      <c r="F608" s="2"/>
      <c r="G608" s="2"/>
      <c r="H608" s="2"/>
      <c r="I608" s="2"/>
      <c r="J608" s="2"/>
      <c r="K608" s="2"/>
      <c r="L608" s="2"/>
      <c r="M608" s="2"/>
      <c r="N608" s="2"/>
      <c r="O608" s="2"/>
    </row>
    <row r="609" spans="1:15" s="3" customFormat="1">
      <c r="A609" s="4"/>
      <c r="C609" s="2"/>
      <c r="D609" s="2"/>
      <c r="E609" s="2"/>
      <c r="F609" s="2"/>
      <c r="G609" s="2"/>
      <c r="H609" s="2"/>
      <c r="I609" s="2"/>
      <c r="J609" s="2"/>
      <c r="K609" s="2"/>
      <c r="L609" s="2"/>
      <c r="M609" s="2"/>
      <c r="N609" s="2"/>
      <c r="O609" s="2"/>
    </row>
    <row r="610" spans="1:15" s="3" customFormat="1">
      <c r="A610" s="4"/>
      <c r="C610" s="2"/>
      <c r="D610" s="2"/>
      <c r="E610" s="2"/>
      <c r="F610" s="2"/>
      <c r="G610" s="2"/>
      <c r="H610" s="2"/>
      <c r="I610" s="2"/>
      <c r="J610" s="2"/>
      <c r="K610" s="2"/>
      <c r="L610" s="2"/>
      <c r="M610" s="2"/>
      <c r="N610" s="2"/>
      <c r="O610" s="2"/>
    </row>
    <row r="611" spans="1:15" s="3" customFormat="1">
      <c r="A611" s="4"/>
      <c r="C611" s="2"/>
      <c r="D611" s="2"/>
      <c r="E611" s="2"/>
      <c r="F611" s="2"/>
      <c r="G611" s="2"/>
      <c r="H611" s="2"/>
      <c r="I611" s="2"/>
      <c r="J611" s="2"/>
      <c r="K611" s="2"/>
      <c r="L611" s="2"/>
      <c r="M611" s="2"/>
      <c r="N611" s="2"/>
      <c r="O611" s="2"/>
    </row>
    <row r="612" spans="1:15" s="3" customFormat="1">
      <c r="A612" s="4"/>
      <c r="C612" s="2"/>
      <c r="D612" s="2"/>
      <c r="E612" s="2"/>
      <c r="F612" s="2"/>
      <c r="G612" s="2"/>
      <c r="H612" s="2"/>
      <c r="I612" s="2"/>
      <c r="J612" s="2"/>
      <c r="K612" s="2"/>
      <c r="L612" s="2"/>
      <c r="M612" s="2"/>
      <c r="N612" s="2"/>
      <c r="O612" s="2"/>
    </row>
    <row r="613" spans="1:15" s="3" customFormat="1">
      <c r="A613" s="4"/>
      <c r="C613" s="2"/>
      <c r="D613" s="2"/>
      <c r="E613" s="2"/>
      <c r="F613" s="2"/>
      <c r="G613" s="2"/>
      <c r="H613" s="2"/>
      <c r="I613" s="2"/>
      <c r="J613" s="2"/>
      <c r="K613" s="2"/>
      <c r="L613" s="2"/>
      <c r="M613" s="2"/>
      <c r="N613" s="2"/>
      <c r="O613" s="2"/>
    </row>
    <row r="614" spans="1:15" s="3" customFormat="1">
      <c r="A614" s="4"/>
      <c r="C614" s="2"/>
      <c r="D614" s="2"/>
      <c r="E614" s="2"/>
      <c r="F614" s="2"/>
      <c r="G614" s="2"/>
      <c r="H614" s="2"/>
      <c r="I614" s="2"/>
      <c r="J614" s="2"/>
      <c r="K614" s="2"/>
      <c r="L614" s="2"/>
      <c r="M614" s="2"/>
      <c r="N614" s="2"/>
      <c r="O614" s="2"/>
    </row>
    <row r="615" spans="1:15" s="3" customFormat="1">
      <c r="A615" s="4"/>
      <c r="C615" s="2"/>
      <c r="D615" s="2"/>
      <c r="E615" s="2"/>
      <c r="F615" s="2"/>
      <c r="G615" s="2"/>
      <c r="H615" s="2"/>
      <c r="I615" s="2"/>
      <c r="J615" s="2"/>
      <c r="K615" s="2"/>
      <c r="L615" s="2"/>
      <c r="M615" s="2"/>
      <c r="N615" s="2"/>
      <c r="O615" s="2"/>
    </row>
    <row r="616" spans="1:15" s="3" customFormat="1">
      <c r="A616" s="4"/>
      <c r="C616" s="2"/>
      <c r="D616" s="2"/>
      <c r="E616" s="2"/>
      <c r="F616" s="2"/>
      <c r="G616" s="2"/>
      <c r="H616" s="2"/>
      <c r="I616" s="2"/>
      <c r="J616" s="2"/>
      <c r="K616" s="2"/>
      <c r="L616" s="2"/>
      <c r="M616" s="2"/>
      <c r="N616" s="2"/>
      <c r="O616" s="2"/>
    </row>
    <row r="617" spans="1:15" s="3" customFormat="1">
      <c r="A617" s="4"/>
      <c r="C617" s="2"/>
      <c r="D617" s="2"/>
      <c r="E617" s="2"/>
      <c r="F617" s="2"/>
      <c r="G617" s="2"/>
      <c r="H617" s="2"/>
      <c r="I617" s="2"/>
      <c r="J617" s="2"/>
      <c r="K617" s="2"/>
      <c r="L617" s="2"/>
      <c r="M617" s="2"/>
      <c r="N617" s="2"/>
      <c r="O617" s="2"/>
    </row>
    <row r="618" spans="1:15" s="3" customFormat="1">
      <c r="A618" s="4"/>
      <c r="C618" s="2"/>
      <c r="D618" s="2"/>
      <c r="E618" s="2"/>
      <c r="F618" s="2"/>
      <c r="G618" s="2"/>
      <c r="H618" s="2"/>
      <c r="I618" s="2"/>
      <c r="J618" s="2"/>
      <c r="K618" s="2"/>
      <c r="L618" s="2"/>
      <c r="M618" s="2"/>
      <c r="N618" s="2"/>
      <c r="O618" s="2"/>
    </row>
    <row r="619" spans="1:15" s="3" customFormat="1">
      <c r="A619" s="4"/>
      <c r="C619" s="2"/>
      <c r="D619" s="2"/>
      <c r="E619" s="2"/>
      <c r="F619" s="2"/>
      <c r="G619" s="2"/>
      <c r="H619" s="2"/>
      <c r="I619" s="2"/>
      <c r="J619" s="2"/>
      <c r="K619" s="2"/>
      <c r="L619" s="2"/>
      <c r="M619" s="2"/>
      <c r="N619" s="2"/>
      <c r="O619" s="2"/>
    </row>
    <row r="620" spans="1:15" s="3" customFormat="1">
      <c r="A620" s="4"/>
      <c r="C620" s="2"/>
      <c r="D620" s="2"/>
      <c r="E620" s="2"/>
      <c r="F620" s="2"/>
      <c r="G620" s="2"/>
      <c r="H620" s="2"/>
      <c r="I620" s="2"/>
      <c r="J620" s="2"/>
      <c r="K620" s="2"/>
      <c r="L620" s="2"/>
      <c r="M620" s="2"/>
      <c r="N620" s="2"/>
      <c r="O620" s="2"/>
    </row>
    <row r="621" spans="1:15" s="3" customFormat="1">
      <c r="A621" s="4"/>
      <c r="C621" s="2"/>
      <c r="D621" s="2"/>
      <c r="E621" s="2"/>
      <c r="F621" s="2"/>
      <c r="G621" s="2"/>
      <c r="H621" s="2"/>
      <c r="I621" s="2"/>
      <c r="J621" s="2"/>
      <c r="K621" s="2"/>
      <c r="L621" s="2"/>
      <c r="M621" s="2"/>
      <c r="N621" s="2"/>
      <c r="O621" s="2"/>
    </row>
    <row r="622" spans="1:15" s="3" customFormat="1">
      <c r="A622" s="4"/>
      <c r="C622" s="2"/>
      <c r="D622" s="2"/>
      <c r="E622" s="2"/>
      <c r="F622" s="2"/>
      <c r="G622" s="2"/>
      <c r="H622" s="2"/>
      <c r="I622" s="2"/>
      <c r="J622" s="2"/>
      <c r="K622" s="2"/>
      <c r="L622" s="2"/>
      <c r="M622" s="2"/>
      <c r="N622" s="2"/>
      <c r="O622" s="2"/>
    </row>
    <row r="623" spans="1:15" s="3" customFormat="1">
      <c r="A623" s="4"/>
      <c r="C623" s="2"/>
      <c r="D623" s="2"/>
      <c r="E623" s="2"/>
      <c r="F623" s="2"/>
      <c r="G623" s="2"/>
      <c r="H623" s="2"/>
      <c r="I623" s="2"/>
      <c r="J623" s="2"/>
      <c r="K623" s="2"/>
      <c r="L623" s="2"/>
      <c r="M623" s="2"/>
      <c r="N623" s="2"/>
      <c r="O623" s="2"/>
    </row>
    <row r="624" spans="1:15" s="3" customFormat="1">
      <c r="A624" s="4"/>
      <c r="C624" s="2"/>
      <c r="D624" s="2"/>
      <c r="E624" s="2"/>
      <c r="F624" s="2"/>
      <c r="G624" s="2"/>
      <c r="H624" s="2"/>
      <c r="I624" s="2"/>
      <c r="J624" s="2"/>
      <c r="K624" s="2"/>
      <c r="L624" s="2"/>
      <c r="M624" s="2"/>
      <c r="N624" s="2"/>
      <c r="O624" s="2"/>
    </row>
    <row r="625" spans="1:15" s="3" customFormat="1">
      <c r="A625" s="4"/>
      <c r="C625" s="2"/>
      <c r="D625" s="2"/>
      <c r="E625" s="2"/>
      <c r="F625" s="2"/>
      <c r="G625" s="2"/>
      <c r="H625" s="2"/>
      <c r="I625" s="2"/>
      <c r="J625" s="2"/>
      <c r="K625" s="2"/>
      <c r="L625" s="2"/>
      <c r="M625" s="2"/>
      <c r="N625" s="2"/>
      <c r="O625" s="2"/>
    </row>
    <row r="626" spans="1:15" s="3" customFormat="1">
      <c r="A626" s="4"/>
      <c r="C626" s="2"/>
      <c r="D626" s="2"/>
      <c r="E626" s="2"/>
      <c r="F626" s="2"/>
      <c r="G626" s="2"/>
      <c r="H626" s="2"/>
      <c r="I626" s="2"/>
      <c r="J626" s="2"/>
      <c r="K626" s="2"/>
      <c r="L626" s="2"/>
      <c r="M626" s="2"/>
      <c r="N626" s="2"/>
      <c r="O626" s="2"/>
    </row>
    <row r="627" spans="1:15" s="3" customFormat="1">
      <c r="A627" s="4"/>
      <c r="C627" s="2"/>
      <c r="D627" s="2"/>
      <c r="E627" s="2"/>
      <c r="F627" s="2"/>
      <c r="G627" s="2"/>
      <c r="H627" s="2"/>
      <c r="I627" s="2"/>
      <c r="J627" s="2"/>
      <c r="K627" s="2"/>
      <c r="L627" s="2"/>
      <c r="M627" s="2"/>
      <c r="N627" s="2"/>
      <c r="O627" s="2"/>
    </row>
    <row r="628" spans="1:15" s="3" customFormat="1">
      <c r="A628" s="4"/>
      <c r="C628" s="2"/>
      <c r="D628" s="2"/>
      <c r="E628" s="2"/>
      <c r="F628" s="2"/>
      <c r="G628" s="2"/>
      <c r="H628" s="2"/>
      <c r="I628" s="2"/>
      <c r="J628" s="2"/>
      <c r="K628" s="2"/>
      <c r="L628" s="2"/>
      <c r="M628" s="2"/>
      <c r="N628" s="2"/>
      <c r="O628" s="2"/>
    </row>
    <row r="629" spans="1:15" s="3" customFormat="1">
      <c r="A629" s="4"/>
      <c r="C629" s="2"/>
      <c r="D629" s="2"/>
      <c r="E629" s="2"/>
      <c r="F629" s="2"/>
      <c r="G629" s="2"/>
      <c r="H629" s="2"/>
      <c r="I629" s="2"/>
      <c r="J629" s="2"/>
      <c r="K629" s="2"/>
      <c r="L629" s="2"/>
      <c r="M629" s="2"/>
      <c r="N629" s="2"/>
      <c r="O629" s="2"/>
    </row>
    <row r="630" spans="1:15" s="3" customFormat="1">
      <c r="A630" s="4"/>
      <c r="C630" s="2"/>
      <c r="D630" s="2"/>
      <c r="E630" s="2"/>
      <c r="F630" s="2"/>
      <c r="G630" s="2"/>
      <c r="H630" s="2"/>
      <c r="I630" s="2"/>
      <c r="J630" s="2"/>
      <c r="K630" s="2"/>
      <c r="L630" s="2"/>
      <c r="M630" s="2"/>
      <c r="N630" s="2"/>
      <c r="O630" s="2"/>
    </row>
    <row r="631" spans="1:15" s="3" customFormat="1">
      <c r="A631" s="4"/>
      <c r="C631" s="2"/>
      <c r="D631" s="2"/>
      <c r="E631" s="2"/>
      <c r="F631" s="2"/>
      <c r="G631" s="2"/>
      <c r="H631" s="2"/>
      <c r="I631" s="2"/>
      <c r="J631" s="2"/>
      <c r="K631" s="2"/>
      <c r="L631" s="2"/>
      <c r="M631" s="2"/>
      <c r="N631" s="2"/>
      <c r="O631" s="2"/>
    </row>
    <row r="632" spans="1:15" s="3" customFormat="1">
      <c r="A632" s="4"/>
      <c r="C632" s="2"/>
      <c r="D632" s="2"/>
      <c r="E632" s="2"/>
      <c r="F632" s="2"/>
      <c r="G632" s="2"/>
      <c r="H632" s="2"/>
      <c r="I632" s="2"/>
      <c r="J632" s="2"/>
      <c r="K632" s="2"/>
      <c r="L632" s="2"/>
      <c r="M632" s="2"/>
      <c r="N632" s="2"/>
      <c r="O632" s="2"/>
    </row>
    <row r="633" spans="1:15" s="3" customFormat="1">
      <c r="A633" s="4"/>
      <c r="C633" s="2"/>
      <c r="D633" s="2"/>
      <c r="E633" s="2"/>
      <c r="F633" s="2"/>
      <c r="G633" s="2"/>
      <c r="H633" s="2"/>
      <c r="I633" s="2"/>
      <c r="J633" s="2"/>
      <c r="K633" s="2"/>
      <c r="L633" s="2"/>
      <c r="M633" s="2"/>
      <c r="N633" s="2"/>
      <c r="O633" s="2"/>
    </row>
    <row r="634" spans="1:15" s="3" customFormat="1">
      <c r="A634" s="4"/>
      <c r="C634" s="2"/>
      <c r="D634" s="2"/>
      <c r="E634" s="2"/>
      <c r="F634" s="2"/>
      <c r="G634" s="2"/>
      <c r="H634" s="2"/>
      <c r="I634" s="2"/>
      <c r="J634" s="2"/>
      <c r="K634" s="2"/>
      <c r="L634" s="2"/>
      <c r="M634" s="2"/>
      <c r="N634" s="2"/>
      <c r="O634" s="2"/>
    </row>
    <row r="635" spans="1:15" s="3" customFormat="1">
      <c r="A635" s="4"/>
      <c r="C635" s="2"/>
      <c r="D635" s="2"/>
      <c r="E635" s="2"/>
      <c r="F635" s="2"/>
      <c r="G635" s="2"/>
      <c r="H635" s="2"/>
      <c r="I635" s="2"/>
      <c r="J635" s="2"/>
      <c r="K635" s="2"/>
      <c r="L635" s="2"/>
      <c r="M635" s="2"/>
      <c r="N635" s="2"/>
      <c r="O635" s="2"/>
    </row>
    <row r="636" spans="1:15" s="3" customFormat="1">
      <c r="A636" s="4"/>
      <c r="C636" s="2"/>
      <c r="D636" s="2"/>
      <c r="E636" s="2"/>
      <c r="F636" s="2"/>
      <c r="G636" s="2"/>
      <c r="H636" s="2"/>
      <c r="I636" s="2"/>
      <c r="J636" s="2"/>
      <c r="K636" s="2"/>
      <c r="L636" s="2"/>
      <c r="M636" s="2"/>
      <c r="N636" s="2"/>
      <c r="O636" s="2"/>
    </row>
    <row r="637" spans="1:15" s="3" customFormat="1">
      <c r="A637" s="4"/>
      <c r="C637" s="2"/>
      <c r="D637" s="2"/>
      <c r="E637" s="2"/>
      <c r="F637" s="2"/>
      <c r="G637" s="2"/>
      <c r="H637" s="2"/>
      <c r="I637" s="2"/>
      <c r="J637" s="2"/>
      <c r="K637" s="2"/>
      <c r="L637" s="2"/>
      <c r="M637" s="2"/>
      <c r="N637" s="2"/>
      <c r="O637" s="2"/>
    </row>
    <row r="638" spans="1:15" s="3" customFormat="1">
      <c r="A638" s="4"/>
      <c r="C638" s="2"/>
      <c r="D638" s="2"/>
      <c r="E638" s="2"/>
      <c r="F638" s="2"/>
      <c r="G638" s="2"/>
      <c r="H638" s="2"/>
      <c r="I638" s="2"/>
      <c r="J638" s="2"/>
      <c r="K638" s="2"/>
      <c r="L638" s="2"/>
      <c r="M638" s="2"/>
      <c r="N638" s="2"/>
      <c r="O638" s="2"/>
    </row>
    <row r="639" spans="1:15" s="3" customFormat="1">
      <c r="A639" s="4"/>
      <c r="C639" s="2"/>
      <c r="D639" s="2"/>
      <c r="E639" s="2"/>
      <c r="F639" s="2"/>
      <c r="G639" s="2"/>
      <c r="H639" s="2"/>
      <c r="I639" s="2"/>
      <c r="J639" s="2"/>
      <c r="K639" s="2"/>
      <c r="L639" s="2"/>
      <c r="M639" s="2"/>
      <c r="N639" s="2"/>
      <c r="O639" s="2"/>
    </row>
    <row r="640" spans="1:15" s="3" customFormat="1">
      <c r="A640" s="4"/>
      <c r="C640" s="2"/>
      <c r="D640" s="2"/>
      <c r="E640" s="2"/>
      <c r="F640" s="2"/>
      <c r="G640" s="2"/>
      <c r="H640" s="2"/>
      <c r="I640" s="2"/>
      <c r="J640" s="2"/>
      <c r="K640" s="2"/>
      <c r="L640" s="2"/>
      <c r="M640" s="2"/>
      <c r="N640" s="2"/>
      <c r="O640" s="2"/>
    </row>
    <row r="641" spans="1:15" s="3" customFormat="1">
      <c r="A641" s="4"/>
      <c r="C641" s="2"/>
      <c r="D641" s="2"/>
      <c r="E641" s="2"/>
      <c r="F641" s="2"/>
      <c r="G641" s="2"/>
      <c r="H641" s="2"/>
      <c r="I641" s="2"/>
      <c r="J641" s="2"/>
      <c r="K641" s="2"/>
      <c r="L641" s="2"/>
      <c r="M641" s="2"/>
      <c r="N641" s="2"/>
      <c r="O641" s="2"/>
    </row>
    <row r="642" spans="1:15" s="3" customFormat="1">
      <c r="A642" s="4"/>
      <c r="C642" s="2"/>
      <c r="D642" s="2"/>
      <c r="E642" s="2"/>
      <c r="F642" s="2"/>
      <c r="G642" s="2"/>
      <c r="H642" s="2"/>
      <c r="I642" s="2"/>
      <c r="J642" s="2"/>
      <c r="K642" s="2"/>
      <c r="L642" s="2"/>
      <c r="M642" s="2"/>
      <c r="N642" s="2"/>
      <c r="O642" s="2"/>
    </row>
    <row r="643" spans="1:15" s="3" customFormat="1">
      <c r="A643" s="4"/>
      <c r="C643" s="2"/>
      <c r="D643" s="2"/>
      <c r="E643" s="2"/>
      <c r="F643" s="2"/>
      <c r="G643" s="2"/>
      <c r="H643" s="2"/>
      <c r="I643" s="2"/>
      <c r="J643" s="2"/>
      <c r="K643" s="2"/>
      <c r="L643" s="2"/>
      <c r="M643" s="2"/>
      <c r="N643" s="2"/>
      <c r="O643" s="2"/>
    </row>
    <row r="644" spans="1:15" s="3" customFormat="1">
      <c r="A644" s="4"/>
      <c r="C644" s="2"/>
      <c r="D644" s="2"/>
      <c r="E644" s="2"/>
      <c r="F644" s="2"/>
      <c r="G644" s="2"/>
      <c r="H644" s="2"/>
      <c r="I644" s="2"/>
      <c r="J644" s="2"/>
      <c r="K644" s="2"/>
      <c r="L644" s="2"/>
      <c r="M644" s="2"/>
      <c r="N644" s="2"/>
      <c r="O644" s="2"/>
    </row>
    <row r="645" spans="1:15" s="3" customFormat="1">
      <c r="A645" s="4"/>
      <c r="C645" s="2"/>
      <c r="D645" s="2"/>
      <c r="E645" s="2"/>
      <c r="F645" s="2"/>
      <c r="G645" s="2"/>
      <c r="H645" s="2"/>
      <c r="I645" s="2"/>
      <c r="J645" s="2"/>
      <c r="K645" s="2"/>
      <c r="L645" s="2"/>
      <c r="M645" s="2"/>
      <c r="N645" s="2"/>
      <c r="O645" s="2"/>
    </row>
    <row r="646" spans="1:15" s="3" customFormat="1">
      <c r="A646" s="4"/>
      <c r="C646" s="2"/>
      <c r="D646" s="2"/>
      <c r="E646" s="2"/>
      <c r="F646" s="2"/>
      <c r="G646" s="2"/>
      <c r="H646" s="2"/>
      <c r="I646" s="2"/>
      <c r="J646" s="2"/>
      <c r="K646" s="2"/>
      <c r="L646" s="2"/>
      <c r="M646" s="2"/>
      <c r="N646" s="2"/>
      <c r="O646" s="2"/>
    </row>
    <row r="647" spans="1:15" s="3" customFormat="1">
      <c r="A647" s="4"/>
      <c r="C647" s="2"/>
      <c r="D647" s="2"/>
      <c r="E647" s="2"/>
      <c r="F647" s="2"/>
      <c r="G647" s="2"/>
      <c r="H647" s="2"/>
      <c r="I647" s="2"/>
      <c r="J647" s="2"/>
      <c r="K647" s="2"/>
      <c r="L647" s="2"/>
      <c r="M647" s="2"/>
      <c r="N647" s="2"/>
      <c r="O647" s="2"/>
    </row>
    <row r="648" spans="1:15" s="3" customFormat="1">
      <c r="A648" s="4"/>
      <c r="C648" s="2"/>
      <c r="D648" s="2"/>
      <c r="E648" s="2"/>
      <c r="F648" s="2"/>
      <c r="G648" s="2"/>
      <c r="H648" s="2"/>
      <c r="I648" s="2"/>
      <c r="J648" s="2"/>
      <c r="K648" s="2"/>
      <c r="L648" s="2"/>
      <c r="M648" s="2"/>
      <c r="N648" s="2"/>
      <c r="O648" s="2"/>
    </row>
    <row r="649" spans="1:15" s="3" customFormat="1">
      <c r="A649" s="4"/>
      <c r="C649" s="2"/>
      <c r="D649" s="2"/>
      <c r="E649" s="2"/>
      <c r="F649" s="2"/>
      <c r="G649" s="2"/>
      <c r="H649" s="2"/>
      <c r="I649" s="2"/>
      <c r="J649" s="2"/>
      <c r="K649" s="2"/>
      <c r="L649" s="2"/>
      <c r="M649" s="2"/>
      <c r="N649" s="2"/>
      <c r="O649" s="2"/>
    </row>
    <row r="650" spans="1:15" s="3" customFormat="1">
      <c r="A650" s="4"/>
      <c r="C650" s="2"/>
      <c r="D650" s="2"/>
      <c r="E650" s="2"/>
      <c r="F650" s="2"/>
      <c r="G650" s="2"/>
      <c r="H650" s="2"/>
      <c r="I650" s="2"/>
      <c r="J650" s="2"/>
      <c r="K650" s="2"/>
      <c r="L650" s="2"/>
      <c r="M650" s="2"/>
      <c r="N650" s="2"/>
      <c r="O650" s="2"/>
    </row>
    <row r="651" spans="1:15" s="3" customFormat="1">
      <c r="A651" s="4"/>
      <c r="C651" s="2"/>
      <c r="D651" s="2"/>
      <c r="E651" s="2"/>
      <c r="F651" s="2"/>
      <c r="G651" s="2"/>
      <c r="H651" s="2"/>
      <c r="I651" s="2"/>
      <c r="J651" s="2"/>
      <c r="K651" s="2"/>
      <c r="L651" s="2"/>
      <c r="M651" s="2"/>
      <c r="N651" s="2"/>
      <c r="O651" s="2"/>
    </row>
    <row r="652" spans="1:15" s="3" customFormat="1">
      <c r="A652" s="4"/>
      <c r="C652" s="2"/>
      <c r="D652" s="2"/>
      <c r="E652" s="2"/>
      <c r="F652" s="2"/>
      <c r="G652" s="2"/>
      <c r="H652" s="2"/>
      <c r="I652" s="2"/>
      <c r="J652" s="2"/>
      <c r="K652" s="2"/>
      <c r="L652" s="2"/>
      <c r="M652" s="2"/>
      <c r="N652" s="2"/>
      <c r="O652" s="2"/>
    </row>
    <row r="653" spans="1:15" s="3" customFormat="1">
      <c r="A653" s="4"/>
      <c r="C653" s="2"/>
      <c r="D653" s="2"/>
      <c r="E653" s="2"/>
      <c r="F653" s="2"/>
      <c r="G653" s="2"/>
      <c r="H653" s="2"/>
      <c r="I653" s="2"/>
      <c r="J653" s="2"/>
      <c r="K653" s="2"/>
      <c r="L653" s="2"/>
      <c r="M653" s="2"/>
      <c r="N653" s="2"/>
      <c r="O653" s="2"/>
    </row>
    <row r="654" spans="1:15" s="3" customFormat="1">
      <c r="A654" s="4"/>
      <c r="C654" s="2"/>
      <c r="D654" s="2"/>
      <c r="E654" s="2"/>
      <c r="F654" s="2"/>
      <c r="G654" s="2"/>
      <c r="H654" s="2"/>
      <c r="I654" s="2"/>
      <c r="J654" s="2"/>
      <c r="K654" s="2"/>
      <c r="L654" s="2"/>
      <c r="M654" s="2"/>
      <c r="N654" s="2"/>
      <c r="O654" s="2"/>
    </row>
    <row r="655" spans="1:15" s="3" customFormat="1">
      <c r="A655" s="4"/>
      <c r="C655" s="2"/>
      <c r="D655" s="2"/>
      <c r="E655" s="2"/>
      <c r="F655" s="2"/>
      <c r="G655" s="2"/>
      <c r="H655" s="2"/>
      <c r="I655" s="2"/>
      <c r="J655" s="2"/>
      <c r="K655" s="2"/>
      <c r="L655" s="2"/>
      <c r="M655" s="2"/>
      <c r="N655" s="2"/>
      <c r="O655" s="2"/>
    </row>
    <row r="656" spans="1:15" s="3" customFormat="1">
      <c r="A656" s="4"/>
      <c r="C656" s="2"/>
      <c r="D656" s="2"/>
      <c r="E656" s="2"/>
      <c r="F656" s="2"/>
      <c r="G656" s="2"/>
      <c r="H656" s="2"/>
      <c r="I656" s="2"/>
      <c r="J656" s="2"/>
      <c r="K656" s="2"/>
      <c r="L656" s="2"/>
      <c r="M656" s="2"/>
      <c r="N656" s="2"/>
      <c r="O656" s="2"/>
    </row>
    <row r="657" spans="1:15" s="3" customFormat="1">
      <c r="A657" s="4"/>
      <c r="C657" s="2"/>
      <c r="D657" s="2"/>
      <c r="E657" s="2"/>
      <c r="F657" s="2"/>
      <c r="G657" s="2"/>
      <c r="H657" s="2"/>
      <c r="I657" s="2"/>
      <c r="J657" s="2"/>
      <c r="K657" s="2"/>
      <c r="L657" s="2"/>
      <c r="M657" s="2"/>
      <c r="N657" s="2"/>
      <c r="O657" s="2"/>
    </row>
    <row r="658" spans="1:15" s="3" customFormat="1">
      <c r="A658" s="4"/>
      <c r="C658" s="2"/>
      <c r="D658" s="2"/>
      <c r="E658" s="2"/>
      <c r="F658" s="2"/>
      <c r="G658" s="2"/>
      <c r="H658" s="2"/>
      <c r="I658" s="2"/>
      <c r="J658" s="2"/>
      <c r="K658" s="2"/>
      <c r="L658" s="2"/>
      <c r="M658" s="2"/>
      <c r="N658" s="2"/>
      <c r="O658" s="2"/>
    </row>
    <row r="659" spans="1:15" s="3" customFormat="1">
      <c r="A659" s="4"/>
      <c r="C659" s="2"/>
      <c r="D659" s="2"/>
      <c r="E659" s="2"/>
      <c r="F659" s="2"/>
      <c r="G659" s="2"/>
      <c r="H659" s="2"/>
      <c r="I659" s="2"/>
      <c r="J659" s="2"/>
      <c r="K659" s="2"/>
      <c r="L659" s="2"/>
      <c r="M659" s="2"/>
      <c r="N659" s="2"/>
      <c r="O659" s="2"/>
    </row>
    <row r="660" spans="1:15" s="3" customFormat="1">
      <c r="A660" s="4"/>
      <c r="C660" s="2"/>
      <c r="D660" s="2"/>
      <c r="E660" s="2"/>
      <c r="F660" s="2"/>
      <c r="G660" s="2"/>
      <c r="H660" s="2"/>
      <c r="I660" s="2"/>
      <c r="J660" s="2"/>
      <c r="K660" s="2"/>
      <c r="L660" s="2"/>
      <c r="M660" s="2"/>
      <c r="N660" s="2"/>
      <c r="O660" s="2"/>
    </row>
    <row r="661" spans="1:15" s="3" customFormat="1">
      <c r="A661" s="4"/>
      <c r="C661" s="2"/>
      <c r="D661" s="2"/>
      <c r="E661" s="2"/>
      <c r="F661" s="2"/>
      <c r="G661" s="2"/>
      <c r="H661" s="2"/>
      <c r="I661" s="2"/>
      <c r="J661" s="2"/>
      <c r="K661" s="2"/>
      <c r="L661" s="2"/>
      <c r="M661" s="2"/>
      <c r="N661" s="2"/>
      <c r="O661" s="2"/>
    </row>
    <row r="662" spans="1:15" s="3" customFormat="1">
      <c r="A662" s="4"/>
      <c r="C662" s="2"/>
      <c r="D662" s="2"/>
      <c r="E662" s="2"/>
      <c r="F662" s="2"/>
      <c r="G662" s="2"/>
      <c r="H662" s="2"/>
      <c r="I662" s="2"/>
      <c r="J662" s="2"/>
      <c r="K662" s="2"/>
      <c r="L662" s="2"/>
      <c r="M662" s="2"/>
      <c r="N662" s="2"/>
      <c r="O662" s="2"/>
    </row>
    <row r="663" spans="1:15" s="3" customFormat="1">
      <c r="A663" s="4"/>
      <c r="C663" s="2"/>
      <c r="D663" s="2"/>
      <c r="E663" s="2"/>
      <c r="F663" s="2"/>
      <c r="G663" s="2"/>
      <c r="H663" s="2"/>
      <c r="I663" s="2"/>
      <c r="J663" s="2"/>
      <c r="K663" s="2"/>
      <c r="L663" s="2"/>
      <c r="M663" s="2"/>
      <c r="N663" s="2"/>
      <c r="O663" s="2"/>
    </row>
    <row r="664" spans="1:15" s="3" customFormat="1">
      <c r="A664" s="4"/>
      <c r="C664" s="2"/>
      <c r="D664" s="2"/>
      <c r="E664" s="2"/>
      <c r="F664" s="2"/>
      <c r="G664" s="2"/>
      <c r="H664" s="2"/>
      <c r="I664" s="2"/>
      <c r="J664" s="2"/>
      <c r="K664" s="2"/>
      <c r="L664" s="2"/>
      <c r="M664" s="2"/>
      <c r="N664" s="2"/>
      <c r="O664" s="2"/>
    </row>
    <row r="665" spans="1:15" s="3" customFormat="1">
      <c r="A665" s="4"/>
      <c r="C665" s="2"/>
      <c r="D665" s="2"/>
      <c r="E665" s="2"/>
      <c r="F665" s="2"/>
      <c r="G665" s="2"/>
      <c r="H665" s="2"/>
      <c r="I665" s="2"/>
      <c r="J665" s="2"/>
      <c r="K665" s="2"/>
      <c r="L665" s="2"/>
      <c r="M665" s="2"/>
      <c r="N665" s="2"/>
      <c r="O665" s="2"/>
    </row>
    <row r="666" spans="1:15" s="3" customFormat="1">
      <c r="A666" s="4"/>
      <c r="C666" s="2"/>
      <c r="D666" s="2"/>
      <c r="E666" s="2"/>
      <c r="F666" s="2"/>
      <c r="G666" s="2"/>
      <c r="H666" s="2"/>
      <c r="I666" s="2"/>
      <c r="J666" s="2"/>
      <c r="K666" s="2"/>
      <c r="L666" s="2"/>
      <c r="M666" s="2"/>
      <c r="N666" s="2"/>
      <c r="O666" s="2"/>
    </row>
    <row r="667" spans="1:15" s="3" customFormat="1">
      <c r="A667" s="4"/>
      <c r="C667" s="2"/>
      <c r="D667" s="2"/>
      <c r="E667" s="2"/>
      <c r="F667" s="2"/>
      <c r="G667" s="2"/>
      <c r="H667" s="2"/>
      <c r="I667" s="2"/>
      <c r="J667" s="2"/>
      <c r="K667" s="2"/>
      <c r="L667" s="2"/>
      <c r="M667" s="2"/>
      <c r="N667" s="2"/>
      <c r="O667" s="2"/>
    </row>
    <row r="668" spans="1:15" s="3" customFormat="1">
      <c r="A668" s="4"/>
      <c r="C668" s="2"/>
      <c r="D668" s="2"/>
      <c r="E668" s="2"/>
      <c r="F668" s="2"/>
      <c r="G668" s="2"/>
      <c r="H668" s="2"/>
      <c r="I668" s="2"/>
      <c r="J668" s="2"/>
      <c r="K668" s="2"/>
      <c r="L668" s="2"/>
      <c r="M668" s="2"/>
      <c r="N668" s="2"/>
      <c r="O668" s="2"/>
    </row>
    <row r="669" spans="1:15" s="3" customFormat="1">
      <c r="A669" s="4"/>
      <c r="C669" s="2"/>
      <c r="D669" s="2"/>
      <c r="E669" s="2"/>
      <c r="F669" s="2"/>
      <c r="G669" s="2"/>
      <c r="H669" s="2"/>
      <c r="I669" s="2"/>
      <c r="J669" s="2"/>
      <c r="K669" s="2"/>
      <c r="L669" s="2"/>
      <c r="M669" s="2"/>
      <c r="N669" s="2"/>
      <c r="O669" s="2"/>
    </row>
    <row r="670" spans="1:15" s="3" customFormat="1">
      <c r="A670" s="4"/>
      <c r="C670" s="2"/>
      <c r="D670" s="2"/>
      <c r="E670" s="2"/>
      <c r="F670" s="2"/>
      <c r="G670" s="2"/>
      <c r="H670" s="2"/>
      <c r="I670" s="2"/>
      <c r="J670" s="2"/>
      <c r="K670" s="2"/>
      <c r="L670" s="2"/>
      <c r="M670" s="2"/>
      <c r="N670" s="2"/>
      <c r="O670" s="2"/>
    </row>
    <row r="671" spans="1:15" s="3" customFormat="1">
      <c r="A671" s="4"/>
      <c r="C671" s="2"/>
      <c r="D671" s="2"/>
      <c r="E671" s="2"/>
      <c r="F671" s="2"/>
      <c r="G671" s="2"/>
      <c r="H671" s="2"/>
      <c r="I671" s="2"/>
      <c r="J671" s="2"/>
      <c r="K671" s="2"/>
      <c r="L671" s="2"/>
      <c r="M671" s="2"/>
      <c r="N671" s="2"/>
      <c r="O671" s="2"/>
    </row>
    <row r="672" spans="1:15" s="3" customFormat="1">
      <c r="A672" s="4"/>
      <c r="C672" s="2"/>
      <c r="D672" s="2"/>
      <c r="E672" s="2"/>
      <c r="F672" s="2"/>
      <c r="G672" s="2"/>
      <c r="H672" s="2"/>
      <c r="I672" s="2"/>
      <c r="J672" s="2"/>
      <c r="K672" s="2"/>
      <c r="L672" s="2"/>
      <c r="M672" s="2"/>
      <c r="N672" s="2"/>
      <c r="O672" s="2"/>
    </row>
    <row r="673" spans="1:15" s="3" customFormat="1">
      <c r="A673" s="4"/>
      <c r="C673" s="2"/>
      <c r="D673" s="2"/>
      <c r="E673" s="2"/>
      <c r="F673" s="2"/>
      <c r="G673" s="2"/>
      <c r="H673" s="2"/>
      <c r="I673" s="2"/>
      <c r="J673" s="2"/>
      <c r="K673" s="2"/>
      <c r="L673" s="2"/>
      <c r="M673" s="2"/>
      <c r="N673" s="2"/>
      <c r="O673" s="2"/>
    </row>
    <row r="674" spans="1:15" s="3" customFormat="1">
      <c r="A674" s="4"/>
      <c r="C674" s="2"/>
      <c r="D674" s="2"/>
      <c r="E674" s="2"/>
      <c r="F674" s="2"/>
      <c r="G674" s="2"/>
      <c r="H674" s="2"/>
      <c r="I674" s="2"/>
      <c r="J674" s="2"/>
      <c r="K674" s="2"/>
      <c r="L674" s="2"/>
      <c r="M674" s="2"/>
      <c r="N674" s="2"/>
      <c r="O674" s="2"/>
    </row>
    <row r="675" spans="1:15" s="3" customFormat="1">
      <c r="A675" s="4"/>
      <c r="C675" s="2"/>
      <c r="D675" s="2"/>
      <c r="E675" s="2"/>
      <c r="F675" s="2"/>
      <c r="G675" s="2"/>
      <c r="H675" s="2"/>
      <c r="I675" s="2"/>
      <c r="J675" s="2"/>
      <c r="K675" s="2"/>
      <c r="L675" s="2"/>
      <c r="M675" s="2"/>
      <c r="N675" s="2"/>
      <c r="O675" s="2"/>
    </row>
    <row r="676" spans="1:15" s="3" customFormat="1">
      <c r="A676" s="4"/>
      <c r="C676" s="2"/>
      <c r="D676" s="2"/>
      <c r="E676" s="2"/>
      <c r="F676" s="2"/>
      <c r="G676" s="2"/>
      <c r="H676" s="2"/>
      <c r="I676" s="2"/>
      <c r="J676" s="2"/>
      <c r="K676" s="2"/>
      <c r="L676" s="2"/>
      <c r="M676" s="2"/>
      <c r="N676" s="2"/>
      <c r="O676" s="2"/>
    </row>
    <row r="677" spans="1:15" s="3" customFormat="1">
      <c r="A677" s="4"/>
      <c r="C677" s="2"/>
      <c r="D677" s="2"/>
      <c r="E677" s="2"/>
      <c r="F677" s="2"/>
      <c r="G677" s="2"/>
      <c r="H677" s="2"/>
      <c r="I677" s="2"/>
      <c r="J677" s="2"/>
      <c r="K677" s="2"/>
      <c r="L677" s="2"/>
      <c r="M677" s="2"/>
      <c r="N677" s="2"/>
      <c r="O677" s="2"/>
    </row>
    <row r="678" spans="1:15" s="3" customFormat="1">
      <c r="A678" s="4"/>
      <c r="C678" s="2"/>
      <c r="D678" s="2"/>
      <c r="E678" s="2"/>
      <c r="F678" s="2"/>
      <c r="G678" s="2"/>
      <c r="H678" s="2"/>
      <c r="I678" s="2"/>
      <c r="J678" s="2"/>
      <c r="K678" s="2"/>
      <c r="L678" s="2"/>
      <c r="M678" s="2"/>
      <c r="N678" s="2"/>
      <c r="O678" s="2"/>
    </row>
    <row r="679" spans="1:15" s="3" customFormat="1">
      <c r="A679" s="4"/>
      <c r="C679" s="2"/>
      <c r="D679" s="2"/>
      <c r="E679" s="2"/>
      <c r="F679" s="2"/>
      <c r="G679" s="2"/>
      <c r="H679" s="2"/>
      <c r="I679" s="2"/>
      <c r="J679" s="2"/>
      <c r="K679" s="2"/>
      <c r="L679" s="2"/>
      <c r="M679" s="2"/>
      <c r="N679" s="2"/>
      <c r="O679" s="2"/>
    </row>
    <row r="680" spans="1:15" s="3" customFormat="1">
      <c r="A680" s="4"/>
      <c r="C680" s="2"/>
      <c r="D680" s="2"/>
      <c r="E680" s="2"/>
      <c r="F680" s="2"/>
      <c r="G680" s="2"/>
      <c r="H680" s="2"/>
      <c r="I680" s="2"/>
      <c r="J680" s="2"/>
      <c r="K680" s="2"/>
      <c r="L680" s="2"/>
      <c r="M680" s="2"/>
      <c r="N680" s="2"/>
      <c r="O680" s="2"/>
    </row>
    <row r="681" spans="1:15" s="3" customFormat="1">
      <c r="A681" s="4"/>
      <c r="C681" s="2"/>
      <c r="D681" s="2"/>
      <c r="E681" s="2"/>
      <c r="F681" s="2"/>
      <c r="G681" s="2"/>
      <c r="H681" s="2"/>
      <c r="I681" s="2"/>
      <c r="J681" s="2"/>
      <c r="K681" s="2"/>
      <c r="L681" s="2"/>
      <c r="M681" s="2"/>
      <c r="N681" s="2"/>
      <c r="O681" s="2"/>
    </row>
    <row r="682" spans="1:15" s="3" customFormat="1">
      <c r="A682" s="4"/>
      <c r="C682" s="2"/>
      <c r="D682" s="2"/>
      <c r="E682" s="2"/>
      <c r="F682" s="2"/>
      <c r="G682" s="2"/>
      <c r="H682" s="2"/>
      <c r="I682" s="2"/>
      <c r="J682" s="2"/>
      <c r="K682" s="2"/>
      <c r="L682" s="2"/>
      <c r="M682" s="2"/>
      <c r="N682" s="2"/>
      <c r="O682" s="2"/>
    </row>
    <row r="683" spans="1:15" s="3" customFormat="1">
      <c r="A683" s="4"/>
      <c r="C683" s="2"/>
      <c r="D683" s="2"/>
      <c r="E683" s="2"/>
      <c r="F683" s="2"/>
      <c r="G683" s="2"/>
      <c r="H683" s="2"/>
      <c r="I683" s="2"/>
      <c r="J683" s="2"/>
      <c r="K683" s="2"/>
      <c r="L683" s="2"/>
      <c r="M683" s="2"/>
      <c r="N683" s="2"/>
      <c r="O683" s="2"/>
    </row>
    <row r="684" spans="1:15" s="3" customFormat="1">
      <c r="A684" s="4"/>
      <c r="C684" s="2"/>
      <c r="D684" s="2"/>
      <c r="E684" s="2"/>
      <c r="F684" s="2"/>
      <c r="G684" s="2"/>
      <c r="H684" s="2"/>
      <c r="I684" s="2"/>
      <c r="J684" s="2"/>
      <c r="K684" s="2"/>
      <c r="L684" s="2"/>
      <c r="M684" s="2"/>
      <c r="N684" s="2"/>
      <c r="O684" s="2"/>
    </row>
    <row r="685" spans="1:15" s="3" customFormat="1">
      <c r="A685" s="4"/>
      <c r="C685" s="2"/>
      <c r="D685" s="2"/>
      <c r="E685" s="2"/>
      <c r="F685" s="2"/>
      <c r="G685" s="2"/>
      <c r="H685" s="2"/>
      <c r="I685" s="2"/>
      <c r="J685" s="2"/>
      <c r="K685" s="2"/>
      <c r="L685" s="2"/>
      <c r="M685" s="2"/>
      <c r="N685" s="2"/>
      <c r="O685" s="2"/>
    </row>
    <row r="686" spans="1:15" s="3" customFormat="1">
      <c r="A686" s="4"/>
      <c r="C686" s="2"/>
      <c r="D686" s="2"/>
      <c r="E686" s="2"/>
      <c r="F686" s="2"/>
      <c r="G686" s="2"/>
      <c r="H686" s="2"/>
      <c r="I686" s="2"/>
      <c r="J686" s="2"/>
      <c r="K686" s="2"/>
      <c r="L686" s="2"/>
      <c r="M686" s="2"/>
      <c r="N686" s="2"/>
      <c r="O686" s="2"/>
    </row>
    <row r="687" spans="1:15" s="3" customFormat="1">
      <c r="A687" s="4"/>
      <c r="C687" s="2"/>
      <c r="D687" s="2"/>
      <c r="E687" s="2"/>
      <c r="F687" s="2"/>
      <c r="G687" s="2"/>
      <c r="H687" s="2"/>
      <c r="I687" s="2"/>
      <c r="J687" s="2"/>
      <c r="K687" s="2"/>
      <c r="L687" s="2"/>
      <c r="M687" s="2"/>
      <c r="N687" s="2"/>
      <c r="O687" s="2"/>
    </row>
    <row r="688" spans="1:15" s="3" customFormat="1">
      <c r="A688" s="4"/>
      <c r="C688" s="2"/>
      <c r="D688" s="2"/>
      <c r="E688" s="2"/>
      <c r="F688" s="2"/>
      <c r="G688" s="2"/>
      <c r="H688" s="2"/>
      <c r="I688" s="2"/>
      <c r="J688" s="2"/>
      <c r="K688" s="2"/>
      <c r="L688" s="2"/>
      <c r="M688" s="2"/>
      <c r="N688" s="2"/>
      <c r="O688" s="2"/>
    </row>
    <row r="689" spans="1:15" s="3" customFormat="1">
      <c r="A689" s="4"/>
      <c r="C689" s="2"/>
      <c r="D689" s="2"/>
      <c r="E689" s="2"/>
      <c r="F689" s="2"/>
      <c r="G689" s="2"/>
      <c r="H689" s="2"/>
      <c r="I689" s="2"/>
      <c r="J689" s="2"/>
      <c r="K689" s="2"/>
      <c r="L689" s="2"/>
      <c r="M689" s="2"/>
      <c r="N689" s="2"/>
      <c r="O689" s="2"/>
    </row>
    <row r="690" spans="1:15" s="3" customFormat="1">
      <c r="A690" s="4"/>
      <c r="C690" s="2"/>
      <c r="D690" s="2"/>
      <c r="E690" s="2"/>
      <c r="F690" s="2"/>
      <c r="G690" s="2"/>
      <c r="H690" s="2"/>
      <c r="I690" s="2"/>
      <c r="J690" s="2"/>
      <c r="K690" s="2"/>
      <c r="L690" s="2"/>
      <c r="M690" s="2"/>
      <c r="N690" s="2"/>
      <c r="O690" s="2"/>
    </row>
    <row r="691" spans="1:15" s="3" customFormat="1">
      <c r="A691" s="4"/>
      <c r="C691" s="2"/>
      <c r="D691" s="2"/>
      <c r="E691" s="2"/>
      <c r="F691" s="2"/>
      <c r="G691" s="2"/>
      <c r="H691" s="2"/>
      <c r="I691" s="2"/>
      <c r="J691" s="2"/>
      <c r="K691" s="2"/>
      <c r="L691" s="2"/>
      <c r="M691" s="2"/>
      <c r="N691" s="2"/>
      <c r="O691" s="2"/>
    </row>
    <row r="692" spans="1:15" s="3" customFormat="1">
      <c r="A692" s="4"/>
      <c r="C692" s="2"/>
      <c r="D692" s="2"/>
      <c r="E692" s="2"/>
      <c r="F692" s="2"/>
      <c r="G692" s="2"/>
      <c r="H692" s="2"/>
      <c r="I692" s="2"/>
      <c r="J692" s="2"/>
      <c r="K692" s="2"/>
      <c r="L692" s="2"/>
      <c r="M692" s="2"/>
      <c r="N692" s="2"/>
      <c r="O692" s="2"/>
    </row>
    <row r="693" spans="1:15" s="3" customFormat="1">
      <c r="A693" s="4"/>
      <c r="C693" s="2"/>
      <c r="D693" s="2"/>
      <c r="E693" s="2"/>
      <c r="F693" s="2"/>
      <c r="G693" s="2"/>
      <c r="H693" s="2"/>
      <c r="I693" s="2"/>
      <c r="J693" s="2"/>
      <c r="K693" s="2"/>
      <c r="L693" s="2"/>
      <c r="M693" s="2"/>
      <c r="N693" s="2"/>
      <c r="O693" s="2"/>
    </row>
    <row r="694" spans="1:15" s="3" customFormat="1">
      <c r="A694" s="4"/>
      <c r="C694" s="2"/>
      <c r="D694" s="2"/>
      <c r="E694" s="2"/>
      <c r="F694" s="2"/>
      <c r="G694" s="2"/>
      <c r="H694" s="2"/>
      <c r="I694" s="2"/>
      <c r="J694" s="2"/>
      <c r="K694" s="2"/>
      <c r="L694" s="2"/>
      <c r="M694" s="2"/>
      <c r="N694" s="2"/>
      <c r="O694" s="2"/>
    </row>
    <row r="695" spans="1:15" s="3" customFormat="1">
      <c r="A695" s="4"/>
      <c r="C695" s="2"/>
      <c r="D695" s="2"/>
      <c r="E695" s="2"/>
      <c r="F695" s="2"/>
      <c r="G695" s="2"/>
      <c r="H695" s="2"/>
      <c r="I695" s="2"/>
      <c r="J695" s="2"/>
      <c r="K695" s="2"/>
      <c r="L695" s="2"/>
      <c r="M695" s="2"/>
      <c r="N695" s="2"/>
      <c r="O695" s="2"/>
    </row>
    <row r="696" spans="1:15" s="3" customFormat="1">
      <c r="A696" s="4"/>
      <c r="C696" s="2"/>
      <c r="D696" s="2"/>
      <c r="E696" s="2"/>
      <c r="F696" s="2"/>
      <c r="G696" s="2"/>
      <c r="H696" s="2"/>
      <c r="I696" s="2"/>
      <c r="J696" s="2"/>
      <c r="K696" s="2"/>
      <c r="L696" s="2"/>
      <c r="M696" s="2"/>
      <c r="N696" s="2"/>
      <c r="O696" s="2"/>
    </row>
    <row r="697" spans="1:15" s="3" customFormat="1">
      <c r="A697" s="4"/>
      <c r="C697" s="2"/>
      <c r="D697" s="2"/>
      <c r="E697" s="2"/>
      <c r="F697" s="2"/>
      <c r="G697" s="2"/>
      <c r="H697" s="2"/>
      <c r="I697" s="2"/>
      <c r="J697" s="2"/>
      <c r="K697" s="2"/>
      <c r="L697" s="2"/>
      <c r="M697" s="2"/>
      <c r="N697" s="2"/>
      <c r="O697" s="2"/>
    </row>
    <row r="698" spans="1:15" s="3" customFormat="1">
      <c r="A698" s="4"/>
      <c r="C698" s="2"/>
      <c r="D698" s="2"/>
      <c r="E698" s="2"/>
      <c r="F698" s="2"/>
      <c r="G698" s="2"/>
      <c r="H698" s="2"/>
      <c r="I698" s="2"/>
      <c r="J698" s="2"/>
      <c r="K698" s="2"/>
      <c r="L698" s="2"/>
      <c r="M698" s="2"/>
      <c r="N698" s="2"/>
      <c r="O698" s="2"/>
    </row>
    <row r="699" spans="1:15" s="3" customFormat="1">
      <c r="A699" s="4"/>
      <c r="C699" s="2"/>
      <c r="D699" s="2"/>
      <c r="E699" s="2"/>
      <c r="F699" s="2"/>
      <c r="G699" s="2"/>
      <c r="H699" s="2"/>
      <c r="I699" s="2"/>
      <c r="J699" s="2"/>
      <c r="K699" s="2"/>
      <c r="L699" s="2"/>
      <c r="M699" s="2"/>
      <c r="N699" s="2"/>
      <c r="O699" s="2"/>
    </row>
    <row r="700" spans="1:15" s="3" customFormat="1">
      <c r="A700" s="4"/>
      <c r="C700" s="2"/>
      <c r="D700" s="2"/>
      <c r="E700" s="2"/>
      <c r="F700" s="2"/>
      <c r="G700" s="2"/>
      <c r="H700" s="2"/>
      <c r="I700" s="2"/>
      <c r="J700" s="2"/>
      <c r="K700" s="2"/>
      <c r="L700" s="2"/>
      <c r="M700" s="2"/>
      <c r="N700" s="2"/>
      <c r="O700" s="2"/>
    </row>
    <row r="701" spans="1:15" s="3" customFormat="1">
      <c r="A701" s="4"/>
      <c r="C701" s="2"/>
      <c r="D701" s="2"/>
      <c r="E701" s="2"/>
      <c r="F701" s="2"/>
      <c r="G701" s="2"/>
      <c r="H701" s="2"/>
      <c r="I701" s="2"/>
      <c r="J701" s="2"/>
      <c r="K701" s="2"/>
      <c r="L701" s="2"/>
      <c r="M701" s="2"/>
      <c r="N701" s="2"/>
      <c r="O701" s="2"/>
    </row>
    <row r="702" spans="1:15" s="3" customFormat="1">
      <c r="A702" s="4"/>
      <c r="C702" s="2"/>
      <c r="D702" s="2"/>
      <c r="E702" s="2"/>
      <c r="F702" s="2"/>
      <c r="G702" s="2"/>
      <c r="H702" s="2"/>
      <c r="I702" s="2"/>
      <c r="J702" s="2"/>
      <c r="K702" s="2"/>
      <c r="L702" s="2"/>
      <c r="M702" s="2"/>
      <c r="N702" s="2"/>
      <c r="O702" s="2"/>
    </row>
    <row r="703" spans="1:15" s="3" customFormat="1">
      <c r="A703" s="4"/>
      <c r="C703" s="2"/>
      <c r="D703" s="2"/>
      <c r="E703" s="2"/>
      <c r="F703" s="2"/>
      <c r="G703" s="2"/>
      <c r="H703" s="2"/>
      <c r="I703" s="2"/>
      <c r="J703" s="2"/>
      <c r="K703" s="2"/>
      <c r="L703" s="2"/>
      <c r="M703" s="2"/>
      <c r="N703" s="2"/>
      <c r="O703" s="2"/>
    </row>
    <row r="704" spans="1:15" s="3" customFormat="1">
      <c r="A704" s="4"/>
      <c r="C704" s="2"/>
      <c r="D704" s="2"/>
      <c r="E704" s="2"/>
      <c r="F704" s="2"/>
      <c r="G704" s="2"/>
      <c r="H704" s="2"/>
      <c r="I704" s="2"/>
      <c r="J704" s="2"/>
      <c r="K704" s="2"/>
      <c r="L704" s="2"/>
      <c r="M704" s="2"/>
      <c r="N704" s="2"/>
      <c r="O704" s="2"/>
    </row>
    <row r="705" spans="1:15" s="3" customFormat="1">
      <c r="A705" s="4"/>
      <c r="C705" s="2"/>
      <c r="D705" s="2"/>
      <c r="E705" s="2"/>
      <c r="F705" s="2"/>
      <c r="G705" s="2"/>
      <c r="H705" s="2"/>
      <c r="I705" s="2"/>
      <c r="J705" s="2"/>
      <c r="K705" s="2"/>
      <c r="L705" s="2"/>
      <c r="M705" s="2"/>
      <c r="N705" s="2"/>
      <c r="O705" s="2"/>
    </row>
    <row r="706" spans="1:15" s="3" customFormat="1">
      <c r="A706" s="4"/>
      <c r="C706" s="2"/>
      <c r="D706" s="2"/>
      <c r="E706" s="2"/>
      <c r="F706" s="2"/>
      <c r="G706" s="2"/>
      <c r="H706" s="2"/>
      <c r="I706" s="2"/>
      <c r="J706" s="2"/>
      <c r="K706" s="2"/>
      <c r="L706" s="2"/>
      <c r="M706" s="2"/>
      <c r="N706" s="2"/>
      <c r="O706" s="2"/>
    </row>
    <row r="707" spans="1:15" s="3" customFormat="1">
      <c r="A707" s="4"/>
      <c r="C707" s="2"/>
      <c r="D707" s="2"/>
      <c r="E707" s="2"/>
      <c r="F707" s="2"/>
      <c r="G707" s="2"/>
      <c r="H707" s="2"/>
      <c r="I707" s="2"/>
      <c r="J707" s="2"/>
      <c r="K707" s="2"/>
      <c r="L707" s="2"/>
      <c r="M707" s="2"/>
      <c r="N707" s="2"/>
      <c r="O707" s="2"/>
    </row>
    <row r="708" spans="1:15" s="3" customFormat="1">
      <c r="A708" s="4"/>
      <c r="C708" s="2"/>
      <c r="D708" s="2"/>
      <c r="E708" s="2"/>
      <c r="F708" s="2"/>
      <c r="G708" s="2"/>
      <c r="H708" s="2"/>
      <c r="I708" s="2"/>
      <c r="J708" s="2"/>
      <c r="K708" s="2"/>
      <c r="L708" s="2"/>
      <c r="M708" s="2"/>
      <c r="N708" s="2"/>
      <c r="O708" s="2"/>
    </row>
    <row r="709" spans="1:15" s="3" customFormat="1">
      <c r="A709" s="4"/>
      <c r="C709" s="2"/>
      <c r="D709" s="2"/>
      <c r="E709" s="2"/>
      <c r="F709" s="2"/>
      <c r="G709" s="2"/>
      <c r="H709" s="2"/>
      <c r="I709" s="2"/>
      <c r="J709" s="2"/>
      <c r="K709" s="2"/>
      <c r="L709" s="2"/>
      <c r="M709" s="2"/>
      <c r="N709" s="2"/>
      <c r="O709" s="2"/>
    </row>
    <row r="710" spans="1:15" s="3" customFormat="1">
      <c r="A710" s="4"/>
      <c r="C710" s="2"/>
      <c r="D710" s="2"/>
      <c r="E710" s="2"/>
      <c r="F710" s="2"/>
      <c r="G710" s="2"/>
      <c r="H710" s="2"/>
      <c r="I710" s="2"/>
      <c r="J710" s="2"/>
      <c r="K710" s="2"/>
      <c r="L710" s="2"/>
      <c r="M710" s="2"/>
      <c r="N710" s="2"/>
      <c r="O710" s="2"/>
    </row>
    <row r="711" spans="1:15" s="3" customFormat="1">
      <c r="A711" s="4"/>
      <c r="C711" s="2"/>
      <c r="D711" s="2"/>
      <c r="E711" s="2"/>
      <c r="F711" s="2"/>
      <c r="G711" s="2"/>
      <c r="H711" s="2"/>
      <c r="I711" s="2"/>
      <c r="J711" s="2"/>
      <c r="K711" s="2"/>
      <c r="L711" s="2"/>
      <c r="M711" s="2"/>
      <c r="N711" s="2"/>
      <c r="O711" s="2"/>
    </row>
    <row r="712" spans="1:15" s="3" customFormat="1">
      <c r="A712" s="4"/>
      <c r="C712" s="2"/>
      <c r="D712" s="2"/>
      <c r="E712" s="2"/>
      <c r="F712" s="2"/>
      <c r="G712" s="2"/>
      <c r="H712" s="2"/>
      <c r="I712" s="2"/>
      <c r="J712" s="2"/>
      <c r="K712" s="2"/>
      <c r="L712" s="2"/>
      <c r="M712" s="2"/>
      <c r="N712" s="2"/>
      <c r="O712" s="2"/>
    </row>
    <row r="713" spans="1:15" s="3" customFormat="1">
      <c r="A713" s="4"/>
      <c r="C713" s="2"/>
      <c r="D713" s="2"/>
      <c r="E713" s="2"/>
      <c r="F713" s="2"/>
      <c r="G713" s="2"/>
      <c r="H713" s="2"/>
      <c r="I713" s="2"/>
      <c r="J713" s="2"/>
      <c r="K713" s="2"/>
      <c r="L713" s="2"/>
      <c r="M713" s="2"/>
      <c r="N713" s="2"/>
      <c r="O713" s="2"/>
    </row>
    <row r="714" spans="1:15" s="3" customFormat="1">
      <c r="A714" s="4"/>
      <c r="C714" s="2"/>
      <c r="D714" s="2"/>
      <c r="E714" s="2"/>
      <c r="F714" s="2"/>
      <c r="G714" s="2"/>
      <c r="H714" s="2"/>
      <c r="I714" s="2"/>
      <c r="J714" s="2"/>
      <c r="K714" s="2"/>
      <c r="L714" s="2"/>
      <c r="M714" s="2"/>
      <c r="N714" s="2"/>
      <c r="O714" s="2"/>
    </row>
    <row r="715" spans="1:15" s="3" customFormat="1">
      <c r="A715" s="4"/>
      <c r="C715" s="2"/>
      <c r="D715" s="2"/>
      <c r="E715" s="2"/>
      <c r="F715" s="2"/>
      <c r="G715" s="2"/>
      <c r="H715" s="2"/>
      <c r="I715" s="2"/>
      <c r="J715" s="2"/>
      <c r="K715" s="2"/>
      <c r="L715" s="2"/>
      <c r="M715" s="2"/>
      <c r="N715" s="2"/>
      <c r="O715" s="2"/>
    </row>
    <row r="716" spans="1:15" s="3" customFormat="1">
      <c r="A716" s="4"/>
      <c r="C716" s="2"/>
      <c r="D716" s="2"/>
      <c r="E716" s="2"/>
      <c r="F716" s="2"/>
      <c r="G716" s="2"/>
      <c r="H716" s="2"/>
      <c r="I716" s="2"/>
      <c r="J716" s="2"/>
      <c r="K716" s="2"/>
      <c r="L716" s="2"/>
      <c r="M716" s="2"/>
      <c r="N716" s="2"/>
      <c r="O716" s="2"/>
    </row>
    <row r="717" spans="1:15" s="3" customFormat="1">
      <c r="A717" s="4"/>
      <c r="C717" s="2"/>
      <c r="D717" s="2"/>
      <c r="E717" s="2"/>
      <c r="F717" s="2"/>
      <c r="G717" s="2"/>
      <c r="H717" s="2"/>
      <c r="I717" s="2"/>
      <c r="J717" s="2"/>
      <c r="K717" s="2"/>
      <c r="L717" s="2"/>
      <c r="M717" s="2"/>
      <c r="N717" s="2"/>
      <c r="O717" s="2"/>
    </row>
    <row r="718" spans="1:15" s="3" customFormat="1">
      <c r="A718" s="4"/>
      <c r="C718" s="2"/>
      <c r="D718" s="2"/>
      <c r="E718" s="2"/>
      <c r="F718" s="2"/>
      <c r="G718" s="2"/>
      <c r="H718" s="2"/>
      <c r="I718" s="2"/>
      <c r="J718" s="2"/>
      <c r="K718" s="2"/>
      <c r="L718" s="2"/>
      <c r="M718" s="2"/>
      <c r="N718" s="2"/>
      <c r="O718" s="2"/>
    </row>
    <row r="719" spans="1:15" s="3" customFormat="1">
      <c r="A719" s="4"/>
      <c r="C719" s="2"/>
      <c r="D719" s="2"/>
      <c r="E719" s="2"/>
      <c r="F719" s="2"/>
      <c r="G719" s="2"/>
      <c r="H719" s="2"/>
      <c r="I719" s="2"/>
      <c r="J719" s="2"/>
      <c r="K719" s="2"/>
      <c r="L719" s="2"/>
      <c r="M719" s="2"/>
      <c r="N719" s="2"/>
      <c r="O719" s="2"/>
    </row>
    <row r="720" spans="1:15" s="3" customFormat="1">
      <c r="A720" s="4"/>
      <c r="C720" s="2"/>
      <c r="D720" s="2"/>
      <c r="E720" s="2"/>
      <c r="F720" s="2"/>
      <c r="G720" s="2"/>
      <c r="H720" s="2"/>
      <c r="I720" s="2"/>
      <c r="J720" s="2"/>
      <c r="K720" s="2"/>
      <c r="L720" s="2"/>
      <c r="M720" s="2"/>
      <c r="N720" s="2"/>
      <c r="O720" s="2"/>
    </row>
    <row r="721" spans="1:15" s="3" customFormat="1">
      <c r="A721" s="4"/>
      <c r="C721" s="2"/>
      <c r="D721" s="2"/>
      <c r="E721" s="2"/>
      <c r="F721" s="2"/>
      <c r="G721" s="2"/>
      <c r="H721" s="2"/>
      <c r="I721" s="2"/>
      <c r="J721" s="2"/>
      <c r="K721" s="2"/>
      <c r="L721" s="2"/>
      <c r="M721" s="2"/>
      <c r="N721" s="2"/>
      <c r="O721" s="2"/>
    </row>
    <row r="722" spans="1:15" s="3" customFormat="1">
      <c r="A722" s="4"/>
      <c r="C722" s="2"/>
      <c r="D722" s="2"/>
      <c r="E722" s="2"/>
      <c r="F722" s="2"/>
      <c r="G722" s="2"/>
      <c r="H722" s="2"/>
      <c r="I722" s="2"/>
      <c r="J722" s="2"/>
      <c r="K722" s="2"/>
      <c r="L722" s="2"/>
      <c r="M722" s="2"/>
      <c r="N722" s="2"/>
      <c r="O722" s="2"/>
    </row>
    <row r="723" spans="1:15" s="3" customFormat="1">
      <c r="A723" s="4"/>
      <c r="C723" s="2"/>
      <c r="D723" s="2"/>
      <c r="E723" s="2"/>
      <c r="F723" s="2"/>
      <c r="G723" s="2"/>
      <c r="H723" s="2"/>
      <c r="I723" s="2"/>
      <c r="J723" s="2"/>
      <c r="K723" s="2"/>
      <c r="L723" s="2"/>
      <c r="M723" s="2"/>
      <c r="N723" s="2"/>
      <c r="O723" s="2"/>
    </row>
    <row r="724" spans="1:15" s="3" customFormat="1">
      <c r="A724" s="4"/>
      <c r="C724" s="2"/>
      <c r="D724" s="2"/>
      <c r="E724" s="2"/>
      <c r="F724" s="2"/>
      <c r="G724" s="2"/>
      <c r="H724" s="2"/>
      <c r="I724" s="2"/>
      <c r="J724" s="2"/>
      <c r="K724" s="2"/>
      <c r="L724" s="2"/>
      <c r="M724" s="2"/>
      <c r="N724" s="2"/>
      <c r="O724" s="2"/>
    </row>
    <row r="725" spans="1:15" s="3" customFormat="1">
      <c r="A725" s="4"/>
      <c r="C725" s="2"/>
      <c r="D725" s="2"/>
      <c r="E725" s="2"/>
      <c r="F725" s="2"/>
      <c r="G725" s="2"/>
      <c r="H725" s="2"/>
      <c r="I725" s="2"/>
      <c r="J725" s="2"/>
      <c r="K725" s="2"/>
      <c r="L725" s="2"/>
      <c r="M725" s="2"/>
      <c r="N725" s="2"/>
      <c r="O725" s="2"/>
    </row>
    <row r="726" spans="1:15" s="3" customFormat="1">
      <c r="A726" s="4"/>
      <c r="C726" s="2"/>
      <c r="D726" s="2"/>
      <c r="E726" s="2"/>
      <c r="F726" s="2"/>
      <c r="G726" s="2"/>
      <c r="H726" s="2"/>
      <c r="I726" s="2"/>
      <c r="J726" s="2"/>
      <c r="K726" s="2"/>
      <c r="L726" s="2"/>
      <c r="M726" s="2"/>
      <c r="N726" s="2"/>
      <c r="O726" s="2"/>
    </row>
    <row r="727" spans="1:15" s="3" customFormat="1">
      <c r="A727" s="4"/>
      <c r="C727" s="2"/>
      <c r="D727" s="2"/>
      <c r="E727" s="2"/>
      <c r="F727" s="2"/>
      <c r="G727" s="2"/>
      <c r="H727" s="2"/>
      <c r="I727" s="2"/>
      <c r="J727" s="2"/>
      <c r="K727" s="2"/>
      <c r="L727" s="2"/>
      <c r="M727" s="2"/>
      <c r="N727" s="2"/>
      <c r="O727" s="2"/>
    </row>
    <row r="728" spans="1:15" s="3" customFormat="1">
      <c r="A728" s="4"/>
      <c r="C728" s="2"/>
      <c r="D728" s="2"/>
      <c r="E728" s="2"/>
      <c r="F728" s="2"/>
      <c r="G728" s="2"/>
      <c r="H728" s="2"/>
      <c r="I728" s="2"/>
      <c r="J728" s="2"/>
      <c r="K728" s="2"/>
      <c r="L728" s="2"/>
      <c r="M728" s="2"/>
      <c r="N728" s="2"/>
      <c r="O728" s="2"/>
    </row>
    <row r="729" spans="1:15" s="3" customFormat="1">
      <c r="A729" s="4"/>
      <c r="C729" s="2"/>
      <c r="D729" s="2"/>
      <c r="E729" s="2"/>
      <c r="F729" s="2"/>
      <c r="G729" s="2"/>
      <c r="H729" s="2"/>
      <c r="I729" s="2"/>
      <c r="J729" s="2"/>
      <c r="K729" s="2"/>
      <c r="L729" s="2"/>
      <c r="M729" s="2"/>
      <c r="N729" s="2"/>
      <c r="O729" s="2"/>
    </row>
    <row r="730" spans="1:15" s="3" customFormat="1">
      <c r="A730" s="4"/>
      <c r="C730" s="2"/>
      <c r="D730" s="2"/>
      <c r="E730" s="2"/>
      <c r="F730" s="2"/>
      <c r="G730" s="2"/>
      <c r="H730" s="2"/>
      <c r="I730" s="2"/>
      <c r="J730" s="2"/>
      <c r="K730" s="2"/>
      <c r="L730" s="2"/>
      <c r="M730" s="2"/>
      <c r="N730" s="2"/>
      <c r="O730" s="2"/>
    </row>
    <row r="731" spans="1:15" s="3" customFormat="1">
      <c r="A731" s="4"/>
      <c r="C731" s="2"/>
      <c r="D731" s="2"/>
      <c r="E731" s="2"/>
      <c r="F731" s="2"/>
      <c r="G731" s="2"/>
      <c r="H731" s="2"/>
      <c r="I731" s="2"/>
      <c r="J731" s="2"/>
      <c r="K731" s="2"/>
      <c r="L731" s="2"/>
      <c r="M731" s="2"/>
      <c r="N731" s="2"/>
      <c r="O731" s="2"/>
    </row>
    <row r="732" spans="1:15" s="3" customFormat="1">
      <c r="A732" s="4"/>
      <c r="C732" s="2"/>
      <c r="D732" s="2"/>
      <c r="E732" s="2"/>
      <c r="F732" s="2"/>
      <c r="G732" s="2"/>
      <c r="H732" s="2"/>
      <c r="I732" s="2"/>
      <c r="J732" s="2"/>
      <c r="K732" s="2"/>
      <c r="L732" s="2"/>
      <c r="M732" s="2"/>
      <c r="N732" s="2"/>
      <c r="O732" s="2"/>
    </row>
    <row r="733" spans="1:15" s="3" customFormat="1">
      <c r="A733" s="4"/>
      <c r="C733" s="2"/>
      <c r="D733" s="2"/>
      <c r="E733" s="2"/>
      <c r="F733" s="2"/>
      <c r="G733" s="2"/>
      <c r="H733" s="2"/>
      <c r="I733" s="2"/>
      <c r="J733" s="2"/>
      <c r="K733" s="2"/>
      <c r="L733" s="2"/>
      <c r="M733" s="2"/>
      <c r="N733" s="2"/>
      <c r="O733" s="2"/>
    </row>
    <row r="734" spans="1:15" s="3" customFormat="1">
      <c r="A734" s="4"/>
      <c r="C734" s="2"/>
      <c r="D734" s="2"/>
      <c r="E734" s="2"/>
      <c r="F734" s="2"/>
      <c r="G734" s="2"/>
      <c r="H734" s="2"/>
      <c r="I734" s="2"/>
      <c r="J734" s="2"/>
      <c r="K734" s="2"/>
      <c r="L734" s="2"/>
      <c r="M734" s="2"/>
      <c r="N734" s="2"/>
      <c r="O734" s="2"/>
    </row>
    <row r="735" spans="1:15" s="3" customFormat="1">
      <c r="A735" s="4"/>
      <c r="C735" s="2"/>
      <c r="D735" s="2"/>
      <c r="E735" s="2"/>
      <c r="F735" s="2"/>
      <c r="G735" s="2"/>
      <c r="H735" s="2"/>
      <c r="I735" s="2"/>
      <c r="J735" s="2"/>
      <c r="K735" s="2"/>
      <c r="L735" s="2"/>
      <c r="M735" s="2"/>
      <c r="N735" s="2"/>
      <c r="O735" s="2"/>
    </row>
    <row r="736" spans="1:15" s="3" customFormat="1">
      <c r="A736" s="4"/>
      <c r="C736" s="2"/>
      <c r="D736" s="2"/>
      <c r="E736" s="2"/>
      <c r="F736" s="2"/>
      <c r="G736" s="2"/>
      <c r="H736" s="2"/>
      <c r="I736" s="2"/>
      <c r="J736" s="2"/>
      <c r="K736" s="2"/>
      <c r="L736" s="2"/>
      <c r="M736" s="2"/>
      <c r="N736" s="2"/>
      <c r="O736" s="2"/>
    </row>
    <row r="737" spans="1:15" s="3" customFormat="1">
      <c r="A737" s="4"/>
      <c r="C737" s="2"/>
      <c r="D737" s="2"/>
      <c r="E737" s="2"/>
      <c r="F737" s="2"/>
      <c r="G737" s="2"/>
      <c r="H737" s="2"/>
      <c r="I737" s="2"/>
      <c r="J737" s="2"/>
      <c r="K737" s="2"/>
      <c r="L737" s="2"/>
      <c r="M737" s="2"/>
      <c r="N737" s="2"/>
      <c r="O737" s="2"/>
    </row>
    <row r="738" spans="1:15" s="3" customFormat="1">
      <c r="A738" s="4"/>
      <c r="C738" s="2"/>
      <c r="D738" s="2"/>
      <c r="E738" s="2"/>
      <c r="F738" s="2"/>
      <c r="G738" s="2"/>
      <c r="H738" s="2"/>
      <c r="I738" s="2"/>
      <c r="J738" s="2"/>
      <c r="K738" s="2"/>
      <c r="L738" s="2"/>
      <c r="M738" s="2"/>
      <c r="N738" s="2"/>
      <c r="O738" s="2"/>
    </row>
    <row r="739" spans="1:15" s="3" customFormat="1">
      <c r="A739" s="4"/>
      <c r="C739" s="2"/>
      <c r="D739" s="2"/>
      <c r="E739" s="2"/>
      <c r="F739" s="2"/>
      <c r="G739" s="2"/>
      <c r="H739" s="2"/>
      <c r="I739" s="2"/>
      <c r="J739" s="2"/>
      <c r="K739" s="2"/>
      <c r="L739" s="2"/>
      <c r="M739" s="2"/>
      <c r="N739" s="2"/>
      <c r="O739" s="2"/>
    </row>
    <row r="740" spans="1:15" s="3" customFormat="1">
      <c r="A740" s="4"/>
      <c r="C740" s="2"/>
      <c r="D740" s="2"/>
      <c r="E740" s="2"/>
      <c r="F740" s="2"/>
      <c r="G740" s="2"/>
      <c r="H740" s="2"/>
      <c r="I740" s="2"/>
      <c r="J740" s="2"/>
      <c r="K740" s="2"/>
      <c r="L740" s="2"/>
      <c r="M740" s="2"/>
      <c r="N740" s="2"/>
      <c r="O740" s="2"/>
    </row>
    <row r="741" spans="1:15" s="3" customFormat="1">
      <c r="A741" s="4"/>
      <c r="C741" s="2"/>
      <c r="D741" s="2"/>
      <c r="E741" s="2"/>
      <c r="F741" s="2"/>
      <c r="G741" s="2"/>
      <c r="H741" s="2"/>
      <c r="I741" s="2"/>
      <c r="J741" s="2"/>
      <c r="K741" s="2"/>
      <c r="L741" s="2"/>
      <c r="M741" s="2"/>
      <c r="N741" s="2"/>
      <c r="O741" s="2"/>
    </row>
    <row r="742" spans="1:15" s="3" customFormat="1">
      <c r="A742" s="4"/>
      <c r="C742" s="2"/>
      <c r="D742" s="2"/>
      <c r="E742" s="2"/>
      <c r="F742" s="2"/>
      <c r="G742" s="2"/>
      <c r="H742" s="2"/>
      <c r="I742" s="2"/>
      <c r="J742" s="2"/>
      <c r="K742" s="2"/>
      <c r="L742" s="2"/>
      <c r="M742" s="2"/>
      <c r="N742" s="2"/>
      <c r="O742" s="2"/>
    </row>
    <row r="743" spans="1:15" s="3" customFormat="1">
      <c r="A743" s="4"/>
      <c r="C743" s="2"/>
      <c r="D743" s="2"/>
      <c r="E743" s="2"/>
      <c r="F743" s="2"/>
      <c r="G743" s="2"/>
      <c r="H743" s="2"/>
      <c r="I743" s="2"/>
      <c r="J743" s="2"/>
      <c r="K743" s="2"/>
      <c r="L743" s="2"/>
      <c r="M743" s="2"/>
      <c r="N743" s="2"/>
      <c r="O743" s="2"/>
    </row>
    <row r="744" spans="1:15" s="3" customFormat="1">
      <c r="A744" s="4"/>
      <c r="C744" s="2"/>
      <c r="D744" s="2"/>
      <c r="E744" s="2"/>
      <c r="F744" s="2"/>
      <c r="G744" s="2"/>
      <c r="H744" s="2"/>
      <c r="I744" s="2"/>
      <c r="J744" s="2"/>
      <c r="K744" s="2"/>
      <c r="L744" s="2"/>
      <c r="M744" s="2"/>
      <c r="N744" s="2"/>
      <c r="O744" s="2"/>
    </row>
    <row r="745" spans="1:15" s="3" customFormat="1">
      <c r="A745" s="4"/>
      <c r="C745" s="2"/>
      <c r="D745" s="2"/>
      <c r="E745" s="2"/>
      <c r="F745" s="2"/>
      <c r="G745" s="2"/>
      <c r="H745" s="2"/>
      <c r="I745" s="2"/>
      <c r="J745" s="2"/>
      <c r="K745" s="2"/>
      <c r="L745" s="2"/>
      <c r="M745" s="2"/>
      <c r="N745" s="2"/>
      <c r="O745" s="2"/>
    </row>
    <row r="746" spans="1:15" s="3" customFormat="1">
      <c r="A746" s="4"/>
      <c r="C746" s="2"/>
      <c r="D746" s="2"/>
      <c r="E746" s="2"/>
      <c r="F746" s="2"/>
      <c r="G746" s="2"/>
      <c r="H746" s="2"/>
      <c r="I746" s="2"/>
      <c r="J746" s="2"/>
      <c r="K746" s="2"/>
      <c r="L746" s="2"/>
      <c r="M746" s="2"/>
      <c r="N746" s="2"/>
      <c r="O746" s="2"/>
    </row>
    <row r="747" spans="1:15" s="3" customFormat="1">
      <c r="A747" s="4"/>
      <c r="C747" s="2"/>
      <c r="D747" s="2"/>
      <c r="E747" s="2"/>
      <c r="F747" s="2"/>
      <c r="G747" s="2"/>
      <c r="H747" s="2"/>
      <c r="I747" s="2"/>
      <c r="J747" s="2"/>
      <c r="K747" s="2"/>
      <c r="L747" s="2"/>
      <c r="M747" s="2"/>
      <c r="N747" s="2"/>
      <c r="O747" s="2"/>
    </row>
    <row r="748" spans="1:15" s="3" customFormat="1">
      <c r="A748" s="4"/>
      <c r="C748" s="2"/>
      <c r="D748" s="2"/>
      <c r="E748" s="2"/>
      <c r="F748" s="2"/>
      <c r="G748" s="2"/>
      <c r="H748" s="2"/>
      <c r="I748" s="2"/>
      <c r="J748" s="2"/>
      <c r="K748" s="2"/>
      <c r="L748" s="2"/>
      <c r="M748" s="2"/>
      <c r="N748" s="2"/>
      <c r="O748" s="2"/>
    </row>
    <row r="749" spans="1:15" s="3" customFormat="1">
      <c r="A749" s="4"/>
      <c r="C749" s="2"/>
      <c r="D749" s="2"/>
      <c r="E749" s="2"/>
      <c r="F749" s="2"/>
      <c r="G749" s="2"/>
      <c r="H749" s="2"/>
      <c r="I749" s="2"/>
      <c r="J749" s="2"/>
      <c r="K749" s="2"/>
      <c r="L749" s="2"/>
      <c r="M749" s="2"/>
      <c r="N749" s="2"/>
      <c r="O749" s="2"/>
    </row>
    <row r="750" spans="1:15" s="3" customFormat="1">
      <c r="A750" s="4"/>
      <c r="C750" s="2"/>
      <c r="D750" s="2"/>
      <c r="E750" s="2"/>
      <c r="F750" s="2"/>
      <c r="G750" s="2"/>
      <c r="H750" s="2"/>
      <c r="I750" s="2"/>
      <c r="J750" s="2"/>
      <c r="K750" s="2"/>
      <c r="L750" s="2"/>
      <c r="M750" s="2"/>
      <c r="N750" s="2"/>
      <c r="O750" s="2"/>
    </row>
    <row r="751" spans="1:15" s="3" customFormat="1">
      <c r="A751" s="4"/>
      <c r="C751" s="2"/>
      <c r="D751" s="2"/>
      <c r="E751" s="2"/>
      <c r="F751" s="2"/>
      <c r="G751" s="2"/>
      <c r="H751" s="2"/>
      <c r="I751" s="2"/>
      <c r="J751" s="2"/>
      <c r="K751" s="2"/>
      <c r="L751" s="2"/>
      <c r="M751" s="2"/>
      <c r="N751" s="2"/>
      <c r="O751" s="2"/>
    </row>
    <row r="752" spans="1:15" s="3" customFormat="1">
      <c r="A752" s="4"/>
      <c r="C752" s="2"/>
      <c r="D752" s="2"/>
      <c r="E752" s="2"/>
      <c r="F752" s="2"/>
      <c r="G752" s="2"/>
      <c r="H752" s="2"/>
      <c r="I752" s="2"/>
      <c r="J752" s="2"/>
      <c r="K752" s="2"/>
      <c r="L752" s="2"/>
      <c r="M752" s="2"/>
      <c r="N752" s="2"/>
      <c r="O752" s="2"/>
    </row>
    <row r="753" spans="1:15" s="3" customFormat="1">
      <c r="A753" s="4"/>
      <c r="C753" s="2"/>
      <c r="D753" s="2"/>
      <c r="E753" s="2"/>
      <c r="F753" s="2"/>
      <c r="G753" s="2"/>
      <c r="H753" s="2"/>
      <c r="I753" s="2"/>
      <c r="J753" s="2"/>
      <c r="K753" s="2"/>
      <c r="L753" s="2"/>
      <c r="M753" s="2"/>
      <c r="N753" s="2"/>
      <c r="O753" s="2"/>
    </row>
    <row r="754" spans="1:15" s="3" customFormat="1">
      <c r="A754" s="4"/>
      <c r="C754" s="2"/>
      <c r="D754" s="2"/>
      <c r="E754" s="2"/>
      <c r="F754" s="2"/>
      <c r="G754" s="2"/>
      <c r="H754" s="2"/>
      <c r="I754" s="2"/>
      <c r="J754" s="2"/>
      <c r="K754" s="2"/>
      <c r="L754" s="2"/>
      <c r="M754" s="2"/>
      <c r="N754" s="2"/>
      <c r="O754" s="2"/>
    </row>
    <row r="755" spans="1:15" s="3" customFormat="1">
      <c r="A755" s="4"/>
      <c r="C755" s="2"/>
      <c r="D755" s="2"/>
      <c r="E755" s="2"/>
      <c r="F755" s="2"/>
      <c r="G755" s="2"/>
      <c r="H755" s="2"/>
      <c r="I755" s="2"/>
      <c r="J755" s="2"/>
      <c r="K755" s="2"/>
      <c r="L755" s="2"/>
      <c r="M755" s="2"/>
      <c r="N755" s="2"/>
      <c r="O755" s="2"/>
    </row>
    <row r="756" spans="1:15" s="3" customFormat="1">
      <c r="A756" s="4"/>
      <c r="C756" s="2"/>
      <c r="D756" s="2"/>
      <c r="E756" s="2"/>
      <c r="F756" s="2"/>
      <c r="G756" s="2"/>
      <c r="H756" s="2"/>
      <c r="I756" s="2"/>
      <c r="J756" s="2"/>
      <c r="K756" s="2"/>
      <c r="L756" s="2"/>
      <c r="M756" s="2"/>
      <c r="N756" s="2"/>
      <c r="O756" s="2"/>
    </row>
    <row r="757" spans="1:15" s="3" customFormat="1">
      <c r="A757" s="4"/>
      <c r="C757" s="2"/>
      <c r="D757" s="2"/>
      <c r="E757" s="2"/>
      <c r="F757" s="2"/>
      <c r="G757" s="2"/>
      <c r="H757" s="2"/>
      <c r="I757" s="2"/>
      <c r="J757" s="2"/>
      <c r="K757" s="2"/>
      <c r="L757" s="2"/>
      <c r="M757" s="2"/>
      <c r="N757" s="2"/>
      <c r="O757" s="2"/>
    </row>
    <row r="758" spans="1:15" s="3" customFormat="1">
      <c r="A758" s="4"/>
      <c r="C758" s="2"/>
      <c r="D758" s="2"/>
      <c r="E758" s="2"/>
      <c r="F758" s="2"/>
      <c r="G758" s="2"/>
      <c r="H758" s="2"/>
      <c r="I758" s="2"/>
      <c r="J758" s="2"/>
      <c r="K758" s="2"/>
      <c r="L758" s="2"/>
      <c r="M758" s="2"/>
      <c r="N758" s="2"/>
      <c r="O758" s="2"/>
    </row>
    <row r="759" spans="1:15" s="3" customFormat="1">
      <c r="A759" s="4"/>
      <c r="C759" s="2"/>
      <c r="D759" s="2"/>
      <c r="E759" s="2"/>
      <c r="F759" s="2"/>
      <c r="G759" s="2"/>
      <c r="H759" s="2"/>
      <c r="I759" s="2"/>
      <c r="J759" s="2"/>
      <c r="K759" s="2"/>
      <c r="L759" s="2"/>
      <c r="M759" s="2"/>
      <c r="N759" s="2"/>
      <c r="O759" s="2"/>
    </row>
    <row r="760" spans="1:15" s="3" customFormat="1">
      <c r="A760" s="4"/>
      <c r="C760" s="2"/>
      <c r="D760" s="2"/>
      <c r="E760" s="2"/>
      <c r="F760" s="2"/>
      <c r="G760" s="2"/>
      <c r="H760" s="2"/>
      <c r="I760" s="2"/>
      <c r="J760" s="2"/>
      <c r="K760" s="2"/>
      <c r="L760" s="2"/>
      <c r="M760" s="2"/>
      <c r="N760" s="2"/>
      <c r="O760" s="2"/>
    </row>
    <row r="761" spans="1:15" s="3" customFormat="1">
      <c r="A761" s="4"/>
      <c r="C761" s="2"/>
      <c r="D761" s="2"/>
      <c r="E761" s="2"/>
      <c r="F761" s="2"/>
      <c r="G761" s="2"/>
      <c r="H761" s="2"/>
      <c r="I761" s="2"/>
      <c r="J761" s="2"/>
      <c r="K761" s="2"/>
      <c r="L761" s="2"/>
      <c r="M761" s="2"/>
      <c r="N761" s="2"/>
      <c r="O761" s="2"/>
    </row>
    <row r="762" spans="1:15" s="3" customFormat="1">
      <c r="A762" s="4"/>
      <c r="C762" s="2"/>
      <c r="D762" s="2"/>
      <c r="E762" s="2"/>
      <c r="F762" s="2"/>
      <c r="G762" s="2"/>
      <c r="H762" s="2"/>
      <c r="I762" s="2"/>
      <c r="J762" s="2"/>
      <c r="K762" s="2"/>
      <c r="L762" s="2"/>
      <c r="M762" s="2"/>
      <c r="N762" s="2"/>
      <c r="O762" s="2"/>
    </row>
    <row r="763" spans="1:15" s="3" customFormat="1">
      <c r="A763" s="4"/>
      <c r="C763" s="2"/>
      <c r="D763" s="2"/>
      <c r="E763" s="2"/>
      <c r="F763" s="2"/>
      <c r="G763" s="2"/>
      <c r="H763" s="2"/>
      <c r="I763" s="2"/>
      <c r="J763" s="2"/>
      <c r="K763" s="2"/>
      <c r="L763" s="2"/>
      <c r="M763" s="2"/>
      <c r="N763" s="2"/>
      <c r="O763" s="2"/>
    </row>
    <row r="764" spans="1:15" s="3" customFormat="1">
      <c r="A764" s="4"/>
      <c r="C764" s="2"/>
      <c r="D764" s="2"/>
      <c r="E764" s="2"/>
      <c r="F764" s="2"/>
      <c r="G764" s="2"/>
      <c r="H764" s="2"/>
      <c r="I764" s="2"/>
      <c r="J764" s="2"/>
      <c r="K764" s="2"/>
      <c r="L764" s="2"/>
      <c r="M764" s="2"/>
      <c r="N764" s="2"/>
      <c r="O764" s="2"/>
    </row>
    <row r="765" spans="1:15" s="3" customFormat="1">
      <c r="A765" s="4"/>
      <c r="C765" s="2"/>
      <c r="D765" s="2"/>
      <c r="E765" s="2"/>
      <c r="F765" s="2"/>
      <c r="G765" s="2"/>
      <c r="H765" s="2"/>
      <c r="I765" s="2"/>
      <c r="J765" s="2"/>
      <c r="K765" s="2"/>
      <c r="L765" s="2"/>
      <c r="M765" s="2"/>
      <c r="N765" s="2"/>
      <c r="O765" s="2"/>
    </row>
    <row r="766" spans="1:15" s="3" customFormat="1">
      <c r="A766" s="4"/>
      <c r="C766" s="2"/>
      <c r="D766" s="2"/>
      <c r="E766" s="2"/>
      <c r="F766" s="2"/>
      <c r="G766" s="2"/>
      <c r="H766" s="2"/>
      <c r="I766" s="2"/>
      <c r="J766" s="2"/>
      <c r="K766" s="2"/>
      <c r="L766" s="2"/>
      <c r="M766" s="2"/>
      <c r="N766" s="2"/>
      <c r="O766" s="2"/>
    </row>
    <row r="767" spans="1:15" s="3" customFormat="1">
      <c r="A767" s="4"/>
      <c r="C767" s="2"/>
      <c r="D767" s="2"/>
      <c r="E767" s="2"/>
      <c r="F767" s="2"/>
      <c r="G767" s="2"/>
      <c r="H767" s="2"/>
      <c r="I767" s="2"/>
      <c r="J767" s="2"/>
      <c r="K767" s="2"/>
      <c r="L767" s="2"/>
      <c r="M767" s="2"/>
      <c r="N767" s="2"/>
      <c r="O767" s="2"/>
    </row>
    <row r="768" spans="1:15" s="3" customFormat="1">
      <c r="A768" s="4"/>
      <c r="C768" s="2"/>
      <c r="D768" s="2"/>
      <c r="E768" s="2"/>
      <c r="F768" s="2"/>
      <c r="G768" s="2"/>
      <c r="H768" s="2"/>
      <c r="I768" s="2"/>
      <c r="J768" s="2"/>
      <c r="K768" s="2"/>
      <c r="L768" s="2"/>
      <c r="M768" s="2"/>
      <c r="N768" s="2"/>
      <c r="O768" s="2"/>
    </row>
    <row r="769" spans="1:15" s="3" customFormat="1">
      <c r="A769" s="4"/>
      <c r="C769" s="2"/>
      <c r="D769" s="2"/>
      <c r="E769" s="2"/>
      <c r="F769" s="2"/>
      <c r="G769" s="2"/>
      <c r="H769" s="2"/>
      <c r="I769" s="2"/>
      <c r="J769" s="2"/>
      <c r="K769" s="2"/>
      <c r="L769" s="2"/>
      <c r="M769" s="2"/>
      <c r="N769" s="2"/>
      <c r="O769" s="2"/>
    </row>
    <row r="770" spans="1:15" s="3" customFormat="1">
      <c r="A770" s="4"/>
      <c r="C770" s="2"/>
      <c r="D770" s="2"/>
      <c r="E770" s="2"/>
      <c r="F770" s="2"/>
      <c r="G770" s="2"/>
      <c r="H770" s="2"/>
      <c r="I770" s="2"/>
      <c r="J770" s="2"/>
      <c r="K770" s="2"/>
      <c r="L770" s="2"/>
      <c r="M770" s="2"/>
      <c r="N770" s="2"/>
      <c r="O770" s="2"/>
    </row>
    <row r="771" spans="1:15" s="3" customFormat="1">
      <c r="A771" s="4"/>
      <c r="C771" s="2"/>
      <c r="D771" s="2"/>
      <c r="E771" s="2"/>
      <c r="F771" s="2"/>
      <c r="G771" s="2"/>
      <c r="H771" s="2"/>
      <c r="I771" s="2"/>
      <c r="J771" s="2"/>
      <c r="K771" s="2"/>
      <c r="L771" s="2"/>
      <c r="M771" s="2"/>
      <c r="N771" s="2"/>
      <c r="O771" s="2"/>
    </row>
    <row r="772" spans="1:15" s="3" customFormat="1">
      <c r="A772" s="4"/>
      <c r="C772" s="2"/>
      <c r="D772" s="2"/>
      <c r="E772" s="2"/>
      <c r="F772" s="2"/>
      <c r="G772" s="2"/>
      <c r="H772" s="2"/>
      <c r="I772" s="2"/>
      <c r="J772" s="2"/>
      <c r="K772" s="2"/>
      <c r="L772" s="2"/>
      <c r="M772" s="2"/>
      <c r="N772" s="2"/>
      <c r="O772" s="2"/>
    </row>
    <row r="773" spans="1:15" s="3" customFormat="1">
      <c r="A773" s="4"/>
      <c r="C773" s="2"/>
      <c r="D773" s="2"/>
      <c r="E773" s="2"/>
      <c r="F773" s="2"/>
      <c r="G773" s="2"/>
      <c r="H773" s="2"/>
      <c r="I773" s="2"/>
      <c r="J773" s="2"/>
      <c r="K773" s="2"/>
      <c r="L773" s="2"/>
      <c r="M773" s="2"/>
      <c r="N773" s="2"/>
      <c r="O773" s="2"/>
    </row>
    <row r="774" spans="1:15" s="3" customFormat="1">
      <c r="A774" s="4"/>
      <c r="C774" s="2"/>
      <c r="D774" s="2"/>
      <c r="E774" s="2"/>
      <c r="F774" s="2"/>
      <c r="G774" s="2"/>
      <c r="H774" s="2"/>
      <c r="I774" s="2"/>
      <c r="J774" s="2"/>
      <c r="K774" s="2"/>
      <c r="L774" s="2"/>
      <c r="M774" s="2"/>
      <c r="N774" s="2"/>
      <c r="O774" s="2"/>
    </row>
    <row r="775" spans="1:15" s="3" customFormat="1">
      <c r="A775" s="4"/>
      <c r="C775" s="2"/>
      <c r="D775" s="2"/>
      <c r="E775" s="2"/>
      <c r="F775" s="2"/>
      <c r="G775" s="2"/>
      <c r="H775" s="2"/>
      <c r="I775" s="2"/>
      <c r="J775" s="2"/>
      <c r="K775" s="2"/>
      <c r="L775" s="2"/>
      <c r="M775" s="2"/>
      <c r="N775" s="2"/>
      <c r="O775" s="2"/>
    </row>
    <row r="776" spans="1:15" s="3" customFormat="1">
      <c r="A776" s="4"/>
      <c r="C776" s="2"/>
      <c r="D776" s="2"/>
      <c r="E776" s="2"/>
      <c r="F776" s="2"/>
      <c r="G776" s="2"/>
      <c r="H776" s="2"/>
      <c r="I776" s="2"/>
      <c r="J776" s="2"/>
      <c r="K776" s="2"/>
      <c r="L776" s="2"/>
      <c r="M776" s="2"/>
      <c r="N776" s="2"/>
      <c r="O776" s="2"/>
    </row>
    <row r="777" spans="1:15" s="3" customFormat="1">
      <c r="A777" s="4"/>
      <c r="C777" s="2"/>
      <c r="D777" s="2"/>
      <c r="E777" s="2"/>
      <c r="F777" s="2"/>
      <c r="G777" s="2"/>
      <c r="H777" s="2"/>
      <c r="I777" s="2"/>
      <c r="J777" s="2"/>
      <c r="K777" s="2"/>
      <c r="L777" s="2"/>
      <c r="M777" s="2"/>
      <c r="N777" s="2"/>
      <c r="O777" s="2"/>
    </row>
    <row r="778" spans="1:15" s="3" customFormat="1">
      <c r="A778" s="4"/>
      <c r="C778" s="2"/>
      <c r="D778" s="2"/>
      <c r="E778" s="2"/>
      <c r="F778" s="2"/>
      <c r="G778" s="2"/>
      <c r="H778" s="2"/>
      <c r="I778" s="2"/>
      <c r="J778" s="2"/>
      <c r="K778" s="2"/>
      <c r="L778" s="2"/>
      <c r="M778" s="2"/>
      <c r="N778" s="2"/>
      <c r="O778" s="2"/>
    </row>
    <row r="779" spans="1:15" s="3" customFormat="1">
      <c r="A779" s="4"/>
      <c r="C779" s="2"/>
      <c r="D779" s="2"/>
      <c r="E779" s="2"/>
      <c r="F779" s="2"/>
      <c r="G779" s="2"/>
      <c r="H779" s="2"/>
      <c r="I779" s="2"/>
      <c r="J779" s="2"/>
      <c r="K779" s="2"/>
      <c r="L779" s="2"/>
      <c r="M779" s="2"/>
      <c r="N779" s="2"/>
      <c r="O779" s="2"/>
    </row>
    <row r="780" spans="1:15" s="3" customFormat="1">
      <c r="A780" s="4"/>
      <c r="C780" s="2"/>
      <c r="D780" s="2"/>
      <c r="E780" s="2"/>
      <c r="F780" s="2"/>
      <c r="G780" s="2"/>
      <c r="H780" s="2"/>
      <c r="I780" s="2"/>
      <c r="J780" s="2"/>
      <c r="K780" s="2"/>
      <c r="L780" s="2"/>
      <c r="M780" s="2"/>
      <c r="N780" s="2"/>
      <c r="O780" s="2"/>
    </row>
    <row r="781" spans="1:15" s="3" customFormat="1">
      <c r="A781" s="4"/>
      <c r="C781" s="2"/>
      <c r="D781" s="2"/>
      <c r="E781" s="2"/>
      <c r="F781" s="2"/>
      <c r="G781" s="2"/>
      <c r="H781" s="2"/>
      <c r="I781" s="2"/>
      <c r="J781" s="2"/>
      <c r="K781" s="2"/>
      <c r="L781" s="2"/>
      <c r="M781" s="2"/>
      <c r="N781" s="2"/>
      <c r="O781" s="2"/>
    </row>
    <row r="782" spans="1:15" s="3" customFormat="1">
      <c r="A782" s="4"/>
      <c r="C782" s="2"/>
      <c r="D782" s="2"/>
      <c r="E782" s="2"/>
      <c r="F782" s="2"/>
      <c r="G782" s="2"/>
      <c r="H782" s="2"/>
      <c r="I782" s="2"/>
      <c r="J782" s="2"/>
      <c r="K782" s="2"/>
      <c r="L782" s="2"/>
      <c r="M782" s="2"/>
      <c r="N782" s="2"/>
      <c r="O782" s="2"/>
    </row>
    <row r="783" spans="1:15" s="3" customFormat="1">
      <c r="A783" s="4"/>
      <c r="C783" s="2"/>
      <c r="D783" s="2"/>
      <c r="E783" s="2"/>
      <c r="F783" s="2"/>
      <c r="G783" s="2"/>
      <c r="H783" s="2"/>
      <c r="I783" s="2"/>
      <c r="J783" s="2"/>
      <c r="K783" s="2"/>
      <c r="L783" s="2"/>
      <c r="M783" s="2"/>
      <c r="N783" s="2"/>
      <c r="O783" s="2"/>
    </row>
    <row r="784" spans="1:15" s="3" customFormat="1">
      <c r="A784" s="4"/>
      <c r="C784" s="2"/>
      <c r="D784" s="2"/>
      <c r="E784" s="2"/>
      <c r="F784" s="2"/>
      <c r="G784" s="2"/>
      <c r="H784" s="2"/>
      <c r="I784" s="2"/>
      <c r="J784" s="2"/>
      <c r="K784" s="2"/>
      <c r="L784" s="2"/>
      <c r="M784" s="2"/>
      <c r="N784" s="2"/>
      <c r="O784" s="2"/>
    </row>
    <row r="785" spans="1:15" s="3" customFormat="1">
      <c r="A785" s="4"/>
      <c r="C785" s="2"/>
      <c r="D785" s="2"/>
      <c r="E785" s="2"/>
      <c r="F785" s="2"/>
      <c r="G785" s="2"/>
      <c r="H785" s="2"/>
      <c r="I785" s="2"/>
      <c r="J785" s="2"/>
      <c r="K785" s="2"/>
      <c r="L785" s="2"/>
      <c r="M785" s="2"/>
      <c r="N785" s="2"/>
      <c r="O785" s="2"/>
    </row>
    <row r="786" spans="1:15" s="3" customFormat="1">
      <c r="A786" s="4"/>
      <c r="C786" s="2"/>
      <c r="D786" s="2"/>
      <c r="E786" s="2"/>
      <c r="F786" s="2"/>
      <c r="G786" s="2"/>
      <c r="H786" s="2"/>
      <c r="I786" s="2"/>
      <c r="J786" s="2"/>
      <c r="K786" s="2"/>
      <c r="L786" s="2"/>
      <c r="M786" s="2"/>
      <c r="N786" s="2"/>
      <c r="O786" s="2"/>
    </row>
    <row r="787" spans="1:15" s="3" customFormat="1">
      <c r="A787" s="4"/>
      <c r="C787" s="2"/>
      <c r="D787" s="2"/>
      <c r="E787" s="2"/>
      <c r="F787" s="2"/>
      <c r="G787" s="2"/>
      <c r="H787" s="2"/>
      <c r="I787" s="2"/>
      <c r="J787" s="2"/>
      <c r="K787" s="2"/>
      <c r="L787" s="2"/>
      <c r="M787" s="2"/>
      <c r="N787" s="2"/>
      <c r="O787" s="2"/>
    </row>
    <row r="788" spans="1:15" s="3" customFormat="1">
      <c r="A788" s="4"/>
      <c r="C788" s="2"/>
      <c r="D788" s="2"/>
      <c r="E788" s="2"/>
      <c r="F788" s="2"/>
      <c r="G788" s="2"/>
      <c r="H788" s="2"/>
      <c r="I788" s="2"/>
      <c r="J788" s="2"/>
      <c r="K788" s="2"/>
      <c r="L788" s="2"/>
      <c r="M788" s="2"/>
      <c r="N788" s="2"/>
      <c r="O788" s="2"/>
    </row>
    <row r="789" spans="1:15" s="3" customFormat="1">
      <c r="A789" s="4"/>
      <c r="C789" s="2"/>
      <c r="D789" s="2"/>
      <c r="E789" s="2"/>
      <c r="F789" s="2"/>
      <c r="G789" s="2"/>
      <c r="H789" s="2"/>
      <c r="I789" s="2"/>
      <c r="J789" s="2"/>
      <c r="K789" s="2"/>
      <c r="L789" s="2"/>
      <c r="M789" s="2"/>
      <c r="N789" s="2"/>
      <c r="O789" s="2"/>
    </row>
    <row r="790" spans="1:15" s="3" customFormat="1">
      <c r="A790" s="4"/>
      <c r="C790" s="2"/>
      <c r="D790" s="2"/>
      <c r="E790" s="2"/>
      <c r="F790" s="2"/>
      <c r="G790" s="2"/>
      <c r="H790" s="2"/>
      <c r="I790" s="2"/>
      <c r="J790" s="2"/>
      <c r="K790" s="2"/>
      <c r="L790" s="2"/>
      <c r="M790" s="2"/>
      <c r="N790" s="2"/>
      <c r="O790" s="2"/>
    </row>
    <row r="791" spans="1:15" s="3" customFormat="1">
      <c r="A791" s="4"/>
      <c r="C791" s="2"/>
      <c r="D791" s="2"/>
      <c r="E791" s="2"/>
      <c r="F791" s="2"/>
      <c r="G791" s="2"/>
      <c r="H791" s="2"/>
      <c r="I791" s="2"/>
      <c r="J791" s="2"/>
      <c r="K791" s="2"/>
      <c r="L791" s="2"/>
      <c r="M791" s="2"/>
      <c r="N791" s="2"/>
      <c r="O791" s="2"/>
    </row>
    <row r="792" spans="1:15" s="3" customFormat="1">
      <c r="A792" s="4"/>
      <c r="C792" s="2"/>
      <c r="D792" s="2"/>
      <c r="E792" s="2"/>
      <c r="F792" s="2"/>
      <c r="G792" s="2"/>
      <c r="H792" s="2"/>
      <c r="I792" s="2"/>
      <c r="J792" s="2"/>
      <c r="K792" s="2"/>
      <c r="L792" s="2"/>
      <c r="M792" s="2"/>
      <c r="N792" s="2"/>
      <c r="O792" s="2"/>
    </row>
    <row r="793" spans="1:15" s="3" customFormat="1">
      <c r="A793" s="4"/>
      <c r="C793" s="2"/>
      <c r="D793" s="2"/>
      <c r="E793" s="2"/>
      <c r="F793" s="2"/>
      <c r="G793" s="2"/>
      <c r="H793" s="2"/>
      <c r="I793" s="2"/>
      <c r="J793" s="2"/>
      <c r="K793" s="2"/>
      <c r="L793" s="2"/>
      <c r="M793" s="2"/>
      <c r="N793" s="2"/>
      <c r="O793" s="2"/>
    </row>
    <row r="794" spans="1:15" s="3" customFormat="1">
      <c r="A794" s="4"/>
      <c r="C794" s="2"/>
      <c r="D794" s="2"/>
      <c r="E794" s="2"/>
      <c r="F794" s="2"/>
      <c r="G794" s="2"/>
      <c r="H794" s="2"/>
      <c r="I794" s="2"/>
      <c r="J794" s="2"/>
      <c r="K794" s="2"/>
      <c r="L794" s="2"/>
      <c r="M794" s="2"/>
      <c r="N794" s="2"/>
      <c r="O794" s="2"/>
    </row>
    <row r="795" spans="1:15" s="3" customFormat="1">
      <c r="A795" s="4"/>
      <c r="C795" s="2"/>
      <c r="D795" s="2"/>
      <c r="E795" s="2"/>
      <c r="F795" s="2"/>
      <c r="G795" s="2"/>
      <c r="H795" s="2"/>
      <c r="I795" s="2"/>
      <c r="J795" s="2"/>
      <c r="K795" s="2"/>
      <c r="L795" s="2"/>
      <c r="M795" s="2"/>
      <c r="N795" s="2"/>
      <c r="O795" s="2"/>
    </row>
    <row r="796" spans="1:15" s="3" customFormat="1">
      <c r="A796" s="4"/>
      <c r="C796" s="2"/>
      <c r="D796" s="2"/>
      <c r="E796" s="2"/>
      <c r="F796" s="2"/>
      <c r="G796" s="2"/>
      <c r="H796" s="2"/>
      <c r="I796" s="2"/>
      <c r="J796" s="2"/>
      <c r="K796" s="2"/>
      <c r="L796" s="2"/>
      <c r="M796" s="2"/>
      <c r="N796" s="2"/>
      <c r="O796" s="2"/>
    </row>
    <row r="797" spans="1:15" s="3" customFormat="1">
      <c r="A797" s="4"/>
      <c r="C797" s="2"/>
      <c r="D797" s="2"/>
      <c r="E797" s="2"/>
      <c r="F797" s="2"/>
      <c r="G797" s="2"/>
      <c r="H797" s="2"/>
      <c r="I797" s="2"/>
      <c r="J797" s="2"/>
      <c r="K797" s="2"/>
      <c r="L797" s="2"/>
      <c r="M797" s="2"/>
      <c r="N797" s="2"/>
      <c r="O797" s="2"/>
    </row>
    <row r="798" spans="1:15" s="3" customFormat="1">
      <c r="A798" s="4"/>
      <c r="C798" s="2"/>
      <c r="D798" s="2"/>
      <c r="E798" s="2"/>
      <c r="F798" s="2"/>
      <c r="G798" s="2"/>
      <c r="H798" s="2"/>
      <c r="I798" s="2"/>
      <c r="J798" s="2"/>
      <c r="K798" s="2"/>
      <c r="L798" s="2"/>
      <c r="M798" s="2"/>
      <c r="N798" s="2"/>
      <c r="O798" s="2"/>
    </row>
    <row r="799" spans="1:15" s="3" customFormat="1">
      <c r="A799" s="4"/>
      <c r="C799" s="2"/>
      <c r="D799" s="2"/>
      <c r="E799" s="2"/>
      <c r="F799" s="2"/>
      <c r="G799" s="2"/>
      <c r="H799" s="2"/>
      <c r="I799" s="2"/>
      <c r="J799" s="2"/>
      <c r="K799" s="2"/>
      <c r="L799" s="2"/>
      <c r="M799" s="2"/>
      <c r="N799" s="2"/>
      <c r="O799" s="2"/>
    </row>
    <row r="800" spans="1:15" s="3" customFormat="1">
      <c r="A800" s="4"/>
      <c r="C800" s="2"/>
      <c r="D800" s="2"/>
      <c r="E800" s="2"/>
      <c r="F800" s="2"/>
      <c r="G800" s="2"/>
      <c r="H800" s="2"/>
      <c r="I800" s="2"/>
      <c r="J800" s="2"/>
      <c r="K800" s="2"/>
      <c r="L800" s="2"/>
      <c r="M800" s="2"/>
      <c r="N800" s="2"/>
      <c r="O800" s="2"/>
    </row>
    <row r="801" spans="1:15" s="3" customFormat="1">
      <c r="A801" s="4"/>
      <c r="C801" s="2"/>
      <c r="D801" s="2"/>
      <c r="E801" s="2"/>
      <c r="F801" s="2"/>
      <c r="G801" s="2"/>
      <c r="H801" s="2"/>
      <c r="I801" s="2"/>
      <c r="J801" s="2"/>
      <c r="K801" s="2"/>
      <c r="L801" s="2"/>
      <c r="M801" s="2"/>
      <c r="N801" s="2"/>
      <c r="O801" s="2"/>
    </row>
    <row r="802" spans="1:15" s="3" customFormat="1">
      <c r="A802" s="4"/>
      <c r="C802" s="2"/>
      <c r="D802" s="2"/>
      <c r="E802" s="2"/>
      <c r="F802" s="2"/>
      <c r="G802" s="2"/>
      <c r="H802" s="2"/>
      <c r="I802" s="2"/>
      <c r="J802" s="2"/>
      <c r="K802" s="2"/>
      <c r="L802" s="2"/>
      <c r="M802" s="2"/>
      <c r="N802" s="2"/>
      <c r="O802" s="2"/>
    </row>
    <row r="803" spans="1:15" s="3" customFormat="1">
      <c r="A803" s="4"/>
      <c r="C803" s="2"/>
      <c r="D803" s="2"/>
      <c r="E803" s="2"/>
      <c r="F803" s="2"/>
      <c r="G803" s="2"/>
      <c r="H803" s="2"/>
      <c r="I803" s="2"/>
      <c r="J803" s="2"/>
      <c r="K803" s="2"/>
      <c r="L803" s="2"/>
      <c r="M803" s="2"/>
      <c r="N803" s="2"/>
      <c r="O803" s="2"/>
    </row>
    <row r="804" spans="1:15" s="3" customFormat="1">
      <c r="A804" s="4"/>
      <c r="C804" s="2"/>
      <c r="D804" s="2"/>
      <c r="E804" s="2"/>
      <c r="F804" s="2"/>
      <c r="G804" s="2"/>
      <c r="H804" s="2"/>
      <c r="I804" s="2"/>
      <c r="J804" s="2"/>
      <c r="K804" s="2"/>
      <c r="L804" s="2"/>
      <c r="M804" s="2"/>
      <c r="N804" s="2"/>
      <c r="O804" s="2"/>
    </row>
    <row r="805" spans="1:15" s="3" customFormat="1">
      <c r="A805" s="4"/>
      <c r="C805" s="2"/>
      <c r="D805" s="2"/>
      <c r="E805" s="2"/>
      <c r="F805" s="2"/>
      <c r="G805" s="2"/>
      <c r="H805" s="2"/>
      <c r="I805" s="2"/>
      <c r="J805" s="2"/>
      <c r="K805" s="2"/>
      <c r="L805" s="2"/>
      <c r="M805" s="2"/>
      <c r="N805" s="2"/>
      <c r="O805" s="2"/>
    </row>
    <row r="806" spans="1:15" s="3" customFormat="1">
      <c r="A806" s="4"/>
      <c r="C806" s="2"/>
      <c r="D806" s="2"/>
      <c r="E806" s="2"/>
      <c r="F806" s="2"/>
      <c r="G806" s="2"/>
      <c r="H806" s="2"/>
      <c r="I806" s="2"/>
      <c r="J806" s="2"/>
      <c r="K806" s="2"/>
      <c r="L806" s="2"/>
      <c r="M806" s="2"/>
      <c r="N806" s="2"/>
      <c r="O806" s="2"/>
    </row>
    <row r="807" spans="1:15" s="3" customFormat="1">
      <c r="A807" s="4"/>
      <c r="C807" s="2"/>
      <c r="D807" s="2"/>
      <c r="E807" s="2"/>
      <c r="F807" s="2"/>
      <c r="G807" s="2"/>
      <c r="H807" s="2"/>
      <c r="I807" s="2"/>
      <c r="J807" s="2"/>
      <c r="K807" s="2"/>
      <c r="L807" s="2"/>
      <c r="M807" s="2"/>
      <c r="N807" s="2"/>
      <c r="O807" s="2"/>
    </row>
    <row r="808" spans="1:15" s="3" customFormat="1">
      <c r="A808" s="4"/>
      <c r="C808" s="2"/>
      <c r="D808" s="2"/>
      <c r="E808" s="2"/>
      <c r="F808" s="2"/>
      <c r="G808" s="2"/>
      <c r="H808" s="2"/>
      <c r="I808" s="2"/>
      <c r="J808" s="2"/>
      <c r="K808" s="2"/>
      <c r="L808" s="2"/>
      <c r="M808" s="2"/>
      <c r="N808" s="2"/>
      <c r="O808" s="2"/>
    </row>
    <row r="809" spans="1:15" s="3" customFormat="1">
      <c r="A809" s="4"/>
      <c r="C809" s="2"/>
      <c r="D809" s="2"/>
      <c r="E809" s="2"/>
      <c r="F809" s="2"/>
      <c r="G809" s="2"/>
      <c r="H809" s="2"/>
      <c r="I809" s="2"/>
      <c r="J809" s="2"/>
      <c r="K809" s="2"/>
      <c r="L809" s="2"/>
      <c r="M809" s="2"/>
      <c r="N809" s="2"/>
      <c r="O809" s="2"/>
    </row>
    <row r="810" spans="1:15" s="3" customFormat="1">
      <c r="A810" s="4"/>
      <c r="C810" s="2"/>
      <c r="D810" s="2"/>
      <c r="E810" s="2"/>
      <c r="F810" s="2"/>
      <c r="G810" s="2"/>
      <c r="H810" s="2"/>
      <c r="I810" s="2"/>
      <c r="J810" s="2"/>
      <c r="K810" s="2"/>
      <c r="L810" s="2"/>
      <c r="M810" s="2"/>
      <c r="N810" s="2"/>
      <c r="O810" s="2"/>
    </row>
    <row r="811" spans="1:15" s="3" customFormat="1">
      <c r="A811" s="4"/>
      <c r="C811" s="2"/>
      <c r="D811" s="2"/>
      <c r="E811" s="2"/>
      <c r="F811" s="2"/>
      <c r="G811" s="2"/>
      <c r="H811" s="2"/>
      <c r="I811" s="2"/>
      <c r="J811" s="2"/>
      <c r="K811" s="2"/>
      <c r="L811" s="2"/>
      <c r="M811" s="2"/>
      <c r="N811" s="2"/>
      <c r="O811" s="2"/>
    </row>
    <row r="812" spans="1:15" s="3" customFormat="1">
      <c r="A812" s="4"/>
      <c r="C812" s="2"/>
      <c r="D812" s="2"/>
      <c r="E812" s="2"/>
      <c r="F812" s="2"/>
      <c r="G812" s="2"/>
      <c r="H812" s="2"/>
      <c r="I812" s="2"/>
      <c r="J812" s="2"/>
      <c r="K812" s="2"/>
      <c r="L812" s="2"/>
      <c r="M812" s="2"/>
      <c r="N812" s="2"/>
      <c r="O812" s="2"/>
    </row>
    <row r="813" spans="1:15" s="3" customFormat="1">
      <c r="A813" s="4"/>
      <c r="C813" s="2"/>
      <c r="D813" s="2"/>
      <c r="E813" s="2"/>
      <c r="F813" s="2"/>
      <c r="G813" s="2"/>
      <c r="H813" s="2"/>
      <c r="I813" s="2"/>
      <c r="J813" s="2"/>
      <c r="K813" s="2"/>
      <c r="L813" s="2"/>
      <c r="M813" s="2"/>
      <c r="N813" s="2"/>
      <c r="O813" s="2"/>
    </row>
    <row r="814" spans="1:15" s="3" customFormat="1">
      <c r="A814" s="4"/>
      <c r="C814" s="2"/>
      <c r="D814" s="2"/>
      <c r="E814" s="2"/>
      <c r="F814" s="2"/>
      <c r="G814" s="2"/>
      <c r="H814" s="2"/>
      <c r="I814" s="2"/>
      <c r="J814" s="2"/>
      <c r="K814" s="2"/>
      <c r="L814" s="2"/>
      <c r="M814" s="2"/>
      <c r="N814" s="2"/>
      <c r="O814" s="2"/>
    </row>
    <row r="815" spans="1:15" s="3" customFormat="1">
      <c r="A815" s="4"/>
      <c r="C815" s="2"/>
      <c r="D815" s="2"/>
      <c r="E815" s="2"/>
      <c r="F815" s="2"/>
      <c r="G815" s="2"/>
      <c r="H815" s="2"/>
      <c r="I815" s="2"/>
      <c r="J815" s="2"/>
      <c r="K815" s="2"/>
      <c r="L815" s="2"/>
      <c r="M815" s="2"/>
      <c r="N815" s="2"/>
      <c r="O815" s="2"/>
    </row>
    <row r="816" spans="1:15" s="3" customFormat="1">
      <c r="A816" s="4"/>
      <c r="C816" s="2"/>
      <c r="D816" s="2"/>
      <c r="E816" s="2"/>
      <c r="F816" s="2"/>
      <c r="G816" s="2"/>
      <c r="H816" s="2"/>
      <c r="I816" s="2"/>
      <c r="J816" s="2"/>
      <c r="K816" s="2"/>
      <c r="L816" s="2"/>
      <c r="M816" s="2"/>
      <c r="N816" s="2"/>
      <c r="O816" s="2"/>
    </row>
    <row r="817" spans="1:15" s="3" customFormat="1">
      <c r="A817" s="4"/>
      <c r="C817" s="2"/>
      <c r="D817" s="2"/>
      <c r="E817" s="2"/>
      <c r="F817" s="2"/>
      <c r="G817" s="2"/>
      <c r="H817" s="2"/>
      <c r="I817" s="2"/>
      <c r="J817" s="2"/>
      <c r="K817" s="2"/>
      <c r="L817" s="2"/>
      <c r="M817" s="2"/>
      <c r="N817" s="2"/>
      <c r="O817" s="2"/>
    </row>
    <row r="818" spans="1:15" s="3" customFormat="1">
      <c r="A818" s="4"/>
      <c r="C818" s="2"/>
      <c r="D818" s="2"/>
      <c r="E818" s="2"/>
      <c r="F818" s="2"/>
      <c r="G818" s="2"/>
      <c r="H818" s="2"/>
      <c r="I818" s="2"/>
      <c r="J818" s="2"/>
      <c r="K818" s="2"/>
      <c r="L818" s="2"/>
      <c r="M818" s="2"/>
      <c r="N818" s="2"/>
      <c r="O818" s="2"/>
    </row>
    <row r="819" spans="1:15" s="3" customFormat="1">
      <c r="A819" s="4"/>
      <c r="C819" s="2"/>
      <c r="D819" s="2"/>
      <c r="E819" s="2"/>
      <c r="F819" s="2"/>
      <c r="G819" s="2"/>
      <c r="H819" s="2"/>
      <c r="I819" s="2"/>
      <c r="J819" s="2"/>
      <c r="K819" s="2"/>
      <c r="L819" s="2"/>
      <c r="M819" s="2"/>
      <c r="N819" s="2"/>
      <c r="O819" s="2"/>
    </row>
    <row r="820" spans="1:15" s="3" customFormat="1">
      <c r="A820" s="4"/>
      <c r="C820" s="2"/>
      <c r="D820" s="2"/>
      <c r="E820" s="2"/>
      <c r="F820" s="2"/>
      <c r="G820" s="2"/>
      <c r="H820" s="2"/>
      <c r="I820" s="2"/>
      <c r="J820" s="2"/>
      <c r="K820" s="2"/>
      <c r="L820" s="2"/>
      <c r="M820" s="2"/>
      <c r="N820" s="2"/>
      <c r="O820" s="2"/>
    </row>
    <row r="821" spans="1:15" s="3" customFormat="1">
      <c r="A821" s="4"/>
      <c r="C821" s="2"/>
      <c r="D821" s="2"/>
      <c r="E821" s="2"/>
      <c r="F821" s="2"/>
      <c r="G821" s="2"/>
      <c r="H821" s="2"/>
      <c r="I821" s="2"/>
      <c r="J821" s="2"/>
      <c r="K821" s="2"/>
      <c r="L821" s="2"/>
      <c r="M821" s="2"/>
      <c r="N821" s="2"/>
      <c r="O821" s="2"/>
    </row>
    <row r="822" spans="1:15" s="3" customFormat="1">
      <c r="A822" s="4"/>
      <c r="C822" s="2"/>
      <c r="D822" s="2"/>
      <c r="E822" s="2"/>
      <c r="F822" s="2"/>
      <c r="G822" s="2"/>
      <c r="H822" s="2"/>
      <c r="I822" s="2"/>
      <c r="J822" s="2"/>
      <c r="K822" s="2"/>
      <c r="L822" s="2"/>
      <c r="M822" s="2"/>
      <c r="N822" s="2"/>
      <c r="O822" s="2"/>
    </row>
    <row r="823" spans="1:15" s="3" customFormat="1">
      <c r="A823" s="4"/>
      <c r="C823" s="2"/>
      <c r="D823" s="2"/>
      <c r="E823" s="2"/>
      <c r="F823" s="2"/>
      <c r="G823" s="2"/>
      <c r="H823" s="2"/>
      <c r="I823" s="2"/>
      <c r="J823" s="2"/>
      <c r="K823" s="2"/>
      <c r="L823" s="2"/>
      <c r="M823" s="2"/>
      <c r="N823" s="2"/>
      <c r="O823" s="2"/>
    </row>
    <row r="824" spans="1:15" s="3" customFormat="1">
      <c r="A824" s="4"/>
      <c r="C824" s="2"/>
      <c r="D824" s="2"/>
      <c r="E824" s="2"/>
      <c r="F824" s="2"/>
      <c r="G824" s="2"/>
      <c r="H824" s="2"/>
      <c r="I824" s="2"/>
      <c r="J824" s="2"/>
      <c r="K824" s="2"/>
      <c r="L824" s="2"/>
      <c r="M824" s="2"/>
      <c r="N824" s="2"/>
      <c r="O824" s="2"/>
    </row>
    <row r="825" spans="1:15" s="3" customFormat="1">
      <c r="A825" s="4"/>
      <c r="C825" s="2"/>
      <c r="D825" s="2"/>
      <c r="E825" s="2"/>
      <c r="F825" s="2"/>
      <c r="G825" s="2"/>
      <c r="H825" s="2"/>
      <c r="I825" s="2"/>
      <c r="J825" s="2"/>
      <c r="K825" s="2"/>
      <c r="L825" s="2"/>
      <c r="M825" s="2"/>
      <c r="N825" s="2"/>
      <c r="O825" s="2"/>
    </row>
    <row r="826" spans="1:15" s="3" customFormat="1">
      <c r="A826" s="4"/>
      <c r="C826" s="2"/>
      <c r="D826" s="2"/>
      <c r="E826" s="2"/>
      <c r="F826" s="2"/>
      <c r="G826" s="2"/>
      <c r="H826" s="2"/>
      <c r="I826" s="2"/>
      <c r="J826" s="2"/>
      <c r="K826" s="2"/>
      <c r="L826" s="2"/>
      <c r="M826" s="2"/>
      <c r="N826" s="2"/>
      <c r="O826" s="2"/>
    </row>
    <row r="827" spans="1:15" s="3" customFormat="1">
      <c r="A827" s="4"/>
      <c r="C827" s="2"/>
      <c r="D827" s="2"/>
      <c r="E827" s="2"/>
      <c r="F827" s="2"/>
      <c r="G827" s="2"/>
      <c r="H827" s="2"/>
      <c r="I827" s="2"/>
      <c r="J827" s="2"/>
      <c r="K827" s="2"/>
      <c r="L827" s="2"/>
      <c r="M827" s="2"/>
      <c r="N827" s="2"/>
      <c r="O827" s="2"/>
    </row>
    <row r="828" spans="1:15" s="3" customFormat="1">
      <c r="A828" s="4"/>
      <c r="C828" s="2"/>
      <c r="D828" s="2"/>
      <c r="E828" s="2"/>
      <c r="F828" s="2"/>
      <c r="G828" s="2"/>
      <c r="H828" s="2"/>
      <c r="I828" s="2"/>
      <c r="J828" s="2"/>
      <c r="K828" s="2"/>
      <c r="L828" s="2"/>
      <c r="M828" s="2"/>
      <c r="N828" s="2"/>
      <c r="O828" s="2"/>
    </row>
    <row r="829" spans="1:15" s="3" customFormat="1">
      <c r="A829" s="4"/>
      <c r="C829" s="2"/>
      <c r="D829" s="2"/>
      <c r="E829" s="2"/>
      <c r="F829" s="2"/>
      <c r="G829" s="2"/>
      <c r="H829" s="2"/>
      <c r="I829" s="2"/>
      <c r="J829" s="2"/>
      <c r="K829" s="2"/>
      <c r="L829" s="2"/>
      <c r="M829" s="2"/>
      <c r="N829" s="2"/>
      <c r="O829" s="2"/>
    </row>
    <row r="830" spans="1:15" s="3" customFormat="1">
      <c r="A830" s="4"/>
      <c r="C830" s="2"/>
      <c r="D830" s="2"/>
      <c r="E830" s="2"/>
      <c r="F830" s="2"/>
      <c r="G830" s="2"/>
      <c r="H830" s="2"/>
      <c r="I830" s="2"/>
      <c r="J830" s="2"/>
      <c r="K830" s="2"/>
      <c r="L830" s="2"/>
      <c r="M830" s="2"/>
      <c r="N830" s="2"/>
      <c r="O830" s="2"/>
    </row>
    <row r="831" spans="1:15" s="3" customFormat="1">
      <c r="A831" s="4"/>
      <c r="C831" s="2"/>
      <c r="D831" s="2"/>
      <c r="E831" s="2"/>
      <c r="F831" s="2"/>
      <c r="G831" s="2"/>
      <c r="H831" s="2"/>
      <c r="I831" s="2"/>
      <c r="J831" s="2"/>
      <c r="K831" s="2"/>
      <c r="L831" s="2"/>
      <c r="M831" s="2"/>
      <c r="N831" s="2"/>
      <c r="O831" s="2"/>
    </row>
    <row r="832" spans="1:15" s="3" customFormat="1">
      <c r="A832" s="4"/>
      <c r="C832" s="2"/>
      <c r="D832" s="2"/>
      <c r="E832" s="2"/>
      <c r="F832" s="2"/>
      <c r="G832" s="2"/>
      <c r="H832" s="2"/>
      <c r="I832" s="2"/>
      <c r="J832" s="2"/>
      <c r="K832" s="2"/>
      <c r="L832" s="2"/>
      <c r="M832" s="2"/>
      <c r="N832" s="2"/>
      <c r="O832" s="2"/>
    </row>
    <row r="833" spans="1:15" s="3" customFormat="1">
      <c r="A833" s="4"/>
      <c r="C833" s="2"/>
      <c r="D833" s="2"/>
      <c r="E833" s="2"/>
      <c r="F833" s="2"/>
      <c r="G833" s="2"/>
      <c r="H833" s="2"/>
      <c r="I833" s="2"/>
      <c r="J833" s="2"/>
      <c r="K833" s="2"/>
      <c r="L833" s="2"/>
      <c r="M833" s="2"/>
      <c r="N833" s="2"/>
      <c r="O833" s="2"/>
    </row>
    <row r="834" spans="1:15" s="3" customFormat="1">
      <c r="A834" s="4"/>
      <c r="C834" s="2"/>
      <c r="D834" s="2"/>
      <c r="E834" s="2"/>
      <c r="F834" s="2"/>
      <c r="G834" s="2"/>
      <c r="H834" s="2"/>
      <c r="I834" s="2"/>
      <c r="J834" s="2"/>
      <c r="K834" s="2"/>
      <c r="L834" s="2"/>
      <c r="M834" s="2"/>
      <c r="N834" s="2"/>
      <c r="O834" s="2"/>
    </row>
    <row r="835" spans="1:15" s="3" customFormat="1">
      <c r="A835" s="4"/>
      <c r="C835" s="2"/>
      <c r="D835" s="2"/>
      <c r="E835" s="2"/>
      <c r="F835" s="2"/>
      <c r="G835" s="2"/>
      <c r="H835" s="2"/>
      <c r="I835" s="2"/>
      <c r="J835" s="2"/>
      <c r="K835" s="2"/>
      <c r="L835" s="2"/>
      <c r="M835" s="2"/>
      <c r="N835" s="2"/>
      <c r="O835" s="2"/>
    </row>
    <row r="836" spans="1:15" s="3" customFormat="1">
      <c r="A836" s="4"/>
      <c r="C836" s="2"/>
      <c r="D836" s="2"/>
      <c r="E836" s="2"/>
      <c r="F836" s="2"/>
      <c r="G836" s="2"/>
      <c r="H836" s="2"/>
      <c r="I836" s="2"/>
      <c r="J836" s="2"/>
      <c r="K836" s="2"/>
      <c r="L836" s="2"/>
      <c r="M836" s="2"/>
      <c r="N836" s="2"/>
      <c r="O836" s="2"/>
    </row>
    <row r="837" spans="1:15" s="3" customFormat="1">
      <c r="A837" s="4"/>
      <c r="C837" s="2"/>
      <c r="D837" s="2"/>
      <c r="E837" s="2"/>
      <c r="F837" s="2"/>
      <c r="G837" s="2"/>
      <c r="H837" s="2"/>
      <c r="I837" s="2"/>
      <c r="J837" s="2"/>
      <c r="K837" s="2"/>
      <c r="L837" s="2"/>
      <c r="M837" s="2"/>
      <c r="N837" s="2"/>
      <c r="O837" s="2"/>
    </row>
    <row r="838" spans="1:15" s="3" customFormat="1">
      <c r="A838" s="4"/>
      <c r="C838" s="2"/>
      <c r="D838" s="2"/>
      <c r="E838" s="2"/>
      <c r="F838" s="2"/>
      <c r="G838" s="2"/>
      <c r="H838" s="2"/>
      <c r="I838" s="2"/>
      <c r="J838" s="2"/>
      <c r="K838" s="2"/>
      <c r="L838" s="2"/>
      <c r="M838" s="2"/>
      <c r="N838" s="2"/>
      <c r="O838" s="2"/>
    </row>
    <row r="839" spans="1:15" s="3" customFormat="1">
      <c r="A839" s="4"/>
      <c r="C839" s="2"/>
      <c r="D839" s="2"/>
      <c r="E839" s="2"/>
      <c r="F839" s="2"/>
      <c r="G839" s="2"/>
      <c r="H839" s="2"/>
      <c r="I839" s="2"/>
      <c r="J839" s="2"/>
      <c r="K839" s="2"/>
      <c r="L839" s="2"/>
      <c r="M839" s="2"/>
      <c r="N839" s="2"/>
      <c r="O839" s="2"/>
    </row>
    <row r="840" spans="1:15" s="3" customFormat="1">
      <c r="A840" s="4"/>
      <c r="C840" s="2"/>
      <c r="D840" s="2"/>
      <c r="E840" s="2"/>
      <c r="F840" s="2"/>
      <c r="G840" s="2"/>
      <c r="H840" s="2"/>
      <c r="I840" s="2"/>
      <c r="J840" s="2"/>
      <c r="K840" s="2"/>
      <c r="L840" s="2"/>
      <c r="M840" s="2"/>
      <c r="N840" s="2"/>
      <c r="O840" s="2"/>
    </row>
    <row r="841" spans="1:15" s="3" customFormat="1">
      <c r="A841" s="4"/>
      <c r="C841" s="2"/>
      <c r="D841" s="2"/>
      <c r="E841" s="2"/>
      <c r="F841" s="2"/>
      <c r="G841" s="2"/>
      <c r="H841" s="2"/>
      <c r="I841" s="2"/>
      <c r="J841" s="2"/>
      <c r="K841" s="2"/>
      <c r="L841" s="2"/>
      <c r="M841" s="2"/>
      <c r="N841" s="2"/>
      <c r="O841" s="2"/>
    </row>
    <row r="842" spans="1:15" s="3" customFormat="1">
      <c r="A842" s="4"/>
      <c r="C842" s="2"/>
      <c r="D842" s="2"/>
      <c r="E842" s="2"/>
      <c r="F842" s="2"/>
      <c r="G842" s="2"/>
      <c r="H842" s="2"/>
      <c r="I842" s="2"/>
      <c r="J842" s="2"/>
      <c r="K842" s="2"/>
      <c r="L842" s="2"/>
      <c r="M842" s="2"/>
      <c r="N842" s="2"/>
      <c r="O842" s="2"/>
    </row>
    <row r="843" spans="1:15" s="3" customFormat="1">
      <c r="A843" s="4"/>
      <c r="C843" s="2"/>
      <c r="D843" s="2"/>
      <c r="E843" s="2"/>
      <c r="F843" s="2"/>
      <c r="G843" s="2"/>
      <c r="H843" s="2"/>
      <c r="I843" s="2"/>
      <c r="J843" s="2"/>
      <c r="K843" s="2"/>
      <c r="L843" s="2"/>
      <c r="M843" s="2"/>
      <c r="N843" s="2"/>
      <c r="O843" s="2"/>
    </row>
    <row r="844" spans="1:15" s="3" customFormat="1">
      <c r="A844" s="4"/>
      <c r="C844" s="2"/>
      <c r="D844" s="2"/>
      <c r="E844" s="2"/>
      <c r="F844" s="2"/>
      <c r="G844" s="2"/>
      <c r="H844" s="2"/>
      <c r="I844" s="2"/>
      <c r="J844" s="2"/>
      <c r="K844" s="2"/>
      <c r="L844" s="2"/>
      <c r="M844" s="2"/>
      <c r="N844" s="2"/>
      <c r="O844" s="2"/>
    </row>
    <row r="845" spans="1:15" s="3" customFormat="1">
      <c r="A845" s="4"/>
      <c r="C845" s="2"/>
      <c r="D845" s="2"/>
      <c r="E845" s="2"/>
      <c r="F845" s="2"/>
      <c r="G845" s="2"/>
      <c r="H845" s="2"/>
      <c r="I845" s="2"/>
      <c r="J845" s="2"/>
      <c r="K845" s="2"/>
      <c r="L845" s="2"/>
      <c r="M845" s="2"/>
      <c r="N845" s="2"/>
      <c r="O845" s="2"/>
    </row>
    <row r="846" spans="1:15" s="3" customFormat="1">
      <c r="A846" s="4"/>
      <c r="C846" s="2"/>
      <c r="D846" s="2"/>
      <c r="E846" s="2"/>
      <c r="F846" s="2"/>
      <c r="G846" s="2"/>
      <c r="H846" s="2"/>
      <c r="I846" s="2"/>
      <c r="J846" s="2"/>
      <c r="K846" s="2"/>
      <c r="L846" s="2"/>
      <c r="M846" s="2"/>
      <c r="N846" s="2"/>
      <c r="O846" s="2"/>
    </row>
    <row r="847" spans="1:15" s="3" customFormat="1">
      <c r="A847" s="4"/>
      <c r="C847" s="2"/>
      <c r="D847" s="2"/>
      <c r="E847" s="2"/>
      <c r="F847" s="2"/>
      <c r="G847" s="2"/>
      <c r="H847" s="2"/>
      <c r="I847" s="2"/>
      <c r="J847" s="2"/>
      <c r="K847" s="2"/>
      <c r="L847" s="2"/>
      <c r="M847" s="2"/>
      <c r="N847" s="2"/>
      <c r="O847" s="2"/>
    </row>
    <row r="848" spans="1:15" s="3" customFormat="1">
      <c r="A848" s="4"/>
      <c r="C848" s="2"/>
      <c r="D848" s="2"/>
      <c r="E848" s="2"/>
      <c r="F848" s="2"/>
      <c r="G848" s="2"/>
      <c r="H848" s="2"/>
      <c r="I848" s="2"/>
      <c r="J848" s="2"/>
      <c r="K848" s="2"/>
      <c r="L848" s="2"/>
      <c r="M848" s="2"/>
      <c r="N848" s="2"/>
      <c r="O848" s="2"/>
    </row>
    <row r="849" spans="1:15" s="3" customFormat="1">
      <c r="A849" s="4"/>
      <c r="C849" s="2"/>
      <c r="D849" s="2"/>
      <c r="E849" s="2"/>
      <c r="F849" s="2"/>
      <c r="G849" s="2"/>
      <c r="H849" s="2"/>
      <c r="I849" s="2"/>
      <c r="J849" s="2"/>
      <c r="K849" s="2"/>
      <c r="L849" s="2"/>
      <c r="M849" s="2"/>
      <c r="N849" s="2"/>
      <c r="O849" s="2"/>
    </row>
    <row r="850" spans="1:15" s="3" customFormat="1">
      <c r="A850" s="4"/>
      <c r="C850" s="2"/>
      <c r="D850" s="2"/>
      <c r="E850" s="2"/>
      <c r="F850" s="2"/>
      <c r="G850" s="2"/>
      <c r="H850" s="2"/>
      <c r="I850" s="2"/>
      <c r="J850" s="2"/>
      <c r="K850" s="2"/>
      <c r="L850" s="2"/>
      <c r="M850" s="2"/>
      <c r="N850" s="2"/>
      <c r="O850" s="2"/>
    </row>
    <row r="851" spans="1:15" s="3" customFormat="1">
      <c r="A851" s="4"/>
      <c r="C851" s="2"/>
      <c r="D851" s="2"/>
      <c r="E851" s="2"/>
      <c r="F851" s="2"/>
      <c r="G851" s="2"/>
      <c r="H851" s="2"/>
      <c r="I851" s="2"/>
      <c r="J851" s="2"/>
      <c r="K851" s="2"/>
      <c r="L851" s="2"/>
      <c r="M851" s="2"/>
      <c r="N851" s="2"/>
      <c r="O851" s="2"/>
    </row>
    <row r="852" spans="1:15" s="3" customFormat="1">
      <c r="A852" s="4"/>
      <c r="C852" s="2"/>
      <c r="D852" s="2"/>
      <c r="E852" s="2"/>
      <c r="F852" s="2"/>
      <c r="G852" s="2"/>
      <c r="H852" s="2"/>
      <c r="I852" s="2"/>
      <c r="J852" s="2"/>
      <c r="K852" s="2"/>
      <c r="L852" s="2"/>
      <c r="M852" s="2"/>
      <c r="N852" s="2"/>
      <c r="O852" s="2"/>
    </row>
    <row r="853" spans="1:15" s="3" customFormat="1">
      <c r="A853" s="4"/>
      <c r="C853" s="2"/>
      <c r="D853" s="2"/>
      <c r="E853" s="2"/>
      <c r="F853" s="2"/>
      <c r="G853" s="2"/>
      <c r="H853" s="2"/>
      <c r="I853" s="2"/>
      <c r="J853" s="2"/>
      <c r="K853" s="2"/>
      <c r="L853" s="2"/>
      <c r="M853" s="2"/>
      <c r="N853" s="2"/>
      <c r="O853" s="2"/>
    </row>
    <row r="854" spans="1:15" s="3" customFormat="1">
      <c r="A854" s="4"/>
      <c r="C854" s="2"/>
      <c r="D854" s="2"/>
      <c r="E854" s="2"/>
      <c r="F854" s="2"/>
      <c r="G854" s="2"/>
      <c r="H854" s="2"/>
      <c r="I854" s="2"/>
      <c r="J854" s="2"/>
      <c r="K854" s="2"/>
      <c r="L854" s="2"/>
      <c r="M854" s="2"/>
      <c r="N854" s="2"/>
      <c r="O854" s="2"/>
    </row>
    <row r="855" spans="1:15" s="3" customFormat="1">
      <c r="A855" s="4"/>
      <c r="C855" s="2"/>
      <c r="D855" s="2"/>
      <c r="E855" s="2"/>
      <c r="F855" s="2"/>
      <c r="G855" s="2"/>
      <c r="H855" s="2"/>
      <c r="I855" s="2"/>
      <c r="J855" s="2"/>
      <c r="K855" s="2"/>
      <c r="L855" s="2"/>
      <c r="M855" s="2"/>
      <c r="N855" s="2"/>
      <c r="O855" s="2"/>
    </row>
    <row r="856" spans="1:15" s="3" customFormat="1">
      <c r="A856" s="4"/>
      <c r="C856" s="2"/>
      <c r="D856" s="2"/>
      <c r="E856" s="2"/>
      <c r="F856" s="2"/>
      <c r="G856" s="2"/>
      <c r="H856" s="2"/>
      <c r="I856" s="2"/>
      <c r="J856" s="2"/>
      <c r="K856" s="2"/>
      <c r="L856" s="2"/>
      <c r="M856" s="2"/>
      <c r="N856" s="2"/>
      <c r="O856" s="2"/>
    </row>
    <row r="857" spans="1:15" s="3" customFormat="1">
      <c r="A857" s="4"/>
      <c r="C857" s="2"/>
      <c r="D857" s="2"/>
      <c r="E857" s="2"/>
      <c r="F857" s="2"/>
      <c r="G857" s="2"/>
      <c r="H857" s="2"/>
      <c r="I857" s="2"/>
      <c r="J857" s="2"/>
      <c r="K857" s="2"/>
      <c r="L857" s="2"/>
      <c r="M857" s="2"/>
      <c r="N857" s="2"/>
      <c r="O857" s="2"/>
    </row>
    <row r="858" spans="1:15" s="3" customFormat="1">
      <c r="A858" s="4"/>
      <c r="C858" s="2"/>
      <c r="D858" s="2"/>
      <c r="E858" s="2"/>
      <c r="F858" s="2"/>
      <c r="G858" s="2"/>
      <c r="H858" s="2"/>
      <c r="I858" s="2"/>
      <c r="J858" s="2"/>
      <c r="K858" s="2"/>
      <c r="L858" s="2"/>
      <c r="M858" s="2"/>
      <c r="N858" s="2"/>
      <c r="O858" s="2"/>
    </row>
    <row r="859" spans="1:15" s="3" customFormat="1">
      <c r="A859" s="4"/>
      <c r="C859" s="2"/>
      <c r="D859" s="2"/>
      <c r="E859" s="2"/>
      <c r="F859" s="2"/>
      <c r="G859" s="2"/>
      <c r="H859" s="2"/>
      <c r="I859" s="2"/>
      <c r="J859" s="2"/>
      <c r="K859" s="2"/>
      <c r="L859" s="2"/>
      <c r="M859" s="2"/>
      <c r="N859" s="2"/>
      <c r="O859" s="2"/>
    </row>
    <row r="860" spans="1:15" s="3" customFormat="1">
      <c r="A860" s="4"/>
      <c r="C860" s="2"/>
      <c r="D860" s="2"/>
      <c r="E860" s="2"/>
      <c r="F860" s="2"/>
      <c r="G860" s="2"/>
      <c r="H860" s="2"/>
      <c r="I860" s="2"/>
      <c r="J860" s="2"/>
      <c r="K860" s="2"/>
      <c r="L860" s="2"/>
      <c r="M860" s="2"/>
      <c r="N860" s="2"/>
      <c r="O860" s="2"/>
    </row>
    <row r="861" spans="1:15" s="3" customFormat="1">
      <c r="A861" s="4"/>
      <c r="C861" s="2"/>
      <c r="D861" s="2"/>
      <c r="E861" s="2"/>
      <c r="F861" s="2"/>
      <c r="G861" s="2"/>
      <c r="H861" s="2"/>
      <c r="I861" s="2"/>
      <c r="J861" s="2"/>
      <c r="K861" s="2"/>
      <c r="L861" s="2"/>
      <c r="M861" s="2"/>
      <c r="N861" s="2"/>
      <c r="O861" s="2"/>
    </row>
    <row r="862" spans="1:15" s="3" customFormat="1">
      <c r="A862" s="4"/>
      <c r="C862" s="2"/>
      <c r="D862" s="2"/>
      <c r="E862" s="2"/>
      <c r="F862" s="2"/>
      <c r="G862" s="2"/>
      <c r="H862" s="2"/>
      <c r="I862" s="2"/>
      <c r="J862" s="2"/>
      <c r="K862" s="2"/>
      <c r="L862" s="2"/>
      <c r="M862" s="2"/>
      <c r="N862" s="2"/>
      <c r="O862" s="2"/>
    </row>
    <row r="863" spans="1:15" s="3" customFormat="1">
      <c r="A863" s="4"/>
      <c r="C863" s="2"/>
      <c r="D863" s="2"/>
      <c r="E863" s="2"/>
      <c r="F863" s="2"/>
      <c r="G863" s="2"/>
      <c r="H863" s="2"/>
      <c r="I863" s="2"/>
      <c r="J863" s="2"/>
      <c r="K863" s="2"/>
      <c r="L863" s="2"/>
      <c r="M863" s="2"/>
      <c r="N863" s="2"/>
      <c r="O863" s="2"/>
    </row>
    <row r="864" spans="1:15" s="3" customFormat="1">
      <c r="A864" s="4"/>
      <c r="C864" s="2"/>
      <c r="D864" s="2"/>
      <c r="E864" s="2"/>
      <c r="F864" s="2"/>
      <c r="G864" s="2"/>
      <c r="H864" s="2"/>
      <c r="I864" s="2"/>
      <c r="J864" s="2"/>
      <c r="K864" s="2"/>
      <c r="L864" s="2"/>
      <c r="M864" s="2"/>
      <c r="N864" s="2"/>
      <c r="O864" s="2"/>
    </row>
    <row r="865" spans="1:15" s="3" customFormat="1">
      <c r="A865" s="4"/>
      <c r="C865" s="2"/>
      <c r="D865" s="2"/>
      <c r="E865" s="2"/>
      <c r="F865" s="2"/>
      <c r="G865" s="2"/>
      <c r="H865" s="2"/>
      <c r="I865" s="2"/>
      <c r="J865" s="2"/>
      <c r="K865" s="2"/>
      <c r="L865" s="2"/>
      <c r="M865" s="2"/>
      <c r="N865" s="2"/>
      <c r="O865" s="2"/>
    </row>
    <row r="866" spans="1:15" s="3" customFormat="1">
      <c r="A866" s="4"/>
      <c r="C866" s="2"/>
      <c r="D866" s="2"/>
      <c r="E866" s="2"/>
      <c r="F866" s="2"/>
      <c r="G866" s="2"/>
      <c r="H866" s="2"/>
      <c r="I866" s="2"/>
      <c r="J866" s="2"/>
      <c r="K866" s="2"/>
      <c r="L866" s="2"/>
      <c r="M866" s="2"/>
      <c r="N866" s="2"/>
      <c r="O866" s="2"/>
    </row>
    <row r="867" spans="1:15" s="3" customFormat="1">
      <c r="A867" s="4"/>
      <c r="C867" s="2"/>
      <c r="D867" s="2"/>
      <c r="E867" s="2"/>
      <c r="F867" s="2"/>
      <c r="G867" s="2"/>
      <c r="H867" s="2"/>
      <c r="I867" s="2"/>
      <c r="J867" s="2"/>
      <c r="K867" s="2"/>
      <c r="L867" s="2"/>
      <c r="M867" s="2"/>
      <c r="N867" s="2"/>
      <c r="O867" s="2"/>
    </row>
    <row r="868" spans="1:15" s="3" customFormat="1">
      <c r="A868" s="4"/>
      <c r="C868" s="2"/>
      <c r="D868" s="2"/>
      <c r="E868" s="2"/>
      <c r="F868" s="2"/>
      <c r="G868" s="2"/>
      <c r="H868" s="2"/>
      <c r="I868" s="2"/>
      <c r="J868" s="2"/>
      <c r="K868" s="2"/>
      <c r="L868" s="2"/>
      <c r="M868" s="2"/>
      <c r="N868" s="2"/>
      <c r="O868" s="2"/>
    </row>
    <row r="869" spans="1:15" s="3" customFormat="1">
      <c r="A869" s="4"/>
      <c r="C869" s="2"/>
      <c r="D869" s="2"/>
      <c r="E869" s="2"/>
      <c r="F869" s="2"/>
      <c r="G869" s="2"/>
      <c r="H869" s="2"/>
      <c r="I869" s="2"/>
      <c r="J869" s="2"/>
      <c r="K869" s="2"/>
      <c r="L869" s="2"/>
      <c r="M869" s="2"/>
      <c r="N869" s="2"/>
      <c r="O869" s="2"/>
    </row>
    <row r="870" spans="1:15" s="3" customFormat="1">
      <c r="A870" s="4"/>
      <c r="C870" s="2"/>
      <c r="D870" s="2"/>
      <c r="E870" s="2"/>
      <c r="F870" s="2"/>
      <c r="G870" s="2"/>
      <c r="H870" s="2"/>
      <c r="I870" s="2"/>
      <c r="J870" s="2"/>
      <c r="K870" s="2"/>
      <c r="L870" s="2"/>
      <c r="M870" s="2"/>
      <c r="N870" s="2"/>
      <c r="O870" s="2"/>
    </row>
    <row r="871" spans="1:15" s="3" customFormat="1">
      <c r="A871" s="4"/>
      <c r="C871" s="2"/>
      <c r="D871" s="2"/>
      <c r="E871" s="2"/>
      <c r="F871" s="2"/>
      <c r="G871" s="2"/>
      <c r="H871" s="2"/>
      <c r="I871" s="2"/>
      <c r="J871" s="2"/>
      <c r="K871" s="2"/>
      <c r="L871" s="2"/>
      <c r="M871" s="2"/>
      <c r="N871" s="2"/>
      <c r="O871" s="2"/>
    </row>
    <row r="872" spans="1:15" s="3" customFormat="1">
      <c r="A872" s="4"/>
      <c r="C872" s="2"/>
      <c r="D872" s="2"/>
      <c r="E872" s="2"/>
      <c r="F872" s="2"/>
      <c r="G872" s="2"/>
      <c r="H872" s="2"/>
      <c r="I872" s="2"/>
      <c r="J872" s="2"/>
      <c r="K872" s="2"/>
      <c r="L872" s="2"/>
      <c r="M872" s="2"/>
      <c r="N872" s="2"/>
      <c r="O872" s="2"/>
    </row>
    <row r="873" spans="1:15" s="3" customFormat="1">
      <c r="A873" s="4"/>
      <c r="C873" s="2"/>
      <c r="D873" s="2"/>
      <c r="E873" s="2"/>
      <c r="F873" s="2"/>
      <c r="G873" s="2"/>
      <c r="H873" s="2"/>
      <c r="I873" s="2"/>
      <c r="J873" s="2"/>
      <c r="K873" s="2"/>
      <c r="L873" s="2"/>
      <c r="M873" s="2"/>
      <c r="N873" s="2"/>
      <c r="O873" s="2"/>
    </row>
    <row r="874" spans="1:15" s="3" customFormat="1">
      <c r="A874" s="4"/>
      <c r="C874" s="2"/>
      <c r="D874" s="2"/>
      <c r="E874" s="2"/>
      <c r="F874" s="2"/>
      <c r="G874" s="2"/>
      <c r="H874" s="2"/>
      <c r="I874" s="2"/>
      <c r="J874" s="2"/>
      <c r="K874" s="2"/>
      <c r="L874" s="2"/>
      <c r="M874" s="2"/>
      <c r="N874" s="2"/>
      <c r="O874" s="2"/>
    </row>
    <row r="875" spans="1:15" s="3" customFormat="1">
      <c r="A875" s="4"/>
      <c r="C875" s="2"/>
      <c r="D875" s="2"/>
      <c r="E875" s="2"/>
      <c r="F875" s="2"/>
      <c r="G875" s="2"/>
      <c r="H875" s="2"/>
      <c r="I875" s="2"/>
      <c r="J875" s="2"/>
      <c r="K875" s="2"/>
      <c r="L875" s="2"/>
      <c r="M875" s="2"/>
      <c r="N875" s="2"/>
      <c r="O875" s="2"/>
    </row>
    <row r="876" spans="1:15" s="3" customFormat="1">
      <c r="A876" s="4"/>
      <c r="C876" s="2"/>
      <c r="D876" s="2"/>
      <c r="E876" s="2"/>
      <c r="F876" s="2"/>
      <c r="G876" s="2"/>
      <c r="H876" s="2"/>
      <c r="I876" s="2"/>
      <c r="J876" s="2"/>
      <c r="K876" s="2"/>
      <c r="L876" s="2"/>
      <c r="M876" s="2"/>
      <c r="N876" s="2"/>
      <c r="O876" s="2"/>
    </row>
    <row r="877" spans="1:15" s="3" customFormat="1">
      <c r="A877" s="4"/>
      <c r="C877" s="2"/>
      <c r="D877" s="2"/>
      <c r="E877" s="2"/>
      <c r="F877" s="2"/>
      <c r="G877" s="2"/>
      <c r="H877" s="2"/>
      <c r="I877" s="2"/>
      <c r="J877" s="2"/>
      <c r="K877" s="2"/>
      <c r="L877" s="2"/>
      <c r="M877" s="2"/>
      <c r="N877" s="2"/>
      <c r="O877" s="2"/>
    </row>
    <row r="878" spans="1:15" s="3" customFormat="1">
      <c r="A878" s="4"/>
      <c r="C878" s="2"/>
      <c r="D878" s="2"/>
      <c r="E878" s="2"/>
      <c r="F878" s="2"/>
      <c r="G878" s="2"/>
      <c r="H878" s="2"/>
      <c r="I878" s="2"/>
      <c r="J878" s="2"/>
      <c r="K878" s="2"/>
      <c r="L878" s="2"/>
      <c r="M878" s="2"/>
      <c r="N878" s="2"/>
      <c r="O878" s="2"/>
    </row>
    <row r="879" spans="1:15" s="3" customFormat="1">
      <c r="A879" s="4"/>
      <c r="C879" s="2"/>
      <c r="D879" s="2"/>
      <c r="E879" s="2"/>
      <c r="F879" s="2"/>
      <c r="G879" s="2"/>
      <c r="H879" s="2"/>
      <c r="I879" s="2"/>
      <c r="J879" s="2"/>
      <c r="K879" s="2"/>
      <c r="L879" s="2"/>
      <c r="M879" s="2"/>
      <c r="N879" s="2"/>
      <c r="O879" s="2"/>
    </row>
    <row r="880" spans="1:15" s="3" customFormat="1">
      <c r="A880" s="4"/>
      <c r="C880" s="2"/>
      <c r="D880" s="2"/>
      <c r="E880" s="2"/>
      <c r="F880" s="2"/>
      <c r="G880" s="2"/>
      <c r="H880" s="2"/>
      <c r="I880" s="2"/>
      <c r="J880" s="2"/>
      <c r="K880" s="2"/>
      <c r="L880" s="2"/>
      <c r="M880" s="2"/>
      <c r="N880" s="2"/>
      <c r="O880" s="2"/>
    </row>
    <row r="881" spans="1:15" s="3" customFormat="1">
      <c r="A881" s="4"/>
      <c r="C881" s="2"/>
      <c r="D881" s="2"/>
      <c r="E881" s="2"/>
      <c r="F881" s="2"/>
      <c r="G881" s="2"/>
      <c r="H881" s="2"/>
      <c r="I881" s="2"/>
      <c r="J881" s="2"/>
      <c r="K881" s="2"/>
      <c r="L881" s="2"/>
      <c r="M881" s="2"/>
      <c r="N881" s="2"/>
      <c r="O881" s="2"/>
    </row>
    <row r="882" spans="1:15" s="3" customFormat="1">
      <c r="A882" s="4"/>
      <c r="C882" s="2"/>
      <c r="D882" s="2"/>
      <c r="E882" s="2"/>
      <c r="F882" s="2"/>
      <c r="G882" s="2"/>
      <c r="H882" s="2"/>
      <c r="I882" s="2"/>
      <c r="J882" s="2"/>
      <c r="K882" s="2"/>
      <c r="L882" s="2"/>
      <c r="M882" s="2"/>
      <c r="N882" s="2"/>
      <c r="O882" s="2"/>
    </row>
    <row r="883" spans="1:15" s="3" customFormat="1">
      <c r="A883" s="4"/>
      <c r="C883" s="2"/>
      <c r="D883" s="2"/>
      <c r="E883" s="2"/>
      <c r="F883" s="2"/>
      <c r="G883" s="2"/>
      <c r="H883" s="2"/>
      <c r="I883" s="2"/>
      <c r="J883" s="2"/>
      <c r="K883" s="2"/>
      <c r="L883" s="2"/>
      <c r="M883" s="2"/>
      <c r="N883" s="2"/>
      <c r="O883" s="2"/>
    </row>
    <row r="884" spans="1:15" s="3" customFormat="1">
      <c r="A884" s="4"/>
      <c r="C884" s="2"/>
      <c r="D884" s="2"/>
      <c r="E884" s="2"/>
      <c r="F884" s="2"/>
      <c r="G884" s="2"/>
      <c r="H884" s="2"/>
      <c r="I884" s="2"/>
      <c r="J884" s="2"/>
      <c r="K884" s="2"/>
      <c r="L884" s="2"/>
      <c r="M884" s="2"/>
      <c r="N884" s="2"/>
      <c r="O884" s="2"/>
    </row>
    <row r="885" spans="1:15" s="3" customFormat="1">
      <c r="A885" s="4"/>
      <c r="C885" s="2"/>
      <c r="D885" s="2"/>
      <c r="E885" s="2"/>
      <c r="F885" s="2"/>
      <c r="G885" s="2"/>
      <c r="H885" s="2"/>
      <c r="I885" s="2"/>
      <c r="J885" s="2"/>
      <c r="K885" s="2"/>
      <c r="L885" s="2"/>
      <c r="M885" s="2"/>
      <c r="N885" s="2"/>
      <c r="O885" s="2"/>
    </row>
    <row r="886" spans="1:15" s="3" customFormat="1">
      <c r="A886" s="4"/>
      <c r="C886" s="2"/>
      <c r="D886" s="2"/>
      <c r="E886" s="2"/>
      <c r="F886" s="2"/>
      <c r="G886" s="2"/>
      <c r="H886" s="2"/>
      <c r="I886" s="2"/>
      <c r="J886" s="2"/>
      <c r="K886" s="2"/>
      <c r="L886" s="2"/>
      <c r="M886" s="2"/>
      <c r="N886" s="2"/>
      <c r="O886" s="2"/>
    </row>
    <row r="887" spans="1:15" s="3" customFormat="1">
      <c r="A887" s="4"/>
      <c r="C887" s="2"/>
      <c r="D887" s="2"/>
      <c r="E887" s="2"/>
      <c r="F887" s="2"/>
      <c r="G887" s="2"/>
      <c r="H887" s="2"/>
      <c r="I887" s="2"/>
      <c r="J887" s="2"/>
      <c r="K887" s="2"/>
      <c r="L887" s="2"/>
      <c r="M887" s="2"/>
      <c r="N887" s="2"/>
      <c r="O887" s="2"/>
    </row>
    <row r="888" spans="1:15" s="3" customFormat="1">
      <c r="A888" s="4"/>
      <c r="C888" s="2"/>
      <c r="D888" s="2"/>
      <c r="E888" s="2"/>
      <c r="F888" s="2"/>
      <c r="G888" s="2"/>
      <c r="H888" s="2"/>
      <c r="I888" s="2"/>
      <c r="J888" s="2"/>
      <c r="K888" s="2"/>
      <c r="L888" s="2"/>
      <c r="M888" s="2"/>
      <c r="N888" s="2"/>
      <c r="O888" s="2"/>
    </row>
    <row r="889" spans="1:15" s="3" customFormat="1">
      <c r="A889" s="4"/>
      <c r="C889" s="2"/>
      <c r="D889" s="2"/>
      <c r="E889" s="2"/>
      <c r="F889" s="2"/>
      <c r="G889" s="2"/>
      <c r="H889" s="2"/>
      <c r="I889" s="2"/>
      <c r="J889" s="2"/>
      <c r="K889" s="2"/>
      <c r="L889" s="2"/>
      <c r="M889" s="2"/>
      <c r="N889" s="2"/>
      <c r="O889" s="2"/>
    </row>
    <row r="890" spans="1:15" s="3" customFormat="1">
      <c r="A890" s="4"/>
      <c r="C890" s="2"/>
      <c r="D890" s="2"/>
      <c r="E890" s="2"/>
      <c r="F890" s="2"/>
      <c r="G890" s="2"/>
      <c r="H890" s="2"/>
      <c r="I890" s="2"/>
      <c r="J890" s="2"/>
      <c r="K890" s="2"/>
      <c r="L890" s="2"/>
      <c r="M890" s="2"/>
      <c r="N890" s="2"/>
      <c r="O890" s="2"/>
    </row>
    <row r="891" spans="1:15" s="3" customFormat="1">
      <c r="A891" s="4"/>
      <c r="C891" s="2"/>
      <c r="D891" s="2"/>
      <c r="E891" s="2"/>
      <c r="F891" s="2"/>
      <c r="G891" s="2"/>
      <c r="H891" s="2"/>
      <c r="I891" s="2"/>
      <c r="J891" s="2"/>
      <c r="K891" s="2"/>
      <c r="L891" s="2"/>
      <c r="M891" s="2"/>
      <c r="N891" s="2"/>
      <c r="O891" s="2"/>
    </row>
    <row r="892" spans="1:15" s="3" customFormat="1">
      <c r="A892" s="4"/>
      <c r="C892" s="2"/>
      <c r="D892" s="2"/>
      <c r="E892" s="2"/>
      <c r="F892" s="2"/>
      <c r="G892" s="2"/>
      <c r="H892" s="2"/>
      <c r="I892" s="2"/>
      <c r="J892" s="2"/>
      <c r="K892" s="2"/>
      <c r="L892" s="2"/>
      <c r="M892" s="2"/>
      <c r="N892" s="2"/>
      <c r="O892" s="2"/>
    </row>
    <row r="893" spans="1:15" s="3" customFormat="1">
      <c r="A893" s="4"/>
      <c r="C893" s="2"/>
      <c r="D893" s="2"/>
      <c r="E893" s="2"/>
      <c r="F893" s="2"/>
      <c r="G893" s="2"/>
      <c r="H893" s="2"/>
      <c r="I893" s="2"/>
      <c r="J893" s="2"/>
      <c r="K893" s="2"/>
      <c r="L893" s="2"/>
      <c r="M893" s="2"/>
      <c r="N893" s="2"/>
      <c r="O893" s="2"/>
    </row>
    <row r="894" spans="1:15" s="3" customFormat="1">
      <c r="A894" s="4"/>
      <c r="C894" s="2"/>
      <c r="D894" s="2"/>
      <c r="E894" s="2"/>
      <c r="F894" s="2"/>
      <c r="G894" s="2"/>
      <c r="H894" s="2"/>
      <c r="I894" s="2"/>
      <c r="J894" s="2"/>
      <c r="K894" s="2"/>
      <c r="L894" s="2"/>
      <c r="M894" s="2"/>
      <c r="N894" s="2"/>
      <c r="O894" s="2"/>
    </row>
    <row r="895" spans="1:15" s="3" customFormat="1">
      <c r="A895" s="4"/>
      <c r="C895" s="2"/>
      <c r="D895" s="2"/>
      <c r="E895" s="2"/>
      <c r="F895" s="2"/>
      <c r="G895" s="2"/>
      <c r="H895" s="2"/>
      <c r="I895" s="2"/>
      <c r="J895" s="2"/>
      <c r="K895" s="2"/>
      <c r="L895" s="2"/>
      <c r="M895" s="2"/>
      <c r="N895" s="2"/>
      <c r="O895" s="2"/>
    </row>
    <row r="896" spans="1:15" s="3" customFormat="1">
      <c r="A896" s="4"/>
      <c r="C896" s="2"/>
      <c r="D896" s="2"/>
      <c r="E896" s="2"/>
      <c r="F896" s="2"/>
      <c r="G896" s="2"/>
      <c r="H896" s="2"/>
      <c r="I896" s="2"/>
      <c r="J896" s="2"/>
      <c r="K896" s="2"/>
      <c r="L896" s="2"/>
      <c r="M896" s="2"/>
      <c r="N896" s="2"/>
      <c r="O896" s="2"/>
    </row>
    <row r="897" spans="1:15" s="3" customFormat="1">
      <c r="A897" s="4"/>
      <c r="C897" s="2"/>
      <c r="D897" s="2"/>
      <c r="E897" s="2"/>
      <c r="F897" s="2"/>
      <c r="G897" s="2"/>
      <c r="H897" s="2"/>
      <c r="I897" s="2"/>
      <c r="J897" s="2"/>
      <c r="K897" s="2"/>
      <c r="L897" s="2"/>
      <c r="M897" s="2"/>
      <c r="N897" s="2"/>
      <c r="O897" s="2"/>
    </row>
    <row r="898" spans="1:15" s="3" customFormat="1">
      <c r="A898" s="4"/>
      <c r="C898" s="2"/>
      <c r="D898" s="2"/>
      <c r="E898" s="2"/>
      <c r="F898" s="2"/>
      <c r="G898" s="2"/>
      <c r="H898" s="2"/>
      <c r="I898" s="2"/>
      <c r="J898" s="2"/>
      <c r="K898" s="2"/>
      <c r="L898" s="2"/>
      <c r="M898" s="2"/>
      <c r="N898" s="2"/>
      <c r="O898" s="2"/>
    </row>
    <row r="899" spans="1:15" s="3" customFormat="1">
      <c r="A899" s="4"/>
      <c r="C899" s="2"/>
      <c r="D899" s="2"/>
      <c r="E899" s="2"/>
      <c r="F899" s="2"/>
      <c r="G899" s="2"/>
      <c r="H899" s="2"/>
      <c r="I899" s="2"/>
      <c r="J899" s="2"/>
      <c r="K899" s="2"/>
      <c r="L899" s="2"/>
      <c r="M899" s="2"/>
      <c r="N899" s="2"/>
      <c r="O899" s="2"/>
    </row>
    <row r="900" spans="1:15" s="3" customFormat="1">
      <c r="A900" s="4"/>
      <c r="C900" s="2"/>
      <c r="D900" s="2"/>
      <c r="E900" s="2"/>
      <c r="F900" s="2"/>
      <c r="G900" s="2"/>
      <c r="H900" s="2"/>
      <c r="I900" s="2"/>
      <c r="J900" s="2"/>
      <c r="K900" s="2"/>
      <c r="L900" s="2"/>
      <c r="M900" s="2"/>
      <c r="N900" s="2"/>
      <c r="O900" s="2"/>
    </row>
    <row r="901" spans="1:15" s="3" customFormat="1">
      <c r="A901" s="4"/>
      <c r="C901" s="2"/>
      <c r="D901" s="2"/>
      <c r="E901" s="2"/>
      <c r="F901" s="2"/>
      <c r="G901" s="2"/>
      <c r="H901" s="2"/>
      <c r="I901" s="2"/>
      <c r="J901" s="2"/>
      <c r="K901" s="2"/>
      <c r="L901" s="2"/>
      <c r="M901" s="2"/>
      <c r="N901" s="2"/>
      <c r="O901" s="2"/>
    </row>
    <row r="902" spans="1:15" s="3" customFormat="1">
      <c r="A902" s="4"/>
      <c r="C902" s="2"/>
      <c r="D902" s="2"/>
      <c r="E902" s="2"/>
      <c r="F902" s="2"/>
      <c r="G902" s="2"/>
      <c r="H902" s="2"/>
      <c r="I902" s="2"/>
      <c r="J902" s="2"/>
      <c r="K902" s="2"/>
      <c r="L902" s="2"/>
      <c r="M902" s="2"/>
      <c r="N902" s="2"/>
      <c r="O902" s="2"/>
    </row>
    <row r="903" spans="1:15" s="3" customFormat="1">
      <c r="A903" s="4"/>
      <c r="C903" s="2"/>
      <c r="D903" s="2"/>
      <c r="E903" s="2"/>
      <c r="F903" s="2"/>
      <c r="G903" s="2"/>
      <c r="H903" s="2"/>
      <c r="I903" s="2"/>
      <c r="J903" s="2"/>
      <c r="K903" s="2"/>
      <c r="L903" s="2"/>
      <c r="M903" s="2"/>
      <c r="N903" s="2"/>
      <c r="O903" s="2"/>
    </row>
    <row r="904" spans="1:15" s="3" customFormat="1">
      <c r="A904" s="4"/>
      <c r="C904" s="2"/>
      <c r="D904" s="2"/>
      <c r="E904" s="2"/>
      <c r="F904" s="2"/>
      <c r="G904" s="2"/>
      <c r="H904" s="2"/>
      <c r="I904" s="2"/>
      <c r="J904" s="2"/>
      <c r="K904" s="2"/>
      <c r="L904" s="2"/>
      <c r="M904" s="2"/>
      <c r="N904" s="2"/>
      <c r="O904" s="2"/>
    </row>
    <row r="905" spans="1:15" s="3" customFormat="1">
      <c r="A905" s="4"/>
      <c r="C905" s="2"/>
      <c r="D905" s="2"/>
      <c r="E905" s="2"/>
      <c r="F905" s="2"/>
      <c r="G905" s="2"/>
      <c r="H905" s="2"/>
      <c r="I905" s="2"/>
      <c r="J905" s="2"/>
      <c r="K905" s="2"/>
      <c r="L905" s="2"/>
      <c r="M905" s="2"/>
      <c r="N905" s="2"/>
      <c r="O905" s="2"/>
    </row>
    <row r="906" spans="1:15" s="3" customFormat="1">
      <c r="A906" s="4"/>
      <c r="C906" s="2"/>
      <c r="D906" s="2"/>
      <c r="E906" s="2"/>
      <c r="F906" s="2"/>
      <c r="G906" s="2"/>
      <c r="H906" s="2"/>
      <c r="I906" s="2"/>
      <c r="J906" s="2"/>
      <c r="K906" s="2"/>
      <c r="L906" s="2"/>
      <c r="M906" s="2"/>
      <c r="N906" s="2"/>
      <c r="O906" s="2"/>
    </row>
    <row r="907" spans="1:15" s="3" customFormat="1">
      <c r="A907" s="4"/>
      <c r="C907" s="2"/>
      <c r="D907" s="2"/>
      <c r="E907" s="2"/>
      <c r="F907" s="2"/>
      <c r="G907" s="2"/>
      <c r="H907" s="2"/>
      <c r="I907" s="2"/>
      <c r="J907" s="2"/>
      <c r="K907" s="2"/>
      <c r="L907" s="2"/>
      <c r="M907" s="2"/>
      <c r="N907" s="2"/>
      <c r="O907" s="2"/>
    </row>
    <row r="908" spans="1:15" s="3" customFormat="1">
      <c r="A908" s="4"/>
      <c r="C908" s="2"/>
      <c r="D908" s="2"/>
      <c r="E908" s="2"/>
      <c r="F908" s="2"/>
      <c r="G908" s="2"/>
      <c r="H908" s="2"/>
      <c r="I908" s="2"/>
      <c r="J908" s="2"/>
      <c r="K908" s="2"/>
      <c r="L908" s="2"/>
      <c r="M908" s="2"/>
      <c r="N908" s="2"/>
      <c r="O908" s="2"/>
    </row>
    <row r="909" spans="1:15" s="3" customFormat="1">
      <c r="A909" s="4"/>
      <c r="C909" s="2"/>
      <c r="D909" s="2"/>
      <c r="E909" s="2"/>
      <c r="F909" s="2"/>
      <c r="G909" s="2"/>
      <c r="H909" s="2"/>
      <c r="I909" s="2"/>
      <c r="J909" s="2"/>
      <c r="K909" s="2"/>
      <c r="L909" s="2"/>
      <c r="M909" s="2"/>
      <c r="N909" s="2"/>
      <c r="O909" s="2"/>
    </row>
    <row r="910" spans="1:15" s="3" customFormat="1">
      <c r="A910" s="4"/>
      <c r="C910" s="2"/>
      <c r="D910" s="2"/>
      <c r="E910" s="2"/>
      <c r="F910" s="2"/>
      <c r="G910" s="2"/>
      <c r="H910" s="2"/>
      <c r="I910" s="2"/>
      <c r="J910" s="2"/>
      <c r="K910" s="2"/>
      <c r="L910" s="2"/>
      <c r="M910" s="2"/>
      <c r="N910" s="2"/>
      <c r="O910" s="2"/>
    </row>
    <row r="911" spans="1:15" s="3" customFormat="1">
      <c r="A911" s="4"/>
      <c r="C911" s="2"/>
      <c r="D911" s="2"/>
      <c r="E911" s="2"/>
      <c r="F911" s="2"/>
      <c r="G911" s="2"/>
      <c r="H911" s="2"/>
      <c r="I911" s="2"/>
      <c r="J911" s="2"/>
      <c r="K911" s="2"/>
      <c r="L911" s="2"/>
      <c r="M911" s="2"/>
      <c r="N911" s="2"/>
      <c r="O911" s="2"/>
    </row>
    <row r="912" spans="1:15" s="3" customFormat="1">
      <c r="A912" s="4"/>
      <c r="C912" s="2"/>
      <c r="D912" s="2"/>
      <c r="E912" s="2"/>
      <c r="F912" s="2"/>
      <c r="G912" s="2"/>
      <c r="H912" s="2"/>
      <c r="I912" s="2"/>
      <c r="J912" s="2"/>
      <c r="K912" s="2"/>
      <c r="L912" s="2"/>
      <c r="M912" s="2"/>
      <c r="N912" s="2"/>
      <c r="O912" s="2"/>
    </row>
    <row r="913" spans="1:15" s="3" customFormat="1">
      <c r="A913" s="4"/>
      <c r="C913" s="2"/>
      <c r="D913" s="2"/>
      <c r="E913" s="2"/>
      <c r="F913" s="2"/>
      <c r="G913" s="2"/>
      <c r="H913" s="2"/>
      <c r="I913" s="2"/>
      <c r="J913" s="2"/>
      <c r="K913" s="2"/>
      <c r="L913" s="2"/>
      <c r="M913" s="2"/>
      <c r="N913" s="2"/>
      <c r="O913" s="2"/>
    </row>
    <row r="914" spans="1:15" s="3" customFormat="1">
      <c r="A914" s="4"/>
      <c r="C914" s="2"/>
      <c r="D914" s="2"/>
      <c r="E914" s="2"/>
      <c r="F914" s="2"/>
      <c r="G914" s="2"/>
      <c r="H914" s="2"/>
      <c r="I914" s="2"/>
      <c r="J914" s="2"/>
      <c r="K914" s="2"/>
      <c r="L914" s="2"/>
      <c r="M914" s="2"/>
      <c r="N914" s="2"/>
      <c r="O914" s="2"/>
    </row>
    <row r="915" spans="1:15" s="3" customFormat="1">
      <c r="A915" s="4"/>
      <c r="C915" s="2"/>
      <c r="D915" s="2"/>
      <c r="E915" s="2"/>
      <c r="F915" s="2"/>
      <c r="G915" s="2"/>
      <c r="H915" s="2"/>
      <c r="I915" s="2"/>
      <c r="J915" s="2"/>
      <c r="K915" s="2"/>
      <c r="L915" s="2"/>
      <c r="M915" s="2"/>
      <c r="N915" s="2"/>
      <c r="O915" s="2"/>
    </row>
    <row r="916" spans="1:15" s="3" customFormat="1">
      <c r="A916" s="4"/>
      <c r="C916" s="2"/>
      <c r="D916" s="2"/>
      <c r="E916" s="2"/>
      <c r="F916" s="2"/>
      <c r="G916" s="2"/>
      <c r="H916" s="2"/>
      <c r="I916" s="2"/>
      <c r="J916" s="2"/>
      <c r="K916" s="2"/>
      <c r="L916" s="2"/>
      <c r="M916" s="2"/>
      <c r="N916" s="2"/>
      <c r="O916" s="2"/>
    </row>
    <row r="917" spans="1:15" s="3" customFormat="1">
      <c r="A917" s="4"/>
      <c r="C917" s="2"/>
      <c r="D917" s="2"/>
      <c r="E917" s="2"/>
      <c r="F917" s="2"/>
      <c r="G917" s="2"/>
      <c r="H917" s="2"/>
      <c r="I917" s="2"/>
      <c r="J917" s="2"/>
      <c r="K917" s="2"/>
      <c r="L917" s="2"/>
      <c r="M917" s="2"/>
      <c r="N917" s="2"/>
      <c r="O917" s="2"/>
    </row>
    <row r="918" spans="1:15" s="3" customFormat="1">
      <c r="A918" s="4"/>
      <c r="C918" s="2"/>
      <c r="D918" s="2"/>
      <c r="E918" s="2"/>
      <c r="F918" s="2"/>
      <c r="G918" s="2"/>
      <c r="H918" s="2"/>
      <c r="I918" s="2"/>
      <c r="J918" s="2"/>
      <c r="K918" s="2"/>
      <c r="L918" s="2"/>
      <c r="M918" s="2"/>
      <c r="N918" s="2"/>
      <c r="O918" s="2"/>
    </row>
    <row r="919" spans="1:15" s="3" customFormat="1">
      <c r="A919" s="4"/>
      <c r="C919" s="2"/>
      <c r="D919" s="2"/>
      <c r="E919" s="2"/>
      <c r="F919" s="2"/>
      <c r="G919" s="2"/>
      <c r="H919" s="2"/>
      <c r="I919" s="2"/>
      <c r="J919" s="2"/>
      <c r="K919" s="2"/>
      <c r="L919" s="2"/>
      <c r="M919" s="2"/>
      <c r="N919" s="2"/>
      <c r="O919" s="2"/>
    </row>
    <row r="920" spans="1:15" s="3" customFormat="1">
      <c r="A920" s="4"/>
      <c r="C920" s="2"/>
      <c r="D920" s="2"/>
      <c r="E920" s="2"/>
      <c r="F920" s="2"/>
      <c r="G920" s="2"/>
      <c r="H920" s="2"/>
      <c r="I920" s="2"/>
      <c r="J920" s="2"/>
      <c r="K920" s="2"/>
      <c r="L920" s="2"/>
      <c r="M920" s="2"/>
      <c r="N920" s="2"/>
      <c r="O920" s="2"/>
    </row>
    <row r="921" spans="1:15" s="3" customFormat="1">
      <c r="A921" s="4"/>
      <c r="C921" s="2"/>
      <c r="D921" s="2"/>
      <c r="E921" s="2"/>
      <c r="F921" s="2"/>
      <c r="G921" s="2"/>
      <c r="H921" s="2"/>
      <c r="I921" s="2"/>
      <c r="J921" s="2"/>
      <c r="K921" s="2"/>
      <c r="L921" s="2"/>
      <c r="M921" s="2"/>
      <c r="N921" s="2"/>
      <c r="O921" s="2"/>
    </row>
    <row r="922" spans="1:15" s="3" customFormat="1">
      <c r="A922" s="4"/>
      <c r="C922" s="2"/>
      <c r="D922" s="2"/>
      <c r="E922" s="2"/>
      <c r="F922" s="2"/>
      <c r="G922" s="2"/>
      <c r="H922" s="2"/>
      <c r="I922" s="2"/>
      <c r="J922" s="2"/>
      <c r="K922" s="2"/>
      <c r="L922" s="2"/>
      <c r="M922" s="2"/>
      <c r="N922" s="2"/>
      <c r="O922" s="2"/>
    </row>
    <row r="923" spans="1:15" s="3" customFormat="1">
      <c r="A923" s="4"/>
      <c r="C923" s="2"/>
      <c r="D923" s="2"/>
      <c r="E923" s="2"/>
      <c r="F923" s="2"/>
      <c r="G923" s="2"/>
      <c r="H923" s="2"/>
      <c r="I923" s="2"/>
      <c r="J923" s="2"/>
      <c r="K923" s="2"/>
      <c r="L923" s="2"/>
      <c r="M923" s="2"/>
      <c r="N923" s="2"/>
      <c r="O923" s="2"/>
    </row>
    <row r="924" spans="1:15" s="3" customFormat="1">
      <c r="A924" s="4"/>
      <c r="C924" s="2"/>
      <c r="D924" s="2"/>
      <c r="E924" s="2"/>
      <c r="F924" s="2"/>
      <c r="G924" s="2"/>
      <c r="H924" s="2"/>
      <c r="I924" s="2"/>
      <c r="J924" s="2"/>
      <c r="K924" s="2"/>
      <c r="L924" s="2"/>
      <c r="M924" s="2"/>
      <c r="N924" s="2"/>
      <c r="O924" s="2"/>
    </row>
    <row r="925" spans="1:15" s="3" customFormat="1">
      <c r="A925" s="4"/>
      <c r="C925" s="2"/>
      <c r="D925" s="2"/>
      <c r="E925" s="2"/>
      <c r="F925" s="2"/>
      <c r="G925" s="2"/>
      <c r="H925" s="2"/>
      <c r="I925" s="2"/>
      <c r="J925" s="2"/>
      <c r="K925" s="2"/>
      <c r="L925" s="2"/>
      <c r="M925" s="2"/>
      <c r="N925" s="2"/>
      <c r="O925" s="2"/>
    </row>
    <row r="926" spans="1:15" s="3" customFormat="1">
      <c r="A926" s="4"/>
      <c r="C926" s="2"/>
      <c r="D926" s="2"/>
      <c r="E926" s="2"/>
      <c r="F926" s="2"/>
      <c r="G926" s="2"/>
      <c r="H926" s="2"/>
      <c r="I926" s="2"/>
      <c r="J926" s="2"/>
      <c r="K926" s="2"/>
      <c r="L926" s="2"/>
      <c r="M926" s="2"/>
      <c r="N926" s="2"/>
      <c r="O926" s="2"/>
    </row>
    <row r="927" spans="1:15" s="3" customFormat="1">
      <c r="A927" s="4"/>
      <c r="C927" s="2"/>
      <c r="D927" s="2"/>
      <c r="E927" s="2"/>
      <c r="F927" s="2"/>
      <c r="G927" s="2"/>
      <c r="H927" s="2"/>
      <c r="I927" s="2"/>
      <c r="J927" s="2"/>
      <c r="K927" s="2"/>
      <c r="L927" s="2"/>
      <c r="M927" s="2"/>
      <c r="N927" s="2"/>
      <c r="O927" s="2"/>
    </row>
    <row r="928" spans="1:15" s="3" customFormat="1">
      <c r="A928" s="4"/>
      <c r="C928" s="2"/>
      <c r="D928" s="2"/>
      <c r="E928" s="2"/>
      <c r="F928" s="2"/>
      <c r="G928" s="2"/>
      <c r="H928" s="2"/>
      <c r="I928" s="2"/>
      <c r="J928" s="2"/>
      <c r="K928" s="2"/>
      <c r="L928" s="2"/>
      <c r="M928" s="2"/>
      <c r="N928" s="2"/>
      <c r="O928" s="2"/>
    </row>
    <row r="929" spans="1:15" s="3" customFormat="1">
      <c r="A929" s="4"/>
      <c r="C929" s="2"/>
      <c r="D929" s="2"/>
      <c r="E929" s="2"/>
      <c r="F929" s="2"/>
      <c r="G929" s="2"/>
      <c r="H929" s="2"/>
      <c r="I929" s="2"/>
      <c r="J929" s="2"/>
      <c r="K929" s="2"/>
      <c r="L929" s="2"/>
      <c r="M929" s="2"/>
      <c r="N929" s="2"/>
      <c r="O929" s="2"/>
    </row>
    <row r="930" spans="1:15" s="3" customFormat="1">
      <c r="A930" s="4"/>
      <c r="C930" s="2"/>
      <c r="D930" s="2"/>
      <c r="E930" s="2"/>
      <c r="F930" s="2"/>
      <c r="G930" s="2"/>
      <c r="H930" s="2"/>
      <c r="I930" s="2"/>
      <c r="J930" s="2"/>
      <c r="K930" s="2"/>
      <c r="L930" s="2"/>
      <c r="M930" s="2"/>
      <c r="N930" s="2"/>
      <c r="O930" s="2"/>
    </row>
    <row r="931" spans="1:15" s="3" customFormat="1">
      <c r="A931" s="4"/>
      <c r="C931" s="2"/>
      <c r="D931" s="2"/>
      <c r="E931" s="2"/>
      <c r="F931" s="2"/>
      <c r="G931" s="2"/>
      <c r="H931" s="2"/>
      <c r="I931" s="2"/>
      <c r="J931" s="2"/>
      <c r="K931" s="2"/>
      <c r="L931" s="2"/>
      <c r="M931" s="2"/>
      <c r="N931" s="2"/>
      <c r="O931" s="2"/>
    </row>
    <row r="932" spans="1:15" s="3" customFormat="1">
      <c r="A932" s="4"/>
      <c r="C932" s="2"/>
      <c r="D932" s="2"/>
      <c r="E932" s="2"/>
      <c r="F932" s="2"/>
      <c r="G932" s="2"/>
      <c r="H932" s="2"/>
      <c r="I932" s="2"/>
      <c r="J932" s="2"/>
      <c r="K932" s="2"/>
      <c r="L932" s="2"/>
      <c r="M932" s="2"/>
      <c r="N932" s="2"/>
      <c r="O932" s="2"/>
    </row>
    <row r="933" spans="1:15" s="3" customFormat="1">
      <c r="A933" s="4"/>
      <c r="C933" s="2"/>
      <c r="D933" s="2"/>
      <c r="E933" s="2"/>
      <c r="F933" s="2"/>
      <c r="G933" s="2"/>
      <c r="H933" s="2"/>
      <c r="I933" s="2"/>
      <c r="J933" s="2"/>
      <c r="K933" s="2"/>
      <c r="L933" s="2"/>
      <c r="M933" s="2"/>
      <c r="N933" s="2"/>
      <c r="O933" s="2"/>
    </row>
    <row r="934" spans="1:15" s="3" customFormat="1">
      <c r="A934" s="4"/>
      <c r="C934" s="2"/>
      <c r="D934" s="2"/>
      <c r="E934" s="2"/>
      <c r="F934" s="2"/>
      <c r="G934" s="2"/>
      <c r="H934" s="2"/>
      <c r="I934" s="2"/>
      <c r="J934" s="2"/>
      <c r="K934" s="2"/>
      <c r="L934" s="2"/>
      <c r="M934" s="2"/>
      <c r="N934" s="2"/>
      <c r="O934" s="2"/>
    </row>
    <row r="935" spans="1:15" s="3" customFormat="1">
      <c r="A935" s="4"/>
      <c r="C935" s="2"/>
      <c r="D935" s="2"/>
      <c r="E935" s="2"/>
      <c r="F935" s="2"/>
      <c r="G935" s="2"/>
      <c r="H935" s="2"/>
      <c r="I935" s="2"/>
      <c r="J935" s="2"/>
      <c r="K935" s="2"/>
      <c r="L935" s="2"/>
      <c r="M935" s="2"/>
      <c r="N935" s="2"/>
      <c r="O935" s="2"/>
    </row>
    <row r="936" spans="1:15" s="3" customFormat="1">
      <c r="A936" s="4"/>
      <c r="C936" s="2"/>
      <c r="D936" s="2"/>
      <c r="E936" s="2"/>
      <c r="F936" s="2"/>
      <c r="G936" s="2"/>
      <c r="H936" s="2"/>
      <c r="I936" s="2"/>
      <c r="J936" s="2"/>
      <c r="K936" s="2"/>
      <c r="L936" s="2"/>
      <c r="M936" s="2"/>
      <c r="N936" s="2"/>
      <c r="O936" s="2"/>
    </row>
    <row r="937" spans="1:15" s="3" customFormat="1">
      <c r="A937" s="4"/>
      <c r="C937" s="2"/>
      <c r="D937" s="2"/>
      <c r="E937" s="2"/>
      <c r="F937" s="2"/>
      <c r="G937" s="2"/>
      <c r="H937" s="2"/>
      <c r="I937" s="2"/>
      <c r="J937" s="2"/>
      <c r="K937" s="2"/>
      <c r="L937" s="2"/>
      <c r="M937" s="2"/>
      <c r="N937" s="2"/>
      <c r="O937" s="2"/>
    </row>
    <row r="938" spans="1:15" s="3" customFormat="1">
      <c r="A938" s="4"/>
      <c r="C938" s="2"/>
      <c r="D938" s="2"/>
      <c r="E938" s="2"/>
      <c r="F938" s="2"/>
      <c r="G938" s="2"/>
      <c r="H938" s="2"/>
      <c r="I938" s="2"/>
      <c r="J938" s="2"/>
      <c r="K938" s="2"/>
      <c r="L938" s="2"/>
      <c r="M938" s="2"/>
      <c r="N938" s="2"/>
      <c r="O938" s="2"/>
    </row>
    <row r="939" spans="1:15" s="3" customFormat="1">
      <c r="A939" s="4"/>
      <c r="C939" s="2"/>
      <c r="D939" s="2"/>
      <c r="E939" s="2"/>
      <c r="F939" s="2"/>
      <c r="G939" s="2"/>
      <c r="H939" s="2"/>
      <c r="I939" s="2"/>
      <c r="J939" s="2"/>
      <c r="K939" s="2"/>
      <c r="L939" s="2"/>
      <c r="M939" s="2"/>
      <c r="N939" s="2"/>
      <c r="O939" s="2"/>
    </row>
    <row r="940" spans="1:15" s="3" customFormat="1">
      <c r="A940" s="4"/>
      <c r="C940" s="2"/>
      <c r="D940" s="2"/>
      <c r="E940" s="2"/>
      <c r="F940" s="2"/>
      <c r="G940" s="2"/>
      <c r="H940" s="2"/>
      <c r="I940" s="2"/>
      <c r="J940" s="2"/>
      <c r="K940" s="2"/>
      <c r="L940" s="2"/>
      <c r="M940" s="2"/>
      <c r="N940" s="2"/>
      <c r="O940" s="2"/>
    </row>
    <row r="941" spans="1:15" s="3" customFormat="1">
      <c r="A941" s="4"/>
      <c r="C941" s="2"/>
      <c r="D941" s="2"/>
      <c r="E941" s="2"/>
      <c r="F941" s="2"/>
      <c r="G941" s="2"/>
      <c r="H941" s="2"/>
      <c r="I941" s="2"/>
      <c r="J941" s="2"/>
      <c r="K941" s="2"/>
      <c r="L941" s="2"/>
      <c r="M941" s="2"/>
      <c r="N941" s="2"/>
      <c r="O941" s="2"/>
    </row>
    <row r="942" spans="1:15" s="3" customFormat="1">
      <c r="A942" s="4"/>
      <c r="C942" s="2"/>
      <c r="D942" s="2"/>
      <c r="E942" s="2"/>
      <c r="F942" s="2"/>
      <c r="G942" s="2"/>
      <c r="H942" s="2"/>
      <c r="I942" s="2"/>
      <c r="J942" s="2"/>
      <c r="K942" s="2"/>
      <c r="L942" s="2"/>
      <c r="M942" s="2"/>
      <c r="N942" s="2"/>
      <c r="O942" s="2"/>
    </row>
    <row r="943" spans="1:15" s="3" customFormat="1">
      <c r="A943" s="4"/>
      <c r="C943" s="2"/>
      <c r="D943" s="2"/>
      <c r="E943" s="2"/>
      <c r="F943" s="2"/>
      <c r="G943" s="2"/>
      <c r="H943" s="2"/>
      <c r="I943" s="2"/>
      <c r="J943" s="2"/>
      <c r="K943" s="2"/>
      <c r="L943" s="2"/>
      <c r="M943" s="2"/>
      <c r="N943" s="2"/>
      <c r="O943" s="2"/>
    </row>
    <row r="944" spans="1:15" s="3" customFormat="1">
      <c r="A944" s="4"/>
      <c r="C944" s="2"/>
      <c r="D944" s="2"/>
      <c r="E944" s="2"/>
      <c r="F944" s="2"/>
      <c r="G944" s="2"/>
      <c r="H944" s="2"/>
      <c r="I944" s="2"/>
      <c r="J944" s="2"/>
      <c r="K944" s="2"/>
      <c r="L944" s="2"/>
      <c r="M944" s="2"/>
      <c r="N944" s="2"/>
      <c r="O944" s="2"/>
    </row>
    <row r="945" spans="1:15" s="3" customFormat="1">
      <c r="A945" s="4"/>
      <c r="C945" s="2"/>
      <c r="D945" s="2"/>
      <c r="E945" s="2"/>
      <c r="F945" s="2"/>
      <c r="G945" s="2"/>
      <c r="H945" s="2"/>
      <c r="I945" s="2"/>
      <c r="J945" s="2"/>
      <c r="K945" s="2"/>
      <c r="L945" s="2"/>
      <c r="M945" s="2"/>
      <c r="N945" s="2"/>
      <c r="O945" s="2"/>
    </row>
    <row r="946" spans="1:15" s="3" customFormat="1">
      <c r="A946" s="4"/>
      <c r="C946" s="2"/>
      <c r="D946" s="2"/>
      <c r="E946" s="2"/>
      <c r="F946" s="2"/>
      <c r="G946" s="2"/>
      <c r="H946" s="2"/>
      <c r="I946" s="2"/>
      <c r="J946" s="2"/>
      <c r="K946" s="2"/>
      <c r="L946" s="2"/>
      <c r="M946" s="2"/>
      <c r="N946" s="2"/>
      <c r="O946" s="2"/>
    </row>
    <row r="947" spans="1:15" s="3" customFormat="1">
      <c r="A947" s="4"/>
      <c r="C947" s="2"/>
      <c r="D947" s="2"/>
      <c r="E947" s="2"/>
      <c r="F947" s="2"/>
      <c r="G947" s="2"/>
      <c r="H947" s="2"/>
      <c r="I947" s="2"/>
      <c r="J947" s="2"/>
      <c r="K947" s="2"/>
      <c r="L947" s="2"/>
      <c r="M947" s="2"/>
      <c r="N947" s="2"/>
      <c r="O947" s="2"/>
    </row>
    <row r="948" spans="1:15" s="3" customFormat="1">
      <c r="A948" s="4"/>
      <c r="C948" s="2"/>
      <c r="D948" s="2"/>
      <c r="E948" s="2"/>
      <c r="F948" s="2"/>
      <c r="G948" s="2"/>
      <c r="H948" s="2"/>
      <c r="I948" s="2"/>
      <c r="J948" s="2"/>
      <c r="K948" s="2"/>
      <c r="L948" s="2"/>
      <c r="M948" s="2"/>
      <c r="N948" s="2"/>
      <c r="O948" s="2"/>
    </row>
    <row r="949" spans="1:15" s="3" customFormat="1">
      <c r="A949" s="4"/>
      <c r="C949" s="2"/>
      <c r="D949" s="2"/>
      <c r="E949" s="2"/>
      <c r="F949" s="2"/>
      <c r="G949" s="2"/>
      <c r="H949" s="2"/>
      <c r="I949" s="2"/>
      <c r="J949" s="2"/>
      <c r="K949" s="2"/>
      <c r="L949" s="2"/>
      <c r="M949" s="2"/>
      <c r="N949" s="2"/>
      <c r="O949" s="2"/>
    </row>
    <row r="950" spans="1:15" s="3" customFormat="1">
      <c r="A950" s="4"/>
      <c r="C950" s="2"/>
      <c r="D950" s="2"/>
      <c r="E950" s="2"/>
      <c r="F950" s="2"/>
      <c r="G950" s="2"/>
      <c r="H950" s="2"/>
      <c r="I950" s="2"/>
      <c r="J950" s="2"/>
      <c r="K950" s="2"/>
      <c r="L950" s="2"/>
      <c r="M950" s="2"/>
      <c r="N950" s="2"/>
      <c r="O950" s="2"/>
    </row>
    <row r="951" spans="1:15" s="3" customFormat="1">
      <c r="A951" s="4"/>
      <c r="C951" s="2"/>
      <c r="D951" s="2"/>
      <c r="E951" s="2"/>
      <c r="F951" s="2"/>
      <c r="G951" s="2"/>
      <c r="H951" s="2"/>
      <c r="I951" s="2"/>
      <c r="J951" s="2"/>
      <c r="K951" s="2"/>
      <c r="L951" s="2"/>
      <c r="M951" s="2"/>
      <c r="N951" s="2"/>
      <c r="O951" s="2"/>
    </row>
    <row r="952" spans="1:15" s="3" customFormat="1">
      <c r="A952" s="4"/>
      <c r="C952" s="2"/>
      <c r="D952" s="2"/>
      <c r="E952" s="2"/>
      <c r="F952" s="2"/>
      <c r="G952" s="2"/>
      <c r="H952" s="2"/>
      <c r="I952" s="2"/>
      <c r="J952" s="2"/>
      <c r="K952" s="2"/>
      <c r="L952" s="2"/>
      <c r="M952" s="2"/>
      <c r="N952" s="2"/>
      <c r="O952" s="2"/>
    </row>
    <row r="953" spans="1:15" s="3" customFormat="1">
      <c r="A953" s="4"/>
      <c r="C953" s="2"/>
      <c r="D953" s="2"/>
      <c r="E953" s="2"/>
      <c r="F953" s="2"/>
      <c r="G953" s="2"/>
      <c r="H953" s="2"/>
      <c r="I953" s="2"/>
      <c r="J953" s="2"/>
      <c r="K953" s="2"/>
      <c r="L953" s="2"/>
      <c r="M953" s="2"/>
      <c r="N953" s="2"/>
      <c r="O953" s="2"/>
    </row>
    <row r="954" spans="1:15" s="3" customFormat="1">
      <c r="A954" s="4"/>
      <c r="C954" s="2"/>
      <c r="D954" s="2"/>
      <c r="E954" s="2"/>
      <c r="F954" s="2"/>
      <c r="G954" s="2"/>
      <c r="H954" s="2"/>
      <c r="I954" s="2"/>
      <c r="J954" s="2"/>
      <c r="K954" s="2"/>
      <c r="L954" s="2"/>
      <c r="M954" s="2"/>
      <c r="N954" s="2"/>
      <c r="O954" s="2"/>
    </row>
    <row r="955" spans="1:15" s="3" customFormat="1">
      <c r="A955" s="4"/>
      <c r="C955" s="2"/>
      <c r="D955" s="2"/>
      <c r="E955" s="2"/>
      <c r="F955" s="2"/>
      <c r="G955" s="2"/>
      <c r="H955" s="2"/>
      <c r="I955" s="2"/>
      <c r="J955" s="2"/>
      <c r="K955" s="2"/>
      <c r="L955" s="2"/>
      <c r="M955" s="2"/>
      <c r="N955" s="2"/>
      <c r="O955" s="2"/>
    </row>
    <row r="956" spans="1:15" s="3" customFormat="1">
      <c r="A956" s="4"/>
      <c r="C956" s="2"/>
      <c r="D956" s="2"/>
      <c r="E956" s="2"/>
      <c r="F956" s="2"/>
      <c r="G956" s="2"/>
      <c r="H956" s="2"/>
      <c r="I956" s="2"/>
      <c r="J956" s="2"/>
      <c r="K956" s="2"/>
      <c r="L956" s="2"/>
      <c r="M956" s="2"/>
      <c r="N956" s="2"/>
      <c r="O956" s="2"/>
    </row>
    <row r="957" spans="1:15" s="3" customFormat="1">
      <c r="A957" s="4"/>
      <c r="C957" s="2"/>
      <c r="D957" s="2"/>
      <c r="E957" s="2"/>
      <c r="F957" s="2"/>
      <c r="G957" s="2"/>
      <c r="H957" s="2"/>
      <c r="I957" s="2"/>
      <c r="J957" s="2"/>
      <c r="K957" s="2"/>
      <c r="L957" s="2"/>
      <c r="M957" s="2"/>
      <c r="N957" s="2"/>
      <c r="O957" s="2"/>
    </row>
    <row r="958" spans="1:15" s="3" customFormat="1">
      <c r="A958" s="4"/>
      <c r="C958" s="2"/>
      <c r="D958" s="2"/>
      <c r="E958" s="2"/>
      <c r="F958" s="2"/>
      <c r="G958" s="2"/>
      <c r="H958" s="2"/>
      <c r="I958" s="2"/>
      <c r="J958" s="2"/>
      <c r="K958" s="2"/>
      <c r="L958" s="2"/>
      <c r="M958" s="2"/>
      <c r="N958" s="2"/>
      <c r="O958" s="2"/>
    </row>
    <row r="959" spans="1:15" s="3" customFormat="1">
      <c r="A959" s="4"/>
      <c r="C959" s="2"/>
      <c r="D959" s="2"/>
      <c r="E959" s="2"/>
      <c r="F959" s="2"/>
      <c r="G959" s="2"/>
      <c r="H959" s="2"/>
      <c r="I959" s="2"/>
      <c r="J959" s="2"/>
      <c r="K959" s="2"/>
      <c r="L959" s="2"/>
      <c r="M959" s="2"/>
      <c r="N959" s="2"/>
      <c r="O959" s="2"/>
    </row>
    <row r="960" spans="1:15" s="3" customFormat="1">
      <c r="A960" s="4"/>
      <c r="C960" s="2"/>
      <c r="D960" s="2"/>
      <c r="E960" s="2"/>
      <c r="F960" s="2"/>
      <c r="G960" s="2"/>
      <c r="H960" s="2"/>
      <c r="I960" s="2"/>
      <c r="J960" s="2"/>
      <c r="K960" s="2"/>
      <c r="L960" s="2"/>
      <c r="M960" s="2"/>
      <c r="N960" s="2"/>
      <c r="O960" s="2"/>
    </row>
    <row r="961" spans="1:15" s="3" customFormat="1">
      <c r="A961" s="4"/>
      <c r="C961" s="2"/>
      <c r="D961" s="2"/>
      <c r="E961" s="2"/>
      <c r="F961" s="2"/>
      <c r="G961" s="2"/>
      <c r="H961" s="2"/>
      <c r="I961" s="2"/>
      <c r="J961" s="2"/>
      <c r="K961" s="2"/>
      <c r="L961" s="2"/>
      <c r="M961" s="2"/>
      <c r="N961" s="2"/>
      <c r="O961" s="2"/>
    </row>
    <row r="962" spans="1:15" s="3" customFormat="1">
      <c r="A962" s="4"/>
      <c r="C962" s="2"/>
      <c r="D962" s="2"/>
      <c r="E962" s="2"/>
      <c r="F962" s="2"/>
      <c r="G962" s="2"/>
      <c r="H962" s="2"/>
      <c r="I962" s="2"/>
      <c r="J962" s="2"/>
      <c r="K962" s="2"/>
      <c r="L962" s="2"/>
      <c r="M962" s="2"/>
      <c r="N962" s="2"/>
      <c r="O962" s="2"/>
    </row>
    <row r="963" spans="1:15" s="3" customFormat="1">
      <c r="A963" s="4"/>
      <c r="C963" s="2"/>
      <c r="D963" s="2"/>
      <c r="E963" s="2"/>
      <c r="F963" s="2"/>
      <c r="G963" s="2"/>
      <c r="H963" s="2"/>
      <c r="I963" s="2"/>
      <c r="J963" s="2"/>
      <c r="K963" s="2"/>
      <c r="L963" s="2"/>
      <c r="M963" s="2"/>
      <c r="N963" s="2"/>
      <c r="O963" s="2"/>
    </row>
    <row r="964" spans="1:15" s="3" customFormat="1">
      <c r="A964" s="4"/>
      <c r="C964" s="2"/>
      <c r="D964" s="2"/>
      <c r="E964" s="2"/>
      <c r="F964" s="2"/>
      <c r="G964" s="2"/>
      <c r="H964" s="2"/>
      <c r="I964" s="2"/>
      <c r="J964" s="2"/>
      <c r="K964" s="2"/>
      <c r="L964" s="2"/>
      <c r="M964" s="2"/>
      <c r="N964" s="2"/>
      <c r="O964" s="2"/>
    </row>
    <row r="965" spans="1:15" s="3" customFormat="1">
      <c r="A965" s="4"/>
      <c r="C965" s="2"/>
      <c r="D965" s="2"/>
      <c r="E965" s="2"/>
      <c r="F965" s="2"/>
      <c r="G965" s="2"/>
      <c r="H965" s="2"/>
      <c r="I965" s="2"/>
      <c r="J965" s="2"/>
      <c r="K965" s="2"/>
      <c r="L965" s="2"/>
      <c r="M965" s="2"/>
      <c r="N965" s="2"/>
      <c r="O965" s="2"/>
    </row>
    <row r="966" spans="1:15" s="3" customFormat="1">
      <c r="A966" s="4"/>
      <c r="C966" s="2"/>
      <c r="D966" s="2"/>
      <c r="E966" s="2"/>
      <c r="F966" s="2"/>
      <c r="G966" s="2"/>
      <c r="H966" s="2"/>
      <c r="I966" s="2"/>
      <c r="J966" s="2"/>
      <c r="K966" s="2"/>
      <c r="L966" s="2"/>
      <c r="M966" s="2"/>
      <c r="N966" s="2"/>
      <c r="O966" s="2"/>
    </row>
    <row r="967" spans="1:15" s="3" customFormat="1">
      <c r="A967" s="4"/>
      <c r="C967" s="2"/>
      <c r="D967" s="2"/>
      <c r="E967" s="2"/>
      <c r="F967" s="2"/>
      <c r="G967" s="2"/>
      <c r="H967" s="2"/>
      <c r="I967" s="2"/>
      <c r="J967" s="2"/>
      <c r="K967" s="2"/>
      <c r="L967" s="2"/>
      <c r="M967" s="2"/>
      <c r="N967" s="2"/>
      <c r="O967" s="2"/>
    </row>
    <row r="968" spans="1:15" s="3" customFormat="1">
      <c r="A968" s="4"/>
      <c r="C968" s="2"/>
      <c r="D968" s="2"/>
      <c r="E968" s="2"/>
      <c r="F968" s="2"/>
      <c r="G968" s="2"/>
      <c r="H968" s="2"/>
      <c r="I968" s="2"/>
      <c r="J968" s="2"/>
      <c r="K968" s="2"/>
      <c r="L968" s="2"/>
      <c r="M968" s="2"/>
      <c r="N968" s="2"/>
      <c r="O968" s="2"/>
    </row>
    <row r="969" spans="1:15" s="3" customFormat="1">
      <c r="A969" s="4"/>
      <c r="C969" s="2"/>
      <c r="D969" s="2"/>
      <c r="E969" s="2"/>
      <c r="F969" s="2"/>
      <c r="G969" s="2"/>
      <c r="H969" s="2"/>
      <c r="I969" s="2"/>
      <c r="J969" s="2"/>
      <c r="K969" s="2"/>
      <c r="L969" s="2"/>
      <c r="M969" s="2"/>
      <c r="N969" s="2"/>
      <c r="O969" s="2"/>
    </row>
    <row r="970" spans="1:15" s="3" customFormat="1">
      <c r="A970" s="4"/>
      <c r="C970" s="2"/>
      <c r="D970" s="2"/>
      <c r="E970" s="2"/>
      <c r="F970" s="2"/>
      <c r="G970" s="2"/>
      <c r="H970" s="2"/>
      <c r="I970" s="2"/>
      <c r="J970" s="2"/>
      <c r="K970" s="2"/>
      <c r="L970" s="2"/>
      <c r="M970" s="2"/>
      <c r="N970" s="2"/>
      <c r="O970" s="2"/>
    </row>
    <row r="971" spans="1:15" s="3" customFormat="1">
      <c r="A971" s="4"/>
      <c r="C971" s="2"/>
      <c r="D971" s="2"/>
      <c r="E971" s="2"/>
      <c r="F971" s="2"/>
      <c r="G971" s="2"/>
      <c r="H971" s="2"/>
      <c r="I971" s="2"/>
      <c r="J971" s="2"/>
      <c r="K971" s="2"/>
      <c r="L971" s="2"/>
      <c r="M971" s="2"/>
      <c r="N971" s="2"/>
      <c r="O971" s="2"/>
    </row>
    <row r="972" spans="1:15" s="3" customFormat="1">
      <c r="A972" s="4"/>
      <c r="C972" s="2"/>
      <c r="D972" s="2"/>
      <c r="E972" s="2"/>
      <c r="F972" s="2"/>
      <c r="G972" s="2"/>
      <c r="H972" s="2"/>
      <c r="I972" s="2"/>
      <c r="J972" s="2"/>
      <c r="K972" s="2"/>
      <c r="L972" s="2"/>
      <c r="M972" s="2"/>
      <c r="N972" s="2"/>
      <c r="O972" s="2"/>
    </row>
    <row r="973" spans="1:15" s="3" customFormat="1">
      <c r="A973" s="4"/>
      <c r="C973" s="2"/>
      <c r="D973" s="2"/>
      <c r="E973" s="2"/>
      <c r="F973" s="2"/>
      <c r="G973" s="2"/>
      <c r="H973" s="2"/>
      <c r="I973" s="2"/>
      <c r="J973" s="2"/>
      <c r="K973" s="2"/>
      <c r="L973" s="2"/>
      <c r="M973" s="2"/>
      <c r="N973" s="2"/>
      <c r="O973" s="2"/>
    </row>
    <row r="974" spans="1:15" s="3" customFormat="1">
      <c r="A974" s="4"/>
      <c r="C974" s="2"/>
      <c r="D974" s="2"/>
      <c r="E974" s="2"/>
      <c r="F974" s="2"/>
      <c r="G974" s="2"/>
      <c r="H974" s="2"/>
      <c r="I974" s="2"/>
      <c r="J974" s="2"/>
      <c r="K974" s="2"/>
      <c r="L974" s="2"/>
      <c r="M974" s="2"/>
      <c r="N974" s="2"/>
      <c r="O974" s="2"/>
    </row>
    <row r="975" spans="1:15" s="3" customFormat="1">
      <c r="A975" s="4"/>
      <c r="C975" s="2"/>
      <c r="D975" s="2"/>
      <c r="E975" s="2"/>
      <c r="F975" s="2"/>
      <c r="G975" s="2"/>
      <c r="H975" s="2"/>
      <c r="I975" s="2"/>
      <c r="J975" s="2"/>
      <c r="K975" s="2"/>
      <c r="L975" s="2"/>
      <c r="M975" s="2"/>
      <c r="N975" s="2"/>
      <c r="O975" s="2"/>
    </row>
    <row r="976" spans="1:15" s="3" customFormat="1">
      <c r="A976" s="4"/>
      <c r="C976" s="2"/>
      <c r="D976" s="2"/>
      <c r="E976" s="2"/>
      <c r="F976" s="2"/>
      <c r="G976" s="2"/>
      <c r="H976" s="2"/>
      <c r="I976" s="2"/>
      <c r="J976" s="2"/>
      <c r="K976" s="2"/>
      <c r="L976" s="2"/>
      <c r="M976" s="2"/>
      <c r="N976" s="2"/>
      <c r="O976" s="2"/>
    </row>
    <row r="977" spans="1:15" s="3" customFormat="1">
      <c r="A977" s="4"/>
      <c r="C977" s="2"/>
      <c r="D977" s="2"/>
      <c r="E977" s="2"/>
      <c r="F977" s="2"/>
      <c r="G977" s="2"/>
      <c r="H977" s="2"/>
      <c r="I977" s="2"/>
      <c r="J977" s="2"/>
      <c r="K977" s="2"/>
      <c r="L977" s="2"/>
      <c r="M977" s="2"/>
      <c r="N977" s="2"/>
      <c r="O977" s="2"/>
    </row>
    <row r="978" spans="1:15" s="3" customFormat="1">
      <c r="A978" s="4"/>
      <c r="C978" s="2"/>
      <c r="D978" s="2"/>
      <c r="E978" s="2"/>
      <c r="F978" s="2"/>
      <c r="G978" s="2"/>
      <c r="H978" s="2"/>
      <c r="I978" s="2"/>
      <c r="J978" s="2"/>
      <c r="K978" s="2"/>
      <c r="L978" s="2"/>
      <c r="M978" s="2"/>
      <c r="N978" s="2"/>
      <c r="O978" s="2"/>
    </row>
    <row r="979" spans="1:15" s="3" customFormat="1">
      <c r="A979" s="4"/>
      <c r="C979" s="2"/>
      <c r="D979" s="2"/>
      <c r="E979" s="2"/>
      <c r="F979" s="2"/>
      <c r="G979" s="2"/>
      <c r="H979" s="2"/>
      <c r="I979" s="2"/>
      <c r="J979" s="2"/>
      <c r="K979" s="2"/>
      <c r="L979" s="2"/>
      <c r="M979" s="2"/>
      <c r="N979" s="2"/>
      <c r="O979" s="2"/>
    </row>
    <row r="980" spans="1:15" s="3" customFormat="1">
      <c r="A980" s="4"/>
      <c r="C980" s="2"/>
      <c r="D980" s="2"/>
      <c r="E980" s="2"/>
      <c r="F980" s="2"/>
      <c r="G980" s="2"/>
      <c r="H980" s="2"/>
      <c r="I980" s="2"/>
      <c r="J980" s="2"/>
      <c r="K980" s="2"/>
      <c r="L980" s="2"/>
      <c r="M980" s="2"/>
      <c r="N980" s="2"/>
      <c r="O980" s="2"/>
    </row>
    <row r="981" spans="1:15" s="3" customFormat="1">
      <c r="A981" s="4"/>
      <c r="C981" s="2"/>
      <c r="D981" s="2"/>
      <c r="E981" s="2"/>
      <c r="F981" s="2"/>
      <c r="G981" s="2"/>
      <c r="H981" s="2"/>
      <c r="I981" s="2"/>
      <c r="J981" s="2"/>
      <c r="K981" s="2"/>
      <c r="L981" s="2"/>
      <c r="M981" s="2"/>
      <c r="N981" s="2"/>
      <c r="O981" s="2"/>
    </row>
    <row r="982" spans="1:15" s="3" customFormat="1">
      <c r="A982" s="4"/>
      <c r="C982" s="2"/>
      <c r="D982" s="2"/>
      <c r="E982" s="2"/>
      <c r="F982" s="2"/>
      <c r="G982" s="2"/>
      <c r="H982" s="2"/>
      <c r="I982" s="2"/>
      <c r="J982" s="2"/>
      <c r="K982" s="2"/>
      <c r="L982" s="2"/>
      <c r="M982" s="2"/>
      <c r="N982" s="2"/>
      <c r="O982" s="2"/>
    </row>
    <row r="983" spans="1:15" s="3" customFormat="1">
      <c r="A983" s="4"/>
      <c r="C983" s="2"/>
      <c r="D983" s="2"/>
      <c r="E983" s="2"/>
      <c r="F983" s="2"/>
      <c r="G983" s="2"/>
      <c r="H983" s="2"/>
      <c r="I983" s="2"/>
      <c r="J983" s="2"/>
      <c r="K983" s="2"/>
      <c r="L983" s="2"/>
      <c r="M983" s="2"/>
      <c r="N983" s="2"/>
      <c r="O983" s="2"/>
    </row>
    <row r="984" spans="1:15" s="3" customFormat="1">
      <c r="A984" s="4"/>
      <c r="C984" s="2"/>
      <c r="D984" s="2"/>
      <c r="E984" s="2"/>
      <c r="F984" s="2"/>
      <c r="G984" s="2"/>
      <c r="H984" s="2"/>
      <c r="I984" s="2"/>
      <c r="J984" s="2"/>
      <c r="K984" s="2"/>
      <c r="L984" s="2"/>
      <c r="M984" s="2"/>
      <c r="N984" s="2"/>
      <c r="O984" s="2"/>
    </row>
    <row r="985" spans="1:15" s="3" customFormat="1">
      <c r="A985" s="4"/>
      <c r="C985" s="2"/>
      <c r="D985" s="2"/>
      <c r="E985" s="2"/>
      <c r="F985" s="2"/>
      <c r="G985" s="2"/>
      <c r="H985" s="2"/>
      <c r="I985" s="2"/>
      <c r="J985" s="2"/>
      <c r="K985" s="2"/>
      <c r="L985" s="2"/>
      <c r="M985" s="2"/>
      <c r="N985" s="2"/>
      <c r="O985" s="2"/>
    </row>
    <row r="986" spans="1:15" s="3" customFormat="1">
      <c r="A986" s="4"/>
      <c r="C986" s="2"/>
      <c r="D986" s="2"/>
      <c r="E986" s="2"/>
      <c r="F986" s="2"/>
      <c r="G986" s="2"/>
      <c r="H986" s="2"/>
      <c r="I986" s="2"/>
      <c r="J986" s="2"/>
      <c r="K986" s="2"/>
      <c r="L986" s="2"/>
      <c r="M986" s="2"/>
      <c r="N986" s="2"/>
      <c r="O986" s="2"/>
    </row>
    <row r="987" spans="1:15" s="3" customFormat="1">
      <c r="A987" s="4"/>
      <c r="C987" s="2"/>
      <c r="D987" s="2"/>
      <c r="E987" s="2"/>
      <c r="F987" s="2"/>
      <c r="G987" s="2"/>
      <c r="H987" s="2"/>
      <c r="I987" s="2"/>
      <c r="J987" s="2"/>
      <c r="K987" s="2"/>
      <c r="L987" s="2"/>
      <c r="M987" s="2"/>
      <c r="N987" s="2"/>
      <c r="O987" s="2"/>
    </row>
    <row r="988" spans="1:15" s="3" customFormat="1">
      <c r="A988" s="4"/>
      <c r="C988" s="2"/>
      <c r="D988" s="2"/>
      <c r="E988" s="2"/>
      <c r="F988" s="2"/>
      <c r="G988" s="2"/>
      <c r="H988" s="2"/>
      <c r="I988" s="2"/>
      <c r="J988" s="2"/>
      <c r="K988" s="2"/>
      <c r="L988" s="2"/>
      <c r="M988" s="2"/>
      <c r="N988" s="2"/>
      <c r="O988" s="2"/>
    </row>
    <row r="989" spans="1:15" s="3" customFormat="1">
      <c r="A989" s="4"/>
      <c r="C989" s="2"/>
      <c r="D989" s="2"/>
      <c r="E989" s="2"/>
      <c r="F989" s="2"/>
      <c r="G989" s="2"/>
      <c r="H989" s="2"/>
      <c r="I989" s="2"/>
      <c r="J989" s="2"/>
      <c r="K989" s="2"/>
      <c r="L989" s="2"/>
      <c r="M989" s="2"/>
      <c r="N989" s="2"/>
      <c r="O989" s="2"/>
    </row>
    <row r="990" spans="1:15" s="3" customFormat="1">
      <c r="A990" s="4"/>
      <c r="C990" s="2"/>
      <c r="D990" s="2"/>
      <c r="E990" s="2"/>
      <c r="F990" s="2"/>
      <c r="G990" s="2"/>
      <c r="H990" s="2"/>
      <c r="I990" s="2"/>
      <c r="J990" s="2"/>
      <c r="K990" s="2"/>
      <c r="L990" s="2"/>
      <c r="M990" s="2"/>
      <c r="N990" s="2"/>
      <c r="O990" s="2"/>
    </row>
    <row r="991" spans="1:15" s="3" customFormat="1">
      <c r="A991" s="4"/>
      <c r="C991" s="2"/>
      <c r="D991" s="2"/>
      <c r="E991" s="2"/>
      <c r="F991" s="2"/>
      <c r="G991" s="2"/>
      <c r="H991" s="2"/>
      <c r="I991" s="2"/>
      <c r="J991" s="2"/>
      <c r="K991" s="2"/>
      <c r="L991" s="2"/>
      <c r="M991" s="2"/>
      <c r="N991" s="2"/>
      <c r="O991" s="2"/>
    </row>
    <row r="992" spans="1:15" s="3" customFormat="1">
      <c r="A992" s="4"/>
      <c r="C992" s="2"/>
      <c r="D992" s="2"/>
      <c r="E992" s="2"/>
      <c r="F992" s="2"/>
      <c r="G992" s="2"/>
      <c r="H992" s="2"/>
      <c r="I992" s="2"/>
      <c r="J992" s="2"/>
      <c r="K992" s="2"/>
      <c r="L992" s="2"/>
      <c r="M992" s="2"/>
      <c r="N992" s="2"/>
      <c r="O992" s="2"/>
    </row>
    <row r="993" spans="1:15" s="3" customFormat="1">
      <c r="A993" s="4"/>
      <c r="C993" s="2"/>
      <c r="D993" s="2"/>
      <c r="E993" s="2"/>
      <c r="F993" s="2"/>
      <c r="G993" s="2"/>
      <c r="H993" s="2"/>
      <c r="I993" s="2"/>
      <c r="J993" s="2"/>
      <c r="K993" s="2"/>
      <c r="L993" s="2"/>
      <c r="M993" s="2"/>
      <c r="N993" s="2"/>
      <c r="O993" s="2"/>
    </row>
    <row r="994" spans="1:15" s="3" customFormat="1">
      <c r="A994" s="4"/>
      <c r="C994" s="2"/>
      <c r="D994" s="2"/>
      <c r="E994" s="2"/>
      <c r="F994" s="2"/>
      <c r="G994" s="2"/>
      <c r="H994" s="2"/>
      <c r="I994" s="2"/>
      <c r="J994" s="2"/>
      <c r="K994" s="2"/>
      <c r="L994" s="2"/>
      <c r="M994" s="2"/>
      <c r="N994" s="2"/>
      <c r="O994" s="2"/>
    </row>
    <row r="995" spans="1:15" s="3" customFormat="1">
      <c r="A995" s="4"/>
      <c r="C995" s="2"/>
      <c r="D995" s="2"/>
      <c r="E995" s="2"/>
      <c r="F995" s="2"/>
      <c r="G995" s="2"/>
      <c r="H995" s="2"/>
      <c r="I995" s="2"/>
      <c r="J995" s="2"/>
      <c r="K995" s="2"/>
      <c r="L995" s="2"/>
      <c r="M995" s="2"/>
      <c r="N995" s="2"/>
      <c r="O995" s="2"/>
    </row>
    <row r="996" spans="1:15" s="3" customFormat="1">
      <c r="A996" s="4"/>
      <c r="C996" s="2"/>
      <c r="D996" s="2"/>
      <c r="E996" s="2"/>
      <c r="F996" s="2"/>
      <c r="G996" s="2"/>
      <c r="H996" s="2"/>
      <c r="I996" s="2"/>
      <c r="J996" s="2"/>
      <c r="K996" s="2"/>
      <c r="L996" s="2"/>
      <c r="M996" s="2"/>
      <c r="N996" s="2"/>
      <c r="O996" s="2"/>
    </row>
    <row r="997" spans="1:15" s="3" customFormat="1">
      <c r="A997" s="4"/>
      <c r="C997" s="2"/>
      <c r="D997" s="2"/>
      <c r="E997" s="2"/>
      <c r="F997" s="2"/>
      <c r="G997" s="2"/>
      <c r="H997" s="2"/>
      <c r="I997" s="2"/>
      <c r="J997" s="2"/>
      <c r="K997" s="2"/>
      <c r="L997" s="2"/>
      <c r="M997" s="2"/>
      <c r="N997" s="2"/>
      <c r="O997" s="2"/>
    </row>
    <row r="998" spans="1:15" s="3" customFormat="1">
      <c r="A998" s="4"/>
      <c r="C998" s="2"/>
      <c r="D998" s="2"/>
      <c r="E998" s="2"/>
      <c r="F998" s="2"/>
      <c r="G998" s="2"/>
      <c r="H998" s="2"/>
      <c r="I998" s="2"/>
      <c r="J998" s="2"/>
      <c r="K998" s="2"/>
      <c r="L998" s="2"/>
      <c r="M998" s="2"/>
      <c r="N998" s="2"/>
      <c r="O998" s="2"/>
    </row>
  </sheetData>
  <mergeCells count="6">
    <mergeCell ref="A2:O2"/>
    <mergeCell ref="A1:O1"/>
    <mergeCell ref="A380:O380"/>
    <mergeCell ref="A286:O286"/>
    <mergeCell ref="A192:O192"/>
    <mergeCell ref="A98:O98"/>
  </mergeCells>
  <phoneticPr fontId="6" type="noConversion"/>
  <pageMargins left="0.75" right="0.75" top="1" bottom="1" header="0.5" footer="0.5"/>
  <pageSetup scale="54" orientation="landscape" r:id="rId1"/>
  <headerFooter alignWithMargins="0"/>
  <rowBreaks count="4" manualBreakCount="4">
    <brk id="97" max="14" man="1"/>
    <brk id="191" max="14" man="1"/>
    <brk id="285" max="14" man="1"/>
    <brk id="379" max="14" man="1"/>
  </rowBreaks>
</worksheet>
</file>

<file path=xl/worksheets/sheet15.xml><?xml version="1.0" encoding="utf-8"?>
<worksheet xmlns="http://schemas.openxmlformats.org/spreadsheetml/2006/main" xmlns:r="http://schemas.openxmlformats.org/officeDocument/2006/relationships">
  <dimension ref="A1:AV998"/>
  <sheetViews>
    <sheetView tabSelected="1" topLeftCell="B475" zoomScaleNormal="100" workbookViewId="0">
      <selection activeCell="M484" sqref="M484"/>
    </sheetView>
  </sheetViews>
  <sheetFormatPr defaultColWidth="21" defaultRowHeight="12.75"/>
  <cols>
    <col min="1" max="1" width="40.140625" style="180" bestFit="1" customWidth="1"/>
    <col min="2" max="2" width="18.85546875" bestFit="1" customWidth="1"/>
    <col min="3" max="3" width="13" style="5" customWidth="1"/>
    <col min="4" max="4" width="14.140625" style="14" customWidth="1"/>
    <col min="5" max="5" width="12" style="5" customWidth="1"/>
    <col min="6" max="6" width="12" style="14" customWidth="1"/>
    <col min="7" max="7" width="12.5703125" style="5" customWidth="1"/>
    <col min="8" max="8" width="13.7109375" style="14" customWidth="1"/>
    <col min="9" max="9" width="13" style="5" customWidth="1"/>
    <col min="10" max="10" width="12.42578125" style="14" customWidth="1"/>
    <col min="11" max="11" width="12.5703125" style="5" customWidth="1"/>
    <col min="12" max="12" width="12" style="14" customWidth="1"/>
    <col min="13" max="13" width="12.85546875" style="5" bestFit="1" customWidth="1"/>
    <col min="14" max="14" width="12" style="14" customWidth="1"/>
    <col min="15" max="15" width="14.28515625" style="1" bestFit="1" customWidth="1"/>
    <col min="16" max="17" width="17.7109375" customWidth="1"/>
    <col min="18" max="18" width="16.42578125" customWidth="1"/>
    <col min="19" max="19" width="13.85546875" customWidth="1"/>
    <col min="29" max="31" width="16.42578125" customWidth="1"/>
    <col min="32" max="32" width="19" customWidth="1"/>
  </cols>
  <sheetData>
    <row r="1" spans="1:48" ht="58.5" customHeight="1" thickBot="1">
      <c r="A1" s="583" t="s">
        <v>524</v>
      </c>
      <c r="B1" s="584"/>
      <c r="C1" s="584"/>
      <c r="D1" s="584"/>
      <c r="E1" s="584"/>
      <c r="F1" s="584"/>
      <c r="G1" s="584"/>
      <c r="H1" s="584"/>
      <c r="I1" s="584"/>
      <c r="J1" s="584"/>
      <c r="K1" s="584"/>
      <c r="L1" s="584"/>
      <c r="M1" s="584"/>
      <c r="N1" s="584"/>
      <c r="O1" s="657"/>
    </row>
    <row r="2" spans="1:48" ht="49.5" customHeight="1" thickBot="1">
      <c r="A2" s="580" t="s">
        <v>46</v>
      </c>
      <c r="B2" s="656"/>
      <c r="C2" s="656"/>
      <c r="D2" s="656"/>
      <c r="E2" s="656"/>
      <c r="F2" s="656"/>
      <c r="G2" s="656"/>
      <c r="H2" s="656"/>
      <c r="I2" s="656"/>
      <c r="J2" s="656"/>
      <c r="K2" s="656"/>
      <c r="L2" s="656"/>
      <c r="M2" s="656"/>
      <c r="N2" s="656"/>
      <c r="O2" s="657"/>
      <c r="V2" s="8"/>
      <c r="W2" s="9"/>
      <c r="X2" s="9"/>
      <c r="Y2" s="9"/>
      <c r="Z2" s="9"/>
      <c r="AA2" s="9"/>
      <c r="AB2" s="9"/>
      <c r="AC2" s="9"/>
      <c r="AD2" s="9"/>
      <c r="AE2" s="9"/>
      <c r="AF2" s="9"/>
      <c r="AG2" s="9"/>
      <c r="AH2" s="9"/>
      <c r="AI2" s="9"/>
      <c r="AJ2" s="9"/>
      <c r="AK2" s="9"/>
      <c r="AL2" s="9"/>
      <c r="AM2" s="9"/>
      <c r="AN2" s="8"/>
      <c r="AU2" s="8" t="s">
        <v>47</v>
      </c>
      <c r="AV2" s="8" t="s">
        <v>48</v>
      </c>
    </row>
    <row r="3" spans="1:48" ht="15.75">
      <c r="A3" s="10" t="s">
        <v>1</v>
      </c>
      <c r="B3" s="11"/>
      <c r="C3" s="12"/>
      <c r="D3" s="13"/>
      <c r="O3" s="2"/>
      <c r="V3" s="15"/>
      <c r="AB3" s="16"/>
      <c r="AN3" s="15"/>
    </row>
    <row r="4" spans="1:48" ht="15.75">
      <c r="A4" s="17" t="s">
        <v>501</v>
      </c>
      <c r="B4" s="3"/>
      <c r="F4" s="18"/>
      <c r="O4" s="2"/>
    </row>
    <row r="5" spans="1:48">
      <c r="A5" s="19" t="s">
        <v>49</v>
      </c>
      <c r="B5" s="3"/>
      <c r="C5" s="20" t="s">
        <v>50</v>
      </c>
      <c r="D5" s="21" t="s">
        <v>50</v>
      </c>
      <c r="E5" s="20" t="s">
        <v>50</v>
      </c>
      <c r="F5" s="21" t="s">
        <v>50</v>
      </c>
      <c r="G5" s="20" t="s">
        <v>51</v>
      </c>
      <c r="H5" s="21" t="s">
        <v>51</v>
      </c>
      <c r="I5" s="20" t="s">
        <v>51</v>
      </c>
      <c r="J5" s="21" t="s">
        <v>51</v>
      </c>
      <c r="K5" s="20" t="s">
        <v>51</v>
      </c>
      <c r="L5" s="21" t="s">
        <v>51</v>
      </c>
      <c r="M5" s="20" t="s">
        <v>51</v>
      </c>
      <c r="N5" s="21" t="s">
        <v>50</v>
      </c>
      <c r="O5" s="2"/>
    </row>
    <row r="6" spans="1:48">
      <c r="A6" s="4"/>
      <c r="B6" s="3"/>
      <c r="C6" s="22" t="s">
        <v>2</v>
      </c>
      <c r="D6" s="23" t="s">
        <v>3</v>
      </c>
      <c r="E6" s="22" t="s">
        <v>4</v>
      </c>
      <c r="F6" s="23" t="s">
        <v>5</v>
      </c>
      <c r="G6" s="22" t="s">
        <v>6</v>
      </c>
      <c r="H6" s="23" t="s">
        <v>7</v>
      </c>
      <c r="I6" s="22" t="s">
        <v>8</v>
      </c>
      <c r="J6" s="23" t="s">
        <v>52</v>
      </c>
      <c r="K6" s="22" t="s">
        <v>9</v>
      </c>
      <c r="L6" s="23" t="s">
        <v>10</v>
      </c>
      <c r="M6" s="22" t="s">
        <v>11</v>
      </c>
      <c r="N6" s="23" t="s">
        <v>12</v>
      </c>
      <c r="O6" s="24" t="s">
        <v>13</v>
      </c>
      <c r="Q6" s="15"/>
      <c r="S6" s="15"/>
      <c r="V6" s="8"/>
      <c r="W6" s="9"/>
      <c r="X6" s="9"/>
      <c r="Y6" s="9"/>
      <c r="Z6" s="9"/>
      <c r="AA6" s="9"/>
      <c r="AB6" s="9"/>
      <c r="AC6" s="9"/>
      <c r="AD6" s="9"/>
      <c r="AE6" s="9"/>
      <c r="AF6" s="9"/>
      <c r="AG6" s="9"/>
      <c r="AH6" s="9"/>
      <c r="AI6" s="9"/>
      <c r="AJ6" s="9"/>
      <c r="AK6" s="9"/>
      <c r="AL6" s="9"/>
      <c r="AM6" s="9"/>
      <c r="AN6" s="8"/>
    </row>
    <row r="7" spans="1:48" ht="13.5" thickBot="1">
      <c r="A7" s="19" t="s">
        <v>53</v>
      </c>
      <c r="B7" s="3"/>
      <c r="C7" s="25">
        <f>'Pumpage 2014'!G47</f>
        <v>372.07079916558763</v>
      </c>
      <c r="D7" s="26">
        <f>'Pumpage 2014'!H47</f>
        <v>336.063947633434</v>
      </c>
      <c r="E7" s="25">
        <f>'Pumpage 2014'!I47</f>
        <v>372.07079916558763</v>
      </c>
      <c r="F7" s="26">
        <f>'Pumpage 2014'!J47</f>
        <v>360.06851532153644</v>
      </c>
      <c r="G7" s="25">
        <f>'Pumpage 2014'!K47</f>
        <v>372.07079916558763</v>
      </c>
      <c r="H7" s="26">
        <f>'Pumpage 2014'!L47</f>
        <v>360.06851532153644</v>
      </c>
      <c r="I7" s="25">
        <f>'Pumpage 2014'!M47</f>
        <v>372.07079916558763</v>
      </c>
      <c r="J7" s="26">
        <f>'Pumpage 2014'!N47</f>
        <v>372.07079916558763</v>
      </c>
      <c r="K7" s="25">
        <f>'Pumpage 2014'!O47</f>
        <v>360.06851532153644</v>
      </c>
      <c r="L7" s="26">
        <f>'Pumpage 2014'!P47</f>
        <v>372.07079916558763</v>
      </c>
      <c r="M7" s="25">
        <f>'Pumpage 2014'!Q47</f>
        <v>360.06851532153644</v>
      </c>
      <c r="N7" s="26">
        <f>'Pumpage 2014'!R47</f>
        <v>372.07079916558763</v>
      </c>
      <c r="O7" s="27">
        <f>SUM(C7:N7)</f>
        <v>4380.8336030786932</v>
      </c>
      <c r="P7" s="15"/>
      <c r="Q7" s="15"/>
      <c r="R7" s="15"/>
      <c r="S7" s="15"/>
      <c r="V7" s="15"/>
      <c r="Z7" s="8"/>
      <c r="AA7" s="8"/>
      <c r="AN7" s="15"/>
    </row>
    <row r="8" spans="1:48">
      <c r="A8" s="28" t="s">
        <v>54</v>
      </c>
      <c r="B8" s="29" t="s">
        <v>55</v>
      </c>
      <c r="C8" s="30">
        <f>AVERAGE('Lex WTPs 2007-2010'!G23,'2011 Actual Costs'!C8)</f>
        <v>7.2970204046750222</v>
      </c>
      <c r="D8" s="31">
        <f>AVERAGE('Lex WTPs 2007-2010'!L23,'2011 Actual Costs'!D8)</f>
        <v>7.5425309443508901</v>
      </c>
      <c r="E8" s="30">
        <f>AVERAGE('Lex WTPs 2007-2010'!Q23,'2011 Actual Costs'!E8)</f>
        <v>17.795563605073347</v>
      </c>
      <c r="F8" s="31">
        <f>AVERAGE('Lex WTPs 2007-2010'!V23,'2011 Actual Costs'!F8)</f>
        <v>4.5166823437373491</v>
      </c>
      <c r="G8" s="30">
        <f>AVERAGE('Lex WTPs 2007-2010'!AA23,'2011 Actual Costs'!G8)</f>
        <v>4.3446493664447399</v>
      </c>
      <c r="H8" s="31">
        <f>AVERAGE('Lex WTPs 2007-2010'!AF23,'2011 Actual Costs'!H8)</f>
        <v>10.73087857028238</v>
      </c>
      <c r="I8" s="30">
        <f>AVERAGE('Lex WTPs 2007-2010'!AK23,'2011 Actual Costs'!I8)</f>
        <v>7.8250187215329881</v>
      </c>
      <c r="J8" s="31">
        <f>AVERAGE('Lex WTPs 2007-2010'!AP23,'2011 Actual Costs'!J8)</f>
        <v>13.656680864197151</v>
      </c>
      <c r="K8" s="30">
        <f>AVERAGE('Lex WTPs 2007-2010'!AU23,'2011 Actual Costs'!K8)</f>
        <v>8.5692114828909762</v>
      </c>
      <c r="L8" s="31">
        <f>AVERAGE('Lex WTPs 2007-2010'!AZ23,'2011 Actual Costs'!L8)</f>
        <v>9.4595267968382792</v>
      </c>
      <c r="M8" s="30">
        <f>AVERAGE('Lex WTPs 2007-2010'!BE23,'2011 Actual Costs'!M8)</f>
        <v>14.335172916278498</v>
      </c>
      <c r="N8" s="31">
        <f>AVERAGE('Lex WTPs 2007-2010'!BJ23,'2011 Actual Costs'!N8)</f>
        <v>16.276413512829475</v>
      </c>
      <c r="O8" s="32">
        <f>O9/O$7</f>
        <v>10.224795334950198</v>
      </c>
    </row>
    <row r="9" spans="1:48">
      <c r="A9" s="34" t="s">
        <v>56</v>
      </c>
      <c r="B9" s="35" t="s">
        <v>57</v>
      </c>
      <c r="C9" s="36">
        <f t="shared" ref="C9:N9" si="0">C$7*C8</f>
        <v>2715.0082134950353</v>
      </c>
      <c r="D9" s="37">
        <f t="shared" si="0"/>
        <v>2534.772724305893</v>
      </c>
      <c r="E9" s="36">
        <f t="shared" si="0"/>
        <v>6621.2095721416863</v>
      </c>
      <c r="F9" s="37">
        <f t="shared" si="0"/>
        <v>1626.3151056885049</v>
      </c>
      <c r="G9" s="36">
        <f t="shared" si="0"/>
        <v>1616.5171618673583</v>
      </c>
      <c r="H9" s="37">
        <f t="shared" si="0"/>
        <v>3863.8515148972683</v>
      </c>
      <c r="I9" s="36">
        <f t="shared" si="0"/>
        <v>2911.4609692064637</v>
      </c>
      <c r="J9" s="37">
        <f t="shared" si="0"/>
        <v>5081.2521630912215</v>
      </c>
      <c r="K9" s="36">
        <f t="shared" si="0"/>
        <v>3085.5032561208154</v>
      </c>
      <c r="L9" s="37">
        <f t="shared" si="0"/>
        <v>3519.6136950279097</v>
      </c>
      <c r="M9" s="36">
        <f t="shared" si="0"/>
        <v>5161.6444288418988</v>
      </c>
      <c r="N9" s="37">
        <f t="shared" si="0"/>
        <v>6055.9781832680319</v>
      </c>
      <c r="O9" s="38">
        <f>SUM(C9:N9)</f>
        <v>44793.126987952084</v>
      </c>
      <c r="P9" s="40"/>
      <c r="Q9" s="39"/>
      <c r="R9" s="39"/>
      <c r="S9" s="41"/>
      <c r="T9" s="8"/>
    </row>
    <row r="10" spans="1:48" ht="15.75">
      <c r="A10" s="42"/>
      <c r="B10" s="35" t="s">
        <v>58</v>
      </c>
      <c r="C10" s="43">
        <f>'Price Changes'!F3</f>
        <v>0.56176199999999998</v>
      </c>
      <c r="D10" s="44">
        <f t="shared" ref="D10:N10" si="1">C10</f>
        <v>0.56176199999999998</v>
      </c>
      <c r="E10" s="43">
        <f t="shared" si="1"/>
        <v>0.56176199999999998</v>
      </c>
      <c r="F10" s="44">
        <f t="shared" si="1"/>
        <v>0.56176199999999998</v>
      </c>
      <c r="G10" s="43">
        <f t="shared" si="1"/>
        <v>0.56176199999999998</v>
      </c>
      <c r="H10" s="44">
        <f t="shared" si="1"/>
        <v>0.56176199999999998</v>
      </c>
      <c r="I10" s="43">
        <f t="shared" si="1"/>
        <v>0.56176199999999998</v>
      </c>
      <c r="J10" s="44">
        <f t="shared" si="1"/>
        <v>0.56176199999999998</v>
      </c>
      <c r="K10" s="43">
        <f t="shared" si="1"/>
        <v>0.56176199999999998</v>
      </c>
      <c r="L10" s="44">
        <f t="shared" si="1"/>
        <v>0.56176199999999998</v>
      </c>
      <c r="M10" s="43">
        <f t="shared" si="1"/>
        <v>0.56176199999999998</v>
      </c>
      <c r="N10" s="44">
        <f t="shared" si="1"/>
        <v>0.56176199999999998</v>
      </c>
      <c r="O10" s="45">
        <f>IF(O9=0,0,+O11/O9)</f>
        <v>0.56176200000000009</v>
      </c>
      <c r="P10" s="46"/>
      <c r="Q10" s="47"/>
      <c r="R10" s="47"/>
      <c r="S10" s="41"/>
      <c r="T10" s="8"/>
    </row>
    <row r="11" spans="1:48">
      <c r="A11" s="42"/>
      <c r="B11" s="35" t="s">
        <v>15</v>
      </c>
      <c r="C11" s="48">
        <f t="shared" ref="C11:N11" si="2">C9*C10</f>
        <v>1525.1884440293979</v>
      </c>
      <c r="D11" s="49">
        <f t="shared" si="2"/>
        <v>1423.938995151527</v>
      </c>
      <c r="E11" s="48">
        <f t="shared" si="2"/>
        <v>3719.5439316654579</v>
      </c>
      <c r="F11" s="49">
        <f t="shared" si="2"/>
        <v>913.60202640178591</v>
      </c>
      <c r="G11" s="48">
        <f t="shared" si="2"/>
        <v>908.0979138849309</v>
      </c>
      <c r="H11" s="49">
        <f t="shared" si="2"/>
        <v>2170.5649547117191</v>
      </c>
      <c r="I11" s="48">
        <f t="shared" si="2"/>
        <v>1635.5481369833615</v>
      </c>
      <c r="J11" s="49">
        <f t="shared" si="2"/>
        <v>2854.4543776424507</v>
      </c>
      <c r="K11" s="48">
        <f t="shared" si="2"/>
        <v>1733.3184801649415</v>
      </c>
      <c r="L11" s="49">
        <f t="shared" si="2"/>
        <v>1977.1852285462685</v>
      </c>
      <c r="M11" s="48">
        <f t="shared" si="2"/>
        <v>2899.6156976350826</v>
      </c>
      <c r="N11" s="49">
        <f t="shared" si="2"/>
        <v>3402.0184161890161</v>
      </c>
      <c r="O11" s="50">
        <f>SUM(C11:N11)</f>
        <v>25163.076603005942</v>
      </c>
      <c r="P11" s="40"/>
      <c r="Q11" s="40"/>
      <c r="R11" s="40"/>
      <c r="S11" s="41"/>
      <c r="T11" s="8"/>
    </row>
    <row r="12" spans="1:48" ht="16.5" thickBot="1">
      <c r="A12" s="51"/>
      <c r="B12" s="52" t="s">
        <v>59</v>
      </c>
      <c r="C12" s="53">
        <f t="shared" ref="C12:O12" si="3">C11/C$7</f>
        <v>4.09918877657105</v>
      </c>
      <c r="D12" s="54">
        <f t="shared" si="3"/>
        <v>4.2371072683604449</v>
      </c>
      <c r="E12" s="53">
        <f t="shared" si="3"/>
        <v>9.9968714019132143</v>
      </c>
      <c r="F12" s="54">
        <f t="shared" si="3"/>
        <v>2.5373005067825809</v>
      </c>
      <c r="G12" s="53">
        <f t="shared" si="3"/>
        <v>2.4406589173927298</v>
      </c>
      <c r="H12" s="54">
        <f t="shared" si="3"/>
        <v>6.0281998073989707</v>
      </c>
      <c r="I12" s="53">
        <f t="shared" si="3"/>
        <v>4.3957981670458146</v>
      </c>
      <c r="J12" s="54">
        <f t="shared" si="3"/>
        <v>7.6718043556331192</v>
      </c>
      <c r="K12" s="53">
        <f t="shared" si="3"/>
        <v>4.8138573810518004</v>
      </c>
      <c r="L12" s="54">
        <f t="shared" si="3"/>
        <v>5.3140026924454649</v>
      </c>
      <c r="M12" s="53">
        <f t="shared" si="3"/>
        <v>8.0529554077944407</v>
      </c>
      <c r="N12" s="54">
        <f t="shared" si="3"/>
        <v>9.1434706077941108</v>
      </c>
      <c r="O12" s="55">
        <f t="shared" si="3"/>
        <v>5.7439014769522929</v>
      </c>
      <c r="P12" s="56"/>
      <c r="Q12" s="57"/>
      <c r="R12" s="57"/>
      <c r="S12" s="41"/>
      <c r="T12" s="8"/>
    </row>
    <row r="13" spans="1:48">
      <c r="A13" s="28" t="s">
        <v>60</v>
      </c>
      <c r="B13" s="29" t="s">
        <v>55</v>
      </c>
      <c r="C13" s="30">
        <f>AVERAGE('Lex WTPs 2007-2010'!G18,'2011 Actual Costs'!C13)</f>
        <v>0.53937402059112316</v>
      </c>
      <c r="D13" s="31">
        <f>AVERAGE('Lex WTPs 2007-2010'!L18,'2011 Actual Costs'!D13)</f>
        <v>2.7485965009007489</v>
      </c>
      <c r="E13" s="30">
        <f>AVERAGE('Lex WTPs 2007-2010'!Q18,'2011 Actual Costs'!E13)</f>
        <v>1.6839609393156219</v>
      </c>
      <c r="F13" s="31">
        <f>AVERAGE('Lex WTPs 2007-2010'!V18,'2011 Actual Costs'!F13)</f>
        <v>0.42434015106509376</v>
      </c>
      <c r="G13" s="30">
        <f>AVERAGE('Lex WTPs 2007-2010'!AA18,'2011 Actual Costs'!G13)</f>
        <v>1.0580544307169417</v>
      </c>
      <c r="H13" s="31">
        <f>AVERAGE('Lex WTPs 2007-2010'!AF18,'2011 Actual Costs'!H13)</f>
        <v>1.5592814174688758</v>
      </c>
      <c r="I13" s="30">
        <f>AVERAGE('Lex WTPs 2007-2010'!AK18,'2011 Actual Costs'!I13)</f>
        <v>1.1408275214355568</v>
      </c>
      <c r="J13" s="31">
        <f>AVERAGE('Lex WTPs 2007-2010'!AP18,'2011 Actual Costs'!J13)</f>
        <v>0</v>
      </c>
      <c r="K13" s="30">
        <f>AVERAGE('Lex WTPs 2007-2010'!AU18,'2011 Actual Costs'!K13)</f>
        <v>1.3936501122323106</v>
      </c>
      <c r="L13" s="31">
        <f>AVERAGE('Lex WTPs 2007-2010'!AZ18,'2011 Actual Costs'!L13)</f>
        <v>3.8039741369835043</v>
      </c>
      <c r="M13" s="30">
        <f>AVERAGE('Lex WTPs 2007-2010'!BE18,'2011 Actual Costs'!M13)</f>
        <v>1.1989957607178188</v>
      </c>
      <c r="N13" s="31">
        <f>AVERAGE('Lex WTPs 2007-2010'!BJ18,'2011 Actual Costs'!N13)</f>
        <v>0.41921690282552193</v>
      </c>
      <c r="O13" s="32">
        <f>O14/O$7</f>
        <v>1.3212503336374253</v>
      </c>
      <c r="P13" s="58"/>
      <c r="Q13" s="58"/>
      <c r="R13" s="58"/>
      <c r="S13" s="41"/>
    </row>
    <row r="14" spans="1:48">
      <c r="A14" s="34" t="s">
        <v>56</v>
      </c>
      <c r="B14" s="35" t="s">
        <v>57</v>
      </c>
      <c r="C14" s="36">
        <f t="shared" ref="C14:N14" si="4">C$7*C13</f>
        <v>200.68532289049531</v>
      </c>
      <c r="D14" s="37">
        <f t="shared" si="4"/>
        <v>923.70419054414924</v>
      </c>
      <c r="E14" s="36">
        <f t="shared" si="4"/>
        <v>626.55269245479701</v>
      </c>
      <c r="F14" s="37">
        <f t="shared" si="4"/>
        <v>152.79152818532481</v>
      </c>
      <c r="G14" s="36">
        <f t="shared" si="4"/>
        <v>393.67115759754336</v>
      </c>
      <c r="H14" s="37">
        <f t="shared" si="4"/>
        <v>561.44814495647893</v>
      </c>
      <c r="I14" s="36">
        <f t="shared" si="4"/>
        <v>424.46860761062413</v>
      </c>
      <c r="J14" s="37">
        <f t="shared" si="4"/>
        <v>0</v>
      </c>
      <c r="K14" s="36">
        <f t="shared" si="4"/>
        <v>501.80952678918072</v>
      </c>
      <c r="L14" s="37">
        <f t="shared" si="4"/>
        <v>1415.3476971526788</v>
      </c>
      <c r="M14" s="36">
        <f t="shared" si="4"/>
        <v>431.72062343848114</v>
      </c>
      <c r="N14" s="37">
        <f t="shared" si="4"/>
        <v>155.97836805801444</v>
      </c>
      <c r="O14" s="38">
        <f>SUM(C14:N14)</f>
        <v>5788.1778596777676</v>
      </c>
      <c r="P14" s="57"/>
      <c r="Q14" s="57"/>
      <c r="R14" s="57"/>
      <c r="S14" s="41"/>
      <c r="T14" s="8"/>
    </row>
    <row r="15" spans="1:48" ht="15.75">
      <c r="A15" s="42"/>
      <c r="B15" s="35" t="s">
        <v>58</v>
      </c>
      <c r="C15" s="43">
        <f>'Price Changes'!F4</f>
        <v>0.89465800000000006</v>
      </c>
      <c r="D15" s="44">
        <f t="shared" ref="D15:N15" si="5">C15</f>
        <v>0.89465800000000006</v>
      </c>
      <c r="E15" s="43">
        <f t="shared" si="5"/>
        <v>0.89465800000000006</v>
      </c>
      <c r="F15" s="44">
        <f t="shared" si="5"/>
        <v>0.89465800000000006</v>
      </c>
      <c r="G15" s="43">
        <f t="shared" si="5"/>
        <v>0.89465800000000006</v>
      </c>
      <c r="H15" s="44">
        <f t="shared" si="5"/>
        <v>0.89465800000000006</v>
      </c>
      <c r="I15" s="43">
        <f t="shared" si="5"/>
        <v>0.89465800000000006</v>
      </c>
      <c r="J15" s="44">
        <f t="shared" si="5"/>
        <v>0.89465800000000006</v>
      </c>
      <c r="K15" s="43">
        <f t="shared" si="5"/>
        <v>0.89465800000000006</v>
      </c>
      <c r="L15" s="44">
        <f t="shared" si="5"/>
        <v>0.89465800000000006</v>
      </c>
      <c r="M15" s="43">
        <f t="shared" si="5"/>
        <v>0.89465800000000006</v>
      </c>
      <c r="N15" s="44">
        <f t="shared" si="5"/>
        <v>0.89465800000000006</v>
      </c>
      <c r="O15" s="45">
        <f>IF(O14=0,0,+O16/O14)</f>
        <v>0.89465800000000006</v>
      </c>
      <c r="P15" s="46"/>
      <c r="Q15" s="47"/>
      <c r="R15" s="47"/>
      <c r="S15" s="41"/>
      <c r="T15" s="8"/>
    </row>
    <row r="16" spans="1:48">
      <c r="A16" s="42"/>
      <c r="B16" s="35" t="s">
        <v>15</v>
      </c>
      <c r="C16" s="48">
        <f t="shared" ref="C16:N16" si="6">C14*C15</f>
        <v>179.54472960656477</v>
      </c>
      <c r="D16" s="49">
        <f t="shared" si="6"/>
        <v>826.39934370384753</v>
      </c>
      <c r="E16" s="48">
        <f t="shared" si="6"/>
        <v>560.55037872622381</v>
      </c>
      <c r="F16" s="49">
        <f t="shared" si="6"/>
        <v>136.69616302322632</v>
      </c>
      <c r="G16" s="48">
        <f t="shared" si="6"/>
        <v>352.20105051390294</v>
      </c>
      <c r="H16" s="49">
        <f t="shared" si="6"/>
        <v>502.30407447047355</v>
      </c>
      <c r="I16" s="48">
        <f t="shared" si="6"/>
        <v>379.75423554770578</v>
      </c>
      <c r="J16" s="49">
        <f t="shared" si="6"/>
        <v>0</v>
      </c>
      <c r="K16" s="48">
        <f t="shared" si="6"/>
        <v>448.94790761815489</v>
      </c>
      <c r="L16" s="49">
        <f t="shared" si="6"/>
        <v>1266.2521400392213</v>
      </c>
      <c r="M16" s="48">
        <f t="shared" si="6"/>
        <v>386.24230952422471</v>
      </c>
      <c r="N16" s="49">
        <f t="shared" si="6"/>
        <v>139.54729481004711</v>
      </c>
      <c r="O16" s="50">
        <f>SUM(C16:N16)</f>
        <v>5178.4396275835925</v>
      </c>
      <c r="P16" s="59"/>
      <c r="Q16" s="40"/>
      <c r="R16" s="40"/>
      <c r="S16" s="41"/>
      <c r="T16" s="8"/>
    </row>
    <row r="17" spans="1:40" ht="16.5" thickBot="1">
      <c r="A17" s="51"/>
      <c r="B17" s="52" t="s">
        <v>59</v>
      </c>
      <c r="C17" s="53">
        <f t="shared" ref="C17:O17" si="7">C16/C$7</f>
        <v>0.48255528251401308</v>
      </c>
      <c r="D17" s="54">
        <f t="shared" si="7"/>
        <v>2.4590538483028626</v>
      </c>
      <c r="E17" s="53">
        <f t="shared" si="7"/>
        <v>1.5065691260462357</v>
      </c>
      <c r="F17" s="54">
        <f t="shared" si="7"/>
        <v>0.37963931087159469</v>
      </c>
      <c r="G17" s="53">
        <f t="shared" si="7"/>
        <v>0.94659686087635764</v>
      </c>
      <c r="H17" s="54">
        <f t="shared" si="7"/>
        <v>1.3950235943898694</v>
      </c>
      <c r="I17" s="53">
        <f t="shared" si="7"/>
        <v>1.0206504686724922</v>
      </c>
      <c r="J17" s="54">
        <f t="shared" si="7"/>
        <v>0</v>
      </c>
      <c r="K17" s="53">
        <f t="shared" si="7"/>
        <v>1.2468402221095347</v>
      </c>
      <c r="L17" s="54">
        <f t="shared" si="7"/>
        <v>3.4032558934453876</v>
      </c>
      <c r="M17" s="53">
        <f t="shared" si="7"/>
        <v>1.0726911492922824</v>
      </c>
      <c r="N17" s="54">
        <f t="shared" si="7"/>
        <v>0.37505575584807588</v>
      </c>
      <c r="O17" s="55">
        <f t="shared" si="7"/>
        <v>1.1820671809913919</v>
      </c>
      <c r="P17" s="56"/>
      <c r="Q17" s="57"/>
      <c r="R17" s="57"/>
      <c r="S17" s="41"/>
      <c r="T17" s="8"/>
    </row>
    <row r="18" spans="1:40">
      <c r="A18" s="28" t="s">
        <v>61</v>
      </c>
      <c r="B18" s="29" t="s">
        <v>55</v>
      </c>
      <c r="C18" s="30">
        <f>AVERAGE('Lex WTPs 2007-2010'!G16,'2011 Actual Costs'!C18)</f>
        <v>59.063629317695316</v>
      </c>
      <c r="D18" s="31">
        <f>AVERAGE('Lex WTPs 2007-2010'!L16,'2011 Actual Costs'!D18)</f>
        <v>65.315875304263884</v>
      </c>
      <c r="E18" s="30">
        <f>AVERAGE('Lex WTPs 2007-2010'!Q16,'2011 Actual Costs'!E18)</f>
        <v>68.438538254169885</v>
      </c>
      <c r="F18" s="31">
        <f>AVERAGE('Lex WTPs 2007-2010'!V16,'2011 Actual Costs'!F18)</f>
        <v>68.641965365174173</v>
      </c>
      <c r="G18" s="30">
        <f>AVERAGE('Lex WTPs 2007-2010'!AA16,'2011 Actual Costs'!G18)</f>
        <v>66.008242578693029</v>
      </c>
      <c r="H18" s="31">
        <f>AVERAGE('Lex WTPs 2007-2010'!AF16,'2011 Actual Costs'!H18)</f>
        <v>74.020416933561364</v>
      </c>
      <c r="I18" s="30">
        <f>AVERAGE('Lex WTPs 2007-2010'!AK16,'2011 Actual Costs'!I18)</f>
        <v>83.028586980584407</v>
      </c>
      <c r="J18" s="31">
        <f>AVERAGE('Lex WTPs 2007-2010'!AP16,'2011 Actual Costs'!J18)</f>
        <v>73.822406925060449</v>
      </c>
      <c r="K18" s="30">
        <f>AVERAGE('Lex WTPs 2007-2010'!AU16,'2011 Actual Costs'!K18)</f>
        <v>70.119414342101891</v>
      </c>
      <c r="L18" s="31">
        <f>AVERAGE('Lex WTPs 2007-2010'!AZ16,'2011 Actual Costs'!L18)</f>
        <v>70.995053125790932</v>
      </c>
      <c r="M18" s="30">
        <f>AVERAGE('Lex WTPs 2007-2010'!BE16,'2011 Actual Costs'!M18)</f>
        <v>64.441590093565097</v>
      </c>
      <c r="N18" s="31">
        <f>AVERAGE('Lex WTPs 2007-2010'!BJ16,'2011 Actual Costs'!N18)</f>
        <v>61.88696376755729</v>
      </c>
      <c r="O18" s="32">
        <f>O19/O$7</f>
        <v>68.838608657500146</v>
      </c>
      <c r="V18" s="15"/>
      <c r="AN18" s="15"/>
    </row>
    <row r="19" spans="1:40" ht="15.75">
      <c r="A19" s="34" t="s">
        <v>56</v>
      </c>
      <c r="B19" s="35" t="s">
        <v>57</v>
      </c>
      <c r="C19" s="36">
        <f t="shared" ref="C19:N19" si="8">C$7*C18</f>
        <v>21975.851761854927</v>
      </c>
      <c r="D19" s="37">
        <f t="shared" si="8"/>
        <v>21950.310897884043</v>
      </c>
      <c r="E19" s="36">
        <f t="shared" si="8"/>
        <v>25463.98162195363</v>
      </c>
      <c r="F19" s="37">
        <f t="shared" si="8"/>
        <v>24715.810557790592</v>
      </c>
      <c r="G19" s="36">
        <f t="shared" si="8"/>
        <v>24559.739567770284</v>
      </c>
      <c r="H19" s="37">
        <f t="shared" si="8"/>
        <v>26652.421628748554</v>
      </c>
      <c r="I19" s="36">
        <f t="shared" si="8"/>
        <v>30892.512711455543</v>
      </c>
      <c r="J19" s="37">
        <f t="shared" si="8"/>
        <v>27467.161940934453</v>
      </c>
      <c r="K19" s="36">
        <f t="shared" si="8"/>
        <v>25247.793417376277</v>
      </c>
      <c r="L19" s="37">
        <f t="shared" si="8"/>
        <v>26415.186153316383</v>
      </c>
      <c r="M19" s="36">
        <f t="shared" si="8"/>
        <v>23203.387669949014</v>
      </c>
      <c r="N19" s="37">
        <f t="shared" si="8"/>
        <v>23026.332066926807</v>
      </c>
      <c r="O19" s="38">
        <f>SUM(C19:N19)</f>
        <v>301570.4899959605</v>
      </c>
      <c r="P19" s="60"/>
      <c r="Q19" s="60"/>
      <c r="R19" s="57"/>
      <c r="S19" s="41"/>
      <c r="T19" s="8"/>
      <c r="V19" s="15"/>
      <c r="X19" s="16"/>
      <c r="AE19" s="16"/>
      <c r="AG19" s="8"/>
      <c r="AH19" s="16"/>
      <c r="AN19" s="15"/>
    </row>
    <row r="20" spans="1:40" ht="15.75">
      <c r="A20" s="42"/>
      <c r="B20" s="35" t="s">
        <v>58</v>
      </c>
      <c r="C20" s="43">
        <f>'Price Changes'!F5</f>
        <v>0.21630000000000002</v>
      </c>
      <c r="D20" s="44">
        <f t="shared" ref="D20:N20" si="9">C20</f>
        <v>0.21630000000000002</v>
      </c>
      <c r="E20" s="43">
        <f t="shared" si="9"/>
        <v>0.21630000000000002</v>
      </c>
      <c r="F20" s="44">
        <f t="shared" si="9"/>
        <v>0.21630000000000002</v>
      </c>
      <c r="G20" s="43">
        <f t="shared" si="9"/>
        <v>0.21630000000000002</v>
      </c>
      <c r="H20" s="44">
        <f t="shared" si="9"/>
        <v>0.21630000000000002</v>
      </c>
      <c r="I20" s="43">
        <f t="shared" si="9"/>
        <v>0.21630000000000002</v>
      </c>
      <c r="J20" s="44">
        <f t="shared" si="9"/>
        <v>0.21630000000000002</v>
      </c>
      <c r="K20" s="43">
        <f t="shared" si="9"/>
        <v>0.21630000000000002</v>
      </c>
      <c r="L20" s="44">
        <f t="shared" si="9"/>
        <v>0.21630000000000002</v>
      </c>
      <c r="M20" s="43">
        <f t="shared" si="9"/>
        <v>0.21630000000000002</v>
      </c>
      <c r="N20" s="44">
        <f t="shared" si="9"/>
        <v>0.21630000000000002</v>
      </c>
      <c r="O20" s="45">
        <f>IF(O19=0,0,+O21/O19)</f>
        <v>0.21630000000000005</v>
      </c>
      <c r="P20" s="46"/>
      <c r="Q20" s="47"/>
      <c r="R20" s="47"/>
      <c r="S20" s="41"/>
      <c r="T20" s="61"/>
      <c r="U20" s="40"/>
      <c r="V20" s="62"/>
      <c r="W20" s="40"/>
      <c r="X20" s="40"/>
      <c r="Y20" s="40"/>
      <c r="Z20" s="40"/>
      <c r="AA20" s="40"/>
      <c r="AN20" s="15"/>
    </row>
    <row r="21" spans="1:40" ht="15.75">
      <c r="A21" s="42"/>
      <c r="B21" s="35" t="s">
        <v>15</v>
      </c>
      <c r="C21" s="48">
        <f t="shared" ref="C21:N21" si="10">C19*C20</f>
        <v>4753.3767360892207</v>
      </c>
      <c r="D21" s="49">
        <f t="shared" si="10"/>
        <v>4747.8522472123186</v>
      </c>
      <c r="E21" s="48">
        <f t="shared" si="10"/>
        <v>5507.8592248285704</v>
      </c>
      <c r="F21" s="49">
        <f t="shared" si="10"/>
        <v>5346.0298236501058</v>
      </c>
      <c r="G21" s="48">
        <f t="shared" si="10"/>
        <v>5312.2716685087134</v>
      </c>
      <c r="H21" s="49">
        <f t="shared" si="10"/>
        <v>5764.918798298313</v>
      </c>
      <c r="I21" s="48">
        <f t="shared" si="10"/>
        <v>6682.0504994878347</v>
      </c>
      <c r="J21" s="49">
        <f t="shared" si="10"/>
        <v>5941.1471278241224</v>
      </c>
      <c r="K21" s="48">
        <f t="shared" si="10"/>
        <v>5461.0977161784895</v>
      </c>
      <c r="L21" s="49">
        <f t="shared" si="10"/>
        <v>5713.6047649623342</v>
      </c>
      <c r="M21" s="48">
        <f t="shared" si="10"/>
        <v>5018.8927530099718</v>
      </c>
      <c r="N21" s="49">
        <f t="shared" si="10"/>
        <v>4980.5956260762687</v>
      </c>
      <c r="O21" s="50">
        <f>SUM(C21:N21)</f>
        <v>65229.69698612627</v>
      </c>
      <c r="P21" s="40"/>
      <c r="Q21" s="40"/>
      <c r="R21" s="40"/>
      <c r="S21" s="41"/>
      <c r="T21" s="8"/>
      <c r="V21" s="15"/>
      <c r="X21" s="16"/>
      <c r="Y21" s="8"/>
      <c r="AH21" s="8"/>
      <c r="AN21" s="15"/>
    </row>
    <row r="22" spans="1:40" ht="16.5" thickBot="1">
      <c r="A22" s="51"/>
      <c r="B22" s="52" t="s">
        <v>59</v>
      </c>
      <c r="C22" s="53">
        <f t="shared" ref="C22:O22" si="11">C21/C$7</f>
        <v>12.775463021417497</v>
      </c>
      <c r="D22" s="54">
        <f t="shared" si="11"/>
        <v>14.127823828312279</v>
      </c>
      <c r="E22" s="53">
        <f t="shared" si="11"/>
        <v>14.803255824376947</v>
      </c>
      <c r="F22" s="54">
        <f t="shared" si="11"/>
        <v>14.847257108487177</v>
      </c>
      <c r="G22" s="53">
        <f t="shared" si="11"/>
        <v>14.277582869771305</v>
      </c>
      <c r="H22" s="54">
        <f t="shared" si="11"/>
        <v>16.010616182729326</v>
      </c>
      <c r="I22" s="53">
        <f t="shared" si="11"/>
        <v>17.959083363900408</v>
      </c>
      <c r="J22" s="54">
        <f t="shared" si="11"/>
        <v>15.967786617890576</v>
      </c>
      <c r="K22" s="53">
        <f t="shared" si="11"/>
        <v>15.166829322196641</v>
      </c>
      <c r="L22" s="54">
        <f t="shared" si="11"/>
        <v>15.356229991108581</v>
      </c>
      <c r="M22" s="53">
        <f t="shared" si="11"/>
        <v>13.938715937238131</v>
      </c>
      <c r="N22" s="54">
        <f t="shared" si="11"/>
        <v>13.386150262922643</v>
      </c>
      <c r="O22" s="55">
        <f t="shared" si="11"/>
        <v>14.889791052617285</v>
      </c>
      <c r="P22" s="56"/>
      <c r="Q22" s="57"/>
      <c r="R22" s="57"/>
      <c r="S22" s="41"/>
      <c r="T22" s="8"/>
      <c r="V22" s="15"/>
      <c r="X22" s="63"/>
      <c r="Y22" s="8"/>
      <c r="AN22" s="15"/>
    </row>
    <row r="23" spans="1:40">
      <c r="A23" s="28" t="s">
        <v>62</v>
      </c>
      <c r="B23" s="29" t="s">
        <v>55</v>
      </c>
      <c r="C23" s="30">
        <f>AVERAGE('Lex WTPs 2007-2010'!G19,'2011 Actual Costs'!C23)</f>
        <v>0</v>
      </c>
      <c r="D23" s="31">
        <f>AVERAGE('Lex WTPs 2007-2010'!L19,'2011 Actual Costs'!D23)</f>
        <v>0</v>
      </c>
      <c r="E23" s="30">
        <f>AVERAGE('Lex WTPs 2007-2010'!Q19,'2011 Actual Costs'!E23)</f>
        <v>5.427366074787952</v>
      </c>
      <c r="F23" s="31">
        <f>AVERAGE('Lex WTPs 2007-2010'!V19,'2011 Actual Costs'!F23)</f>
        <v>0</v>
      </c>
      <c r="G23" s="30">
        <f>AVERAGE('Lex WTPs 2007-2010'!AA19,'2011 Actual Costs'!G23)</f>
        <v>4.9800444983561301</v>
      </c>
      <c r="H23" s="31">
        <f>AVERAGE('Lex WTPs 2007-2010'!AF19,'2011 Actual Costs'!H23)</f>
        <v>10.000966268575523</v>
      </c>
      <c r="I23" s="30">
        <f>AVERAGE('Lex WTPs 2007-2010'!AK19,'2011 Actual Costs'!I23)</f>
        <v>5.1109167471650396</v>
      </c>
      <c r="J23" s="31">
        <f>AVERAGE('Lex WTPs 2007-2010'!AP19,'2011 Actual Costs'!J23)</f>
        <v>0</v>
      </c>
      <c r="K23" s="30">
        <f>AVERAGE('Lex WTPs 2007-2010'!AU19,'2011 Actual Costs'!K23)</f>
        <v>2.4446731857951618</v>
      </c>
      <c r="L23" s="31">
        <f>AVERAGE('Lex WTPs 2007-2010'!AZ19,'2011 Actual Costs'!L23)</f>
        <v>0</v>
      </c>
      <c r="M23" s="30">
        <f>AVERAGE('Lex WTPs 2007-2010'!BE19,'2011 Actual Costs'!M23)</f>
        <v>8.7287728275720511</v>
      </c>
      <c r="N23" s="31">
        <f>AVERAGE('Lex WTPs 2007-2010'!BJ19,'2011 Actual Costs'!N23)</f>
        <v>0</v>
      </c>
      <c r="O23" s="32">
        <f>O24/O$7</f>
        <v>3.0583575764051094</v>
      </c>
    </row>
    <row r="24" spans="1:40">
      <c r="A24" s="34" t="s">
        <v>56</v>
      </c>
      <c r="B24" s="35" t="s">
        <v>57</v>
      </c>
      <c r="C24" s="36">
        <f t="shared" ref="C24:N24" si="12">C$7*C23</f>
        <v>0</v>
      </c>
      <c r="D24" s="37">
        <f t="shared" si="12"/>
        <v>0</v>
      </c>
      <c r="E24" s="36">
        <f t="shared" si="12"/>
        <v>2019.3644328105518</v>
      </c>
      <c r="F24" s="37">
        <f t="shared" si="12"/>
        <v>0</v>
      </c>
      <c r="G24" s="36">
        <f t="shared" si="12"/>
        <v>1852.9291363835532</v>
      </c>
      <c r="H24" s="37">
        <f t="shared" si="12"/>
        <v>3601.0330761067548</v>
      </c>
      <c r="I24" s="36">
        <f t="shared" si="12"/>
        <v>1901.6228785864819</v>
      </c>
      <c r="J24" s="37">
        <f t="shared" si="12"/>
        <v>0</v>
      </c>
      <c r="K24" s="36">
        <f t="shared" si="12"/>
        <v>880.2498444556345</v>
      </c>
      <c r="L24" s="37">
        <f t="shared" si="12"/>
        <v>0</v>
      </c>
      <c r="M24" s="36">
        <f t="shared" si="12"/>
        <v>3142.956272602838</v>
      </c>
      <c r="N24" s="37">
        <f t="shared" si="12"/>
        <v>0</v>
      </c>
      <c r="O24" s="38">
        <f>SUM(C24:N24)</f>
        <v>13398.155640945815</v>
      </c>
      <c r="P24" s="60"/>
      <c r="Q24" s="57"/>
      <c r="R24" s="57"/>
      <c r="S24" s="41"/>
      <c r="T24" s="8"/>
    </row>
    <row r="25" spans="1:40" ht="15.75">
      <c r="A25" s="42"/>
      <c r="B25" s="35" t="s">
        <v>58</v>
      </c>
      <c r="C25" s="43">
        <f>'Price Changes'!F6</f>
        <v>0.74901600000000002</v>
      </c>
      <c r="D25" s="44">
        <f t="shared" ref="D25:N25" si="13">C25</f>
        <v>0.74901600000000002</v>
      </c>
      <c r="E25" s="43">
        <f t="shared" si="13"/>
        <v>0.74901600000000002</v>
      </c>
      <c r="F25" s="44">
        <f t="shared" si="13"/>
        <v>0.74901600000000002</v>
      </c>
      <c r="G25" s="43">
        <f t="shared" si="13"/>
        <v>0.74901600000000002</v>
      </c>
      <c r="H25" s="44">
        <f t="shared" si="13"/>
        <v>0.74901600000000002</v>
      </c>
      <c r="I25" s="43">
        <f t="shared" si="13"/>
        <v>0.74901600000000002</v>
      </c>
      <c r="J25" s="44">
        <f t="shared" si="13"/>
        <v>0.74901600000000002</v>
      </c>
      <c r="K25" s="43">
        <f t="shared" si="13"/>
        <v>0.74901600000000002</v>
      </c>
      <c r="L25" s="44">
        <f t="shared" si="13"/>
        <v>0.74901600000000002</v>
      </c>
      <c r="M25" s="43">
        <f t="shared" si="13"/>
        <v>0.74901600000000002</v>
      </c>
      <c r="N25" s="44">
        <f t="shared" si="13"/>
        <v>0.74901600000000002</v>
      </c>
      <c r="O25" s="45">
        <f>IF(O24=0,0,+O26/O24)</f>
        <v>0.74901600000000002</v>
      </c>
      <c r="P25" s="46"/>
      <c r="Q25" s="47"/>
      <c r="R25" s="47"/>
      <c r="S25" s="41"/>
      <c r="T25" s="8"/>
    </row>
    <row r="26" spans="1:40">
      <c r="A26" s="42"/>
      <c r="B26" s="35" t="s">
        <v>15</v>
      </c>
      <c r="C26" s="48">
        <f t="shared" ref="C26:N26" si="14">C24*C25</f>
        <v>0</v>
      </c>
      <c r="D26" s="49">
        <f t="shared" si="14"/>
        <v>0</v>
      </c>
      <c r="E26" s="48">
        <f t="shared" si="14"/>
        <v>1512.5362700060282</v>
      </c>
      <c r="F26" s="49">
        <f t="shared" si="14"/>
        <v>0</v>
      </c>
      <c r="G26" s="48">
        <f t="shared" si="14"/>
        <v>1387.8735700174636</v>
      </c>
      <c r="H26" s="49">
        <f t="shared" si="14"/>
        <v>2697.2313905331771</v>
      </c>
      <c r="I26" s="48">
        <f t="shared" si="14"/>
        <v>1424.3459620273322</v>
      </c>
      <c r="J26" s="49">
        <f t="shared" si="14"/>
        <v>0</v>
      </c>
      <c r="K26" s="48">
        <f t="shared" si="14"/>
        <v>659.32121749478154</v>
      </c>
      <c r="L26" s="49">
        <f t="shared" si="14"/>
        <v>0</v>
      </c>
      <c r="M26" s="48">
        <f t="shared" si="14"/>
        <v>2354.1245354798875</v>
      </c>
      <c r="N26" s="49">
        <f t="shared" si="14"/>
        <v>0</v>
      </c>
      <c r="O26" s="50">
        <f>SUM(C26:N26)</f>
        <v>10035.43294555867</v>
      </c>
      <c r="P26" s="40"/>
      <c r="Q26" s="40"/>
      <c r="R26" s="40"/>
      <c r="S26" s="41"/>
      <c r="T26" s="8"/>
    </row>
    <row r="27" spans="1:40" ht="16.5" thickBot="1">
      <c r="A27" s="51"/>
      <c r="B27" s="52" t="s">
        <v>59</v>
      </c>
      <c r="C27" s="53">
        <f t="shared" ref="C27:O27" si="15">C26/C$7</f>
        <v>0</v>
      </c>
      <c r="D27" s="54">
        <f t="shared" si="15"/>
        <v>0</v>
      </c>
      <c r="E27" s="53">
        <f t="shared" si="15"/>
        <v>4.0651840278733724</v>
      </c>
      <c r="F27" s="54">
        <f t="shared" si="15"/>
        <v>0</v>
      </c>
      <c r="G27" s="53">
        <f t="shared" si="15"/>
        <v>3.7301330099807153</v>
      </c>
      <c r="H27" s="54">
        <f t="shared" si="15"/>
        <v>7.4908837506233636</v>
      </c>
      <c r="I27" s="53">
        <f t="shared" si="15"/>
        <v>3.8281584182945689</v>
      </c>
      <c r="J27" s="54">
        <f t="shared" si="15"/>
        <v>0</v>
      </c>
      <c r="K27" s="53">
        <f t="shared" si="15"/>
        <v>1.8310993309315489</v>
      </c>
      <c r="L27" s="54">
        <f t="shared" si="15"/>
        <v>0</v>
      </c>
      <c r="M27" s="53">
        <f t="shared" si="15"/>
        <v>6.5379905082167076</v>
      </c>
      <c r="N27" s="54">
        <f t="shared" si="15"/>
        <v>0</v>
      </c>
      <c r="O27" s="55">
        <f t="shared" si="15"/>
        <v>2.2907587584486495</v>
      </c>
      <c r="P27" s="56"/>
      <c r="Q27" s="57"/>
      <c r="R27" s="57"/>
      <c r="S27" s="41"/>
    </row>
    <row r="28" spans="1:40">
      <c r="A28" s="181" t="s">
        <v>63</v>
      </c>
      <c r="B28" s="29" t="s">
        <v>55</v>
      </c>
      <c r="C28" s="30">
        <f>AVERAGE('Lex WTPs 2007-2010'!G21,'2011 Actual Costs'!C28)</f>
        <v>24.798903244892273</v>
      </c>
      <c r="D28" s="31">
        <f>AVERAGE('Lex WTPs 2007-2010'!L21,'2011 Actual Costs'!D28)</f>
        <v>25.42454398576713</v>
      </c>
      <c r="E28" s="30">
        <f>AVERAGE('Lex WTPs 2007-2010'!Q21,'2011 Actual Costs'!E28)</f>
        <v>24.187423732420235</v>
      </c>
      <c r="F28" s="31">
        <f>AVERAGE('Lex WTPs 2007-2010'!V21,'2011 Actual Costs'!F28)</f>
        <v>23.945183080040096</v>
      </c>
      <c r="G28" s="30">
        <f>AVERAGE('Lex WTPs 2007-2010'!AA21,'2011 Actual Costs'!G28)</f>
        <v>24.766914103037493</v>
      </c>
      <c r="H28" s="31">
        <f>AVERAGE('Lex WTPs 2007-2010'!AF21,'2011 Actual Costs'!H28)</f>
        <v>25.473809378108751</v>
      </c>
      <c r="I28" s="30">
        <f>AVERAGE('Lex WTPs 2007-2010'!AK21,'2011 Actual Costs'!I28)</f>
        <v>25.930584130611191</v>
      </c>
      <c r="J28" s="31">
        <f>AVERAGE('Lex WTPs 2007-2010'!AP21,'2011 Actual Costs'!J28)</f>
        <v>26.419424541776799</v>
      </c>
      <c r="K28" s="30">
        <f>AVERAGE('Lex WTPs 2007-2010'!AU21,'2011 Actual Costs'!K28)</f>
        <v>26.038602726998995</v>
      </c>
      <c r="L28" s="31">
        <f>AVERAGE('Lex WTPs 2007-2010'!AZ21,'2011 Actual Costs'!L28)</f>
        <v>28.185086427882101</v>
      </c>
      <c r="M28" s="30">
        <f>AVERAGE('Lex WTPs 2007-2010'!BE21,'2011 Actual Costs'!M28)</f>
        <v>26.129959356602278</v>
      </c>
      <c r="N28" s="31">
        <f>AVERAGE('Lex WTPs 2007-2010'!BJ21,'2011 Actual Costs'!N28)</f>
        <v>25.970370893931086</v>
      </c>
      <c r="O28" s="32">
        <f>O29/O$7</f>
        <v>25.609681608671426</v>
      </c>
    </row>
    <row r="29" spans="1:40">
      <c r="A29" s="34" t="s">
        <v>64</v>
      </c>
      <c r="B29" s="35" t="s">
        <v>57</v>
      </c>
      <c r="C29" s="36">
        <f t="shared" ref="C29:N29" si="16">C$7*C28</f>
        <v>9226.947748757153</v>
      </c>
      <c r="D29" s="37">
        <f t="shared" si="16"/>
        <v>8544.2726186367836</v>
      </c>
      <c r="E29" s="36">
        <f t="shared" si="16"/>
        <v>8999.4340778782971</v>
      </c>
      <c r="F29" s="37">
        <f t="shared" si="16"/>
        <v>8621.9065207324129</v>
      </c>
      <c r="G29" s="36">
        <f t="shared" si="16"/>
        <v>9215.0455231826236</v>
      </c>
      <c r="H29" s="37">
        <f t="shared" si="16"/>
        <v>9172.3167223594501</v>
      </c>
      <c r="I29" s="36">
        <f t="shared" si="16"/>
        <v>9648.0131603070095</v>
      </c>
      <c r="J29" s="37">
        <f t="shared" si="16"/>
        <v>9829.8964027538332</v>
      </c>
      <c r="K29" s="36">
        <f t="shared" si="16"/>
        <v>9375.6810249578375</v>
      </c>
      <c r="L29" s="37">
        <f t="shared" si="16"/>
        <v>10486.847631773251</v>
      </c>
      <c r="M29" s="36">
        <f t="shared" si="16"/>
        <v>9408.575670943872</v>
      </c>
      <c r="N29" s="37">
        <f t="shared" si="16"/>
        <v>9662.8166531316565</v>
      </c>
      <c r="O29" s="38">
        <f>SUM(C29:N29)</f>
        <v>112191.75375541419</v>
      </c>
    </row>
    <row r="30" spans="1:40">
      <c r="A30" s="34"/>
      <c r="B30" s="35" t="s">
        <v>58</v>
      </c>
      <c r="C30" s="43">
        <f>'Price Changes'!F7</f>
        <v>0.345744</v>
      </c>
      <c r="D30" s="44">
        <f t="shared" ref="D30:N30" si="17">C30</f>
        <v>0.345744</v>
      </c>
      <c r="E30" s="43">
        <f t="shared" si="17"/>
        <v>0.345744</v>
      </c>
      <c r="F30" s="44">
        <f t="shared" si="17"/>
        <v>0.345744</v>
      </c>
      <c r="G30" s="43">
        <f t="shared" si="17"/>
        <v>0.345744</v>
      </c>
      <c r="H30" s="44">
        <f t="shared" si="17"/>
        <v>0.345744</v>
      </c>
      <c r="I30" s="43">
        <f t="shared" si="17"/>
        <v>0.345744</v>
      </c>
      <c r="J30" s="44">
        <f t="shared" si="17"/>
        <v>0.345744</v>
      </c>
      <c r="K30" s="43">
        <f t="shared" si="17"/>
        <v>0.345744</v>
      </c>
      <c r="L30" s="44">
        <f t="shared" si="17"/>
        <v>0.345744</v>
      </c>
      <c r="M30" s="43">
        <f t="shared" si="17"/>
        <v>0.345744</v>
      </c>
      <c r="N30" s="44">
        <f t="shared" si="17"/>
        <v>0.345744</v>
      </c>
      <c r="O30" s="45">
        <f>IF(O29=0,0,+O31/O29)</f>
        <v>0.34574399999999994</v>
      </c>
    </row>
    <row r="31" spans="1:40">
      <c r="A31" s="42"/>
      <c r="B31" s="35" t="s">
        <v>15</v>
      </c>
      <c r="C31" s="48">
        <f t="shared" ref="C31:N31" si="18">C29*C30</f>
        <v>3190.1618224462932</v>
      </c>
      <c r="D31" s="49">
        <f t="shared" si="18"/>
        <v>2954.1309922579562</v>
      </c>
      <c r="E31" s="48">
        <f t="shared" si="18"/>
        <v>3111.5003358219537</v>
      </c>
      <c r="F31" s="49">
        <f t="shared" si="18"/>
        <v>2980.9724481041071</v>
      </c>
      <c r="G31" s="48">
        <f t="shared" si="18"/>
        <v>3186.046699367253</v>
      </c>
      <c r="H31" s="49">
        <f t="shared" si="18"/>
        <v>3171.2734728554456</v>
      </c>
      <c r="I31" s="48">
        <f t="shared" si="18"/>
        <v>3335.7426620971864</v>
      </c>
      <c r="J31" s="49">
        <f t="shared" si="18"/>
        <v>3398.6277018737214</v>
      </c>
      <c r="K31" s="48">
        <f t="shared" si="18"/>
        <v>3241.5854602930226</v>
      </c>
      <c r="L31" s="49">
        <f t="shared" si="18"/>
        <v>3625.7646475998108</v>
      </c>
      <c r="M31" s="48">
        <f t="shared" si="18"/>
        <v>3252.9585867748178</v>
      </c>
      <c r="N31" s="49">
        <f t="shared" si="18"/>
        <v>3340.8608809203515</v>
      </c>
      <c r="O31" s="50">
        <f>SUM(C31:N31)</f>
        <v>38789.625710411914</v>
      </c>
    </row>
    <row r="32" spans="1:40" ht="13.5" thickBot="1">
      <c r="A32" s="51"/>
      <c r="B32" s="52" t="s">
        <v>59</v>
      </c>
      <c r="C32" s="53">
        <f t="shared" ref="C32:O32" si="19">C31/C$7</f>
        <v>8.5740720035020352</v>
      </c>
      <c r="D32" s="54">
        <f t="shared" si="19"/>
        <v>8.7903835358150708</v>
      </c>
      <c r="E32" s="53">
        <f t="shared" si="19"/>
        <v>8.3626566309419008</v>
      </c>
      <c r="F32" s="54">
        <f t="shared" si="19"/>
        <v>8.2789033788253832</v>
      </c>
      <c r="G32" s="53">
        <f t="shared" si="19"/>
        <v>8.563011949640595</v>
      </c>
      <c r="H32" s="54">
        <f t="shared" si="19"/>
        <v>8.8074167496248315</v>
      </c>
      <c r="I32" s="53">
        <f t="shared" si="19"/>
        <v>8.9653438796540339</v>
      </c>
      <c r="J32" s="54">
        <f t="shared" si="19"/>
        <v>9.1343575187720791</v>
      </c>
      <c r="K32" s="53">
        <f t="shared" si="19"/>
        <v>9.0026906612435393</v>
      </c>
      <c r="L32" s="54">
        <f t="shared" si="19"/>
        <v>9.7448245219216698</v>
      </c>
      <c r="M32" s="53">
        <f t="shared" si="19"/>
        <v>9.0342766677890971</v>
      </c>
      <c r="N32" s="54">
        <f t="shared" si="19"/>
        <v>8.9790999143513108</v>
      </c>
      <c r="O32" s="55">
        <f t="shared" si="19"/>
        <v>8.8543937581084915</v>
      </c>
    </row>
    <row r="33" spans="1:40">
      <c r="A33" s="28" t="s">
        <v>65</v>
      </c>
      <c r="B33" s="29" t="s">
        <v>55</v>
      </c>
      <c r="C33" s="30">
        <f>AVERAGE('Lex WTPs 2007-2010'!G13,'2011 Actual Costs'!C33)</f>
        <v>0</v>
      </c>
      <c r="D33" s="31">
        <f>AVERAGE('Lex WTPs 2007-2010'!L13,'2011 Actual Costs'!D33)</f>
        <v>0</v>
      </c>
      <c r="E33" s="30">
        <f>AVERAGE('Lex WTPs 2007-2010'!Q13,'2011 Actual Costs'!E33)</f>
        <v>0</v>
      </c>
      <c r="F33" s="31">
        <f>AVERAGE('Lex WTPs 2007-2010'!V13,'2011 Actual Costs'!F33)</f>
        <v>0</v>
      </c>
      <c r="G33" s="30">
        <f>AVERAGE('Lex WTPs 2007-2010'!AA13,'2011 Actual Costs'!G33)</f>
        <v>9.6372271713940787</v>
      </c>
      <c r="H33" s="31">
        <f>AVERAGE('Lex WTPs 2007-2010'!AF13,'2011 Actual Costs'!H33)</f>
        <v>0</v>
      </c>
      <c r="I33" s="30">
        <f>AVERAGE('Lex WTPs 2007-2010'!AK13,'2011 Actual Costs'!I33)</f>
        <v>5.3057424086953215</v>
      </c>
      <c r="J33" s="31">
        <f>AVERAGE('Lex WTPs 2007-2010'!AP13,'2011 Actual Costs'!J33)</f>
        <v>0</v>
      </c>
      <c r="K33" s="30">
        <f>AVERAGE('Lex WTPs 2007-2010'!AU13,'2011 Actual Costs'!K33)</f>
        <v>21.315769021527942</v>
      </c>
      <c r="L33" s="31">
        <f>AVERAGE('Lex WTPs 2007-2010'!AZ13,'2011 Actual Costs'!L33)</f>
        <v>0</v>
      </c>
      <c r="M33" s="30">
        <f>AVERAGE('Lex WTPs 2007-2010'!BE13,'2011 Actual Costs'!M33)</f>
        <v>11.426609086718036</v>
      </c>
      <c r="N33" s="31">
        <f>AVERAGE('Lex WTPs 2007-2010'!BJ13,'2011 Actual Costs'!N33)</f>
        <v>2.6833887657058391</v>
      </c>
      <c r="O33" s="32">
        <f>O34/O$7</f>
        <v>4.1881875396357042</v>
      </c>
      <c r="V33" s="8"/>
      <c r="W33" s="9"/>
      <c r="X33" s="9"/>
      <c r="Y33" s="9"/>
      <c r="Z33" s="9"/>
      <c r="AA33" s="9"/>
      <c r="AB33" s="9"/>
      <c r="AC33" s="9"/>
      <c r="AD33" s="9"/>
      <c r="AE33" s="9"/>
      <c r="AF33" s="9"/>
      <c r="AG33" s="9"/>
      <c r="AH33" s="9"/>
      <c r="AI33" s="9"/>
      <c r="AJ33" s="9"/>
      <c r="AK33" s="9"/>
      <c r="AL33" s="9"/>
      <c r="AM33" s="9"/>
      <c r="AN33" s="8"/>
    </row>
    <row r="34" spans="1:40">
      <c r="A34" s="34" t="s">
        <v>64</v>
      </c>
      <c r="B34" s="35" t="s">
        <v>57</v>
      </c>
      <c r="C34" s="65">
        <f t="shared" ref="C34:N34" si="20">C$7*C33</f>
        <v>0</v>
      </c>
      <c r="D34" s="66">
        <f t="shared" si="20"/>
        <v>0</v>
      </c>
      <c r="E34" s="65">
        <f t="shared" si="20"/>
        <v>0</v>
      </c>
      <c r="F34" s="66">
        <f t="shared" si="20"/>
        <v>0</v>
      </c>
      <c r="G34" s="65">
        <f t="shared" si="20"/>
        <v>3585.7308154009106</v>
      </c>
      <c r="H34" s="66">
        <f t="shared" si="20"/>
        <v>0</v>
      </c>
      <c r="I34" s="65">
        <f t="shared" si="20"/>
        <v>1974.1118181700181</v>
      </c>
      <c r="J34" s="66">
        <f t="shared" si="20"/>
        <v>0</v>
      </c>
      <c r="K34" s="65">
        <f t="shared" si="20"/>
        <v>7675.1373045183655</v>
      </c>
      <c r="L34" s="66">
        <f t="shared" si="20"/>
        <v>0</v>
      </c>
      <c r="M34" s="65">
        <f t="shared" si="20"/>
        <v>4114.3621690141408</v>
      </c>
      <c r="N34" s="66">
        <f t="shared" si="20"/>
        <v>998.41060252813134</v>
      </c>
      <c r="O34" s="67">
        <f>SUM(C34:N34)</f>
        <v>18347.752709631568</v>
      </c>
      <c r="P34" s="57"/>
      <c r="Q34" s="57"/>
      <c r="R34" s="57"/>
      <c r="S34" s="41"/>
      <c r="T34" s="8"/>
    </row>
    <row r="35" spans="1:40" ht="15.75">
      <c r="A35" s="42"/>
      <c r="B35" s="35" t="s">
        <v>58</v>
      </c>
      <c r="C35" s="43">
        <f>'Price Changes'!F8</f>
        <v>0</v>
      </c>
      <c r="D35" s="44">
        <f t="shared" ref="D35:N35" si="21">C35</f>
        <v>0</v>
      </c>
      <c r="E35" s="43">
        <f t="shared" si="21"/>
        <v>0</v>
      </c>
      <c r="F35" s="44">
        <f t="shared" si="21"/>
        <v>0</v>
      </c>
      <c r="G35" s="43">
        <f t="shared" si="21"/>
        <v>0</v>
      </c>
      <c r="H35" s="44">
        <f t="shared" si="21"/>
        <v>0</v>
      </c>
      <c r="I35" s="43">
        <f t="shared" si="21"/>
        <v>0</v>
      </c>
      <c r="J35" s="44">
        <f t="shared" si="21"/>
        <v>0</v>
      </c>
      <c r="K35" s="43">
        <f t="shared" si="21"/>
        <v>0</v>
      </c>
      <c r="L35" s="44">
        <f t="shared" si="21"/>
        <v>0</v>
      </c>
      <c r="M35" s="43">
        <f t="shared" si="21"/>
        <v>0</v>
      </c>
      <c r="N35" s="44">
        <f t="shared" si="21"/>
        <v>0</v>
      </c>
      <c r="O35" s="45">
        <f>IF(O34=0,0,+O36/O34)</f>
        <v>0</v>
      </c>
      <c r="P35" s="46"/>
      <c r="Q35" s="68"/>
      <c r="R35" s="47"/>
      <c r="S35" s="41"/>
      <c r="T35" s="8"/>
    </row>
    <row r="36" spans="1:40">
      <c r="A36" s="42"/>
      <c r="B36" s="35" t="s">
        <v>15</v>
      </c>
      <c r="C36" s="48">
        <f t="shared" ref="C36:N36" si="22">C34*C35</f>
        <v>0</v>
      </c>
      <c r="D36" s="49">
        <f t="shared" si="22"/>
        <v>0</v>
      </c>
      <c r="E36" s="48">
        <f t="shared" si="22"/>
        <v>0</v>
      </c>
      <c r="F36" s="49">
        <f t="shared" si="22"/>
        <v>0</v>
      </c>
      <c r="G36" s="48">
        <f t="shared" si="22"/>
        <v>0</v>
      </c>
      <c r="H36" s="49">
        <f t="shared" si="22"/>
        <v>0</v>
      </c>
      <c r="I36" s="48">
        <f t="shared" si="22"/>
        <v>0</v>
      </c>
      <c r="J36" s="49">
        <f t="shared" si="22"/>
        <v>0</v>
      </c>
      <c r="K36" s="48">
        <f t="shared" si="22"/>
        <v>0</v>
      </c>
      <c r="L36" s="49">
        <f t="shared" si="22"/>
        <v>0</v>
      </c>
      <c r="M36" s="48">
        <f t="shared" si="22"/>
        <v>0</v>
      </c>
      <c r="N36" s="49">
        <f t="shared" si="22"/>
        <v>0</v>
      </c>
      <c r="O36" s="50">
        <f>SUM(C36:N36)</f>
        <v>0</v>
      </c>
      <c r="P36" s="40"/>
      <c r="Q36" s="40"/>
      <c r="R36" s="40"/>
      <c r="S36" s="41"/>
    </row>
    <row r="37" spans="1:40" ht="16.5" thickBot="1">
      <c r="A37" s="51"/>
      <c r="B37" s="52" t="s">
        <v>59</v>
      </c>
      <c r="C37" s="53">
        <f t="shared" ref="C37:O37" si="23">C36/C$7</f>
        <v>0</v>
      </c>
      <c r="D37" s="54">
        <f t="shared" si="23"/>
        <v>0</v>
      </c>
      <c r="E37" s="53">
        <f t="shared" si="23"/>
        <v>0</v>
      </c>
      <c r="F37" s="54">
        <f t="shared" si="23"/>
        <v>0</v>
      </c>
      <c r="G37" s="53">
        <f t="shared" si="23"/>
        <v>0</v>
      </c>
      <c r="H37" s="54">
        <f t="shared" si="23"/>
        <v>0</v>
      </c>
      <c r="I37" s="53">
        <f t="shared" si="23"/>
        <v>0</v>
      </c>
      <c r="J37" s="54">
        <f t="shared" si="23"/>
        <v>0</v>
      </c>
      <c r="K37" s="53">
        <f t="shared" si="23"/>
        <v>0</v>
      </c>
      <c r="L37" s="54">
        <f t="shared" si="23"/>
        <v>0</v>
      </c>
      <c r="M37" s="53">
        <f t="shared" si="23"/>
        <v>0</v>
      </c>
      <c r="N37" s="54">
        <f t="shared" si="23"/>
        <v>0</v>
      </c>
      <c r="O37" s="55">
        <f t="shared" si="23"/>
        <v>0</v>
      </c>
      <c r="P37" s="56"/>
      <c r="Q37" s="57"/>
      <c r="R37" s="57"/>
      <c r="S37" s="41"/>
    </row>
    <row r="38" spans="1:40">
      <c r="A38" s="34" t="s">
        <v>66</v>
      </c>
      <c r="B38" s="35" t="s">
        <v>55</v>
      </c>
      <c r="C38" s="30">
        <f>AVERAGE('Lex WTPs 2007-2010'!G17,'2011 Actual Costs'!C38)</f>
        <v>38.633870327695895</v>
      </c>
      <c r="D38" s="31">
        <f>AVERAGE('Lex WTPs 2007-2010'!L17,'2011 Actual Costs'!D38)</f>
        <v>38.366796628274841</v>
      </c>
      <c r="E38" s="30">
        <f>AVERAGE('Lex WTPs 2007-2010'!Q17,'2011 Actual Costs'!E38)</f>
        <v>38.482903498656768</v>
      </c>
      <c r="F38" s="31">
        <f>AVERAGE('Lex WTPs 2007-2010'!V17,'2011 Actual Costs'!F38)</f>
        <v>37.688704940013153</v>
      </c>
      <c r="G38" s="30">
        <f>AVERAGE('Lex WTPs 2007-2010'!AA17,'2011 Actual Costs'!G38)</f>
        <v>41.940974310239056</v>
      </c>
      <c r="H38" s="31">
        <f>AVERAGE('Lex WTPs 2007-2010'!AF17,'2011 Actual Costs'!H38)</f>
        <v>41.399478389001885</v>
      </c>
      <c r="I38" s="30">
        <f>AVERAGE('Lex WTPs 2007-2010'!AK17,'2011 Actual Costs'!I38)</f>
        <v>38.862020340102973</v>
      </c>
      <c r="J38" s="31">
        <f>AVERAGE('Lex WTPs 2007-2010'!AP17,'2011 Actual Costs'!J38)</f>
        <v>38.572780408699188</v>
      </c>
      <c r="K38" s="30">
        <f>AVERAGE('Lex WTPs 2007-2010'!AU17,'2011 Actual Costs'!K38)</f>
        <v>37.326004517295488</v>
      </c>
      <c r="L38" s="31">
        <f>AVERAGE('Lex WTPs 2007-2010'!AZ17,'2011 Actual Costs'!L38)</f>
        <v>41.882668630780991</v>
      </c>
      <c r="M38" s="30">
        <f>AVERAGE('Lex WTPs 2007-2010'!BE17,'2011 Actual Costs'!M38)</f>
        <v>39.739526153606739</v>
      </c>
      <c r="N38" s="31">
        <f>AVERAGE('Lex WTPs 2007-2010'!BJ17,'2011 Actual Costs'!N38)</f>
        <v>36.097171570812108</v>
      </c>
      <c r="O38" s="32">
        <f>O39/O$7</f>
        <v>39.089111745988511</v>
      </c>
    </row>
    <row r="39" spans="1:40">
      <c r="A39" s="34" t="s">
        <v>64</v>
      </c>
      <c r="B39" s="35" t="s">
        <v>57</v>
      </c>
      <c r="C39" s="36">
        <f t="shared" ref="C39:N39" si="24">C$7*C38</f>
        <v>14374.535007685494</v>
      </c>
      <c r="D39" s="37">
        <f t="shared" si="24"/>
        <v>12893.697132947169</v>
      </c>
      <c r="E39" s="36">
        <f t="shared" si="24"/>
        <v>14318.364658957411</v>
      </c>
      <c r="F39" s="37">
        <f t="shared" si="24"/>
        <v>13570.516032141992</v>
      </c>
      <c r="G39" s="36">
        <f t="shared" si="24"/>
        <v>15605.011829394027</v>
      </c>
      <c r="H39" s="37">
        <f t="shared" si="24"/>
        <v>14906.648718613942</v>
      </c>
      <c r="I39" s="36">
        <f t="shared" si="24"/>
        <v>14459.422965131434</v>
      </c>
      <c r="J39" s="37">
        <f t="shared" si="24"/>
        <v>14351.805232703429</v>
      </c>
      <c r="K39" s="36">
        <f t="shared" si="24"/>
        <v>13439.919029427549</v>
      </c>
      <c r="L39" s="37">
        <f t="shared" si="24"/>
        <v>15583.317988642171</v>
      </c>
      <c r="M39" s="36">
        <f t="shared" si="24"/>
        <v>14308.952181710547</v>
      </c>
      <c r="N39" s="37">
        <f t="shared" si="24"/>
        <v>13430.703473969392</v>
      </c>
      <c r="O39" s="38">
        <f>SUM(C39:N39)</f>
        <v>171242.89425132453</v>
      </c>
      <c r="P39" s="57"/>
      <c r="Q39" s="57"/>
      <c r="R39" s="57"/>
      <c r="S39" s="41"/>
      <c r="T39" s="8"/>
    </row>
    <row r="40" spans="1:40" ht="15.75">
      <c r="A40" s="42"/>
      <c r="B40" s="35" t="s">
        <v>58</v>
      </c>
      <c r="C40" s="43">
        <f>'Price Changes'!F9</f>
        <v>0.2185</v>
      </c>
      <c r="D40" s="44">
        <f t="shared" ref="D40:N40" si="25">C40</f>
        <v>0.2185</v>
      </c>
      <c r="E40" s="43">
        <f t="shared" si="25"/>
        <v>0.2185</v>
      </c>
      <c r="F40" s="44">
        <f t="shared" si="25"/>
        <v>0.2185</v>
      </c>
      <c r="G40" s="43">
        <f t="shared" si="25"/>
        <v>0.2185</v>
      </c>
      <c r="H40" s="44">
        <f t="shared" si="25"/>
        <v>0.2185</v>
      </c>
      <c r="I40" s="43">
        <f t="shared" si="25"/>
        <v>0.2185</v>
      </c>
      <c r="J40" s="44">
        <f t="shared" si="25"/>
        <v>0.2185</v>
      </c>
      <c r="K40" s="43">
        <f t="shared" si="25"/>
        <v>0.2185</v>
      </c>
      <c r="L40" s="44">
        <f t="shared" si="25"/>
        <v>0.2185</v>
      </c>
      <c r="M40" s="43">
        <f t="shared" si="25"/>
        <v>0.2185</v>
      </c>
      <c r="N40" s="44">
        <f t="shared" si="25"/>
        <v>0.2185</v>
      </c>
      <c r="O40" s="45">
        <f>IF(O39=0,0,+O41/O39)</f>
        <v>0.21850000000000003</v>
      </c>
      <c r="P40" s="46"/>
      <c r="Q40" s="47"/>
      <c r="R40" s="47"/>
      <c r="S40" s="41"/>
      <c r="T40" s="8"/>
    </row>
    <row r="41" spans="1:40">
      <c r="A41" s="42"/>
      <c r="B41" s="35" t="s">
        <v>15</v>
      </c>
      <c r="C41" s="48">
        <f t="shared" ref="C41:N41" si="26">C39*C40</f>
        <v>3140.8358991792802</v>
      </c>
      <c r="D41" s="49">
        <f t="shared" si="26"/>
        <v>2817.2728235489562</v>
      </c>
      <c r="E41" s="48">
        <f t="shared" si="26"/>
        <v>3128.5626779821941</v>
      </c>
      <c r="F41" s="49">
        <f t="shared" si="26"/>
        <v>2965.1577530230252</v>
      </c>
      <c r="G41" s="48">
        <f t="shared" si="26"/>
        <v>3409.6950847225949</v>
      </c>
      <c r="H41" s="49">
        <f t="shared" si="26"/>
        <v>3257.1027450171464</v>
      </c>
      <c r="I41" s="48">
        <f t="shared" si="26"/>
        <v>3159.3839178812186</v>
      </c>
      <c r="J41" s="49">
        <f t="shared" si="26"/>
        <v>3135.8694433456994</v>
      </c>
      <c r="K41" s="48">
        <f t="shared" si="26"/>
        <v>2936.6223079299193</v>
      </c>
      <c r="L41" s="49">
        <f t="shared" si="26"/>
        <v>3404.9549805183146</v>
      </c>
      <c r="M41" s="48">
        <f t="shared" si="26"/>
        <v>3126.5060517037546</v>
      </c>
      <c r="N41" s="49">
        <f t="shared" si="26"/>
        <v>2934.6087090623123</v>
      </c>
      <c r="O41" s="50">
        <f>SUM(C41:N41)</f>
        <v>37416.572393914415</v>
      </c>
      <c r="P41" s="40"/>
      <c r="Q41" s="40"/>
      <c r="R41" s="40"/>
      <c r="S41" s="41"/>
    </row>
    <row r="42" spans="1:40" ht="16.5" thickBot="1">
      <c r="A42" s="51"/>
      <c r="B42" s="52" t="s">
        <v>59</v>
      </c>
      <c r="C42" s="53">
        <f t="shared" ref="C42:O42" si="27">C41/C$7</f>
        <v>8.4415006666015522</v>
      </c>
      <c r="D42" s="54">
        <f t="shared" si="27"/>
        <v>8.383145063278052</v>
      </c>
      <c r="E42" s="53">
        <f t="shared" si="27"/>
        <v>8.4085144144565032</v>
      </c>
      <c r="F42" s="54">
        <f t="shared" si="27"/>
        <v>8.2349820293928744</v>
      </c>
      <c r="G42" s="53">
        <f t="shared" si="27"/>
        <v>9.1641028867872336</v>
      </c>
      <c r="H42" s="54">
        <f t="shared" si="27"/>
        <v>9.0457860279969129</v>
      </c>
      <c r="I42" s="53">
        <f t="shared" si="27"/>
        <v>8.4913514443124996</v>
      </c>
      <c r="J42" s="54">
        <f t="shared" si="27"/>
        <v>8.4281525193007738</v>
      </c>
      <c r="K42" s="53">
        <f t="shared" si="27"/>
        <v>8.1557319870290641</v>
      </c>
      <c r="L42" s="54">
        <f t="shared" si="27"/>
        <v>9.1513630958256478</v>
      </c>
      <c r="M42" s="53">
        <f t="shared" si="27"/>
        <v>8.6830864645630736</v>
      </c>
      <c r="N42" s="54">
        <f t="shared" si="27"/>
        <v>7.8872319882224469</v>
      </c>
      <c r="O42" s="55">
        <f t="shared" si="27"/>
        <v>8.5409709164984911</v>
      </c>
      <c r="P42" s="56"/>
      <c r="Q42" s="57"/>
      <c r="R42" s="57"/>
      <c r="S42" s="41"/>
    </row>
    <row r="43" spans="1:40">
      <c r="A43" s="69" t="s">
        <v>67</v>
      </c>
      <c r="B43" s="29" t="s">
        <v>55</v>
      </c>
      <c r="C43" s="30">
        <f>AVERAGE('Lex WTPs 2007-2010'!G14,'2011 Actual Costs'!C43)</f>
        <v>554.82783604593442</v>
      </c>
      <c r="D43" s="31">
        <f>AVERAGE('Lex WTPs 2007-2010'!L14,'2011 Actual Costs'!D43)</f>
        <v>492.42343786594813</v>
      </c>
      <c r="E43" s="30">
        <f>AVERAGE('Lex WTPs 2007-2010'!Q14,'2011 Actual Costs'!E43)</f>
        <v>457.91468586879989</v>
      </c>
      <c r="F43" s="31">
        <f>AVERAGE('Lex WTPs 2007-2010'!V14,'2011 Actual Costs'!F43)</f>
        <v>474.4316687811056</v>
      </c>
      <c r="G43" s="30">
        <f>AVERAGE('Lex WTPs 2007-2010'!AA14,'2011 Actual Costs'!G43)</f>
        <v>480.29308566845947</v>
      </c>
      <c r="H43" s="31">
        <f>AVERAGE('Lex WTPs 2007-2010'!AF14,'2011 Actual Costs'!H43)</f>
        <v>442.85801877576966</v>
      </c>
      <c r="I43" s="30">
        <f>AVERAGE('Lex WTPs 2007-2010'!AK14,'2011 Actual Costs'!I43)</f>
        <v>445.25231240605365</v>
      </c>
      <c r="J43" s="31">
        <f>AVERAGE('Lex WTPs 2007-2010'!AP14,'2011 Actual Costs'!J43)</f>
        <v>451.09770529521842</v>
      </c>
      <c r="K43" s="30">
        <f>AVERAGE('Lex WTPs 2007-2010'!AU14,'2011 Actual Costs'!K43)</f>
        <v>397.34769652243489</v>
      </c>
      <c r="L43" s="31">
        <f>AVERAGE('Lex WTPs 2007-2010'!AZ14,'2011 Actual Costs'!L43)</f>
        <v>439.84307774962099</v>
      </c>
      <c r="M43" s="30">
        <f>AVERAGE('Lex WTPs 2007-2010'!BE14,'2011 Actual Costs'!M43)</f>
        <v>428.60495708900157</v>
      </c>
      <c r="N43" s="31">
        <f>AVERAGE('Lex WTPs 2007-2010'!BJ14,'2011 Actual Costs'!N43)</f>
        <v>532.34705491660065</v>
      </c>
      <c r="O43" s="32">
        <f>O44/O$7</f>
        <v>466.55883559388286</v>
      </c>
    </row>
    <row r="44" spans="1:40">
      <c r="A44" s="34" t="s">
        <v>64</v>
      </c>
      <c r="B44" s="35" t="s">
        <v>57</v>
      </c>
      <c r="C44" s="36">
        <f t="shared" ref="C44:N44" si="28">C$7*C43</f>
        <v>206435.23635692443</v>
      </c>
      <c r="D44" s="37">
        <f t="shared" si="28"/>
        <v>165485.76443645754</v>
      </c>
      <c r="E44" s="36">
        <f t="shared" si="28"/>
        <v>170376.6831208634</v>
      </c>
      <c r="F44" s="37">
        <f t="shared" si="28"/>
        <v>170827.90659953162</v>
      </c>
      <c r="G44" s="36">
        <f t="shared" si="28"/>
        <v>178703.03221836977</v>
      </c>
      <c r="H44" s="37">
        <f t="shared" si="28"/>
        <v>159459.2293188285</v>
      </c>
      <c r="I44" s="36">
        <f t="shared" si="28"/>
        <v>165665.38370724628</v>
      </c>
      <c r="J44" s="37">
        <f t="shared" si="28"/>
        <v>167840.28371095465</v>
      </c>
      <c r="K44" s="36">
        <f t="shared" si="28"/>
        <v>143072.39515326556</v>
      </c>
      <c r="L44" s="37">
        <f t="shared" si="28"/>
        <v>163652.76544575318</v>
      </c>
      <c r="M44" s="36">
        <f t="shared" si="28"/>
        <v>154327.15055848763</v>
      </c>
      <c r="N44" s="37">
        <f t="shared" si="28"/>
        <v>198070.79415626658</v>
      </c>
      <c r="O44" s="38">
        <f>SUM(C44:N44)</f>
        <v>2043916.6247829495</v>
      </c>
    </row>
    <row r="45" spans="1:40">
      <c r="A45" s="42"/>
      <c r="B45" s="35" t="s">
        <v>58</v>
      </c>
      <c r="C45" s="43">
        <f>'Price Changes'!F10</f>
        <v>0.16124649999999999</v>
      </c>
      <c r="D45" s="44">
        <f t="shared" ref="D45:N45" si="29">C45</f>
        <v>0.16124649999999999</v>
      </c>
      <c r="E45" s="43">
        <f t="shared" si="29"/>
        <v>0.16124649999999999</v>
      </c>
      <c r="F45" s="44">
        <f t="shared" si="29"/>
        <v>0.16124649999999999</v>
      </c>
      <c r="G45" s="43">
        <f t="shared" si="29"/>
        <v>0.16124649999999999</v>
      </c>
      <c r="H45" s="44">
        <f t="shared" si="29"/>
        <v>0.16124649999999999</v>
      </c>
      <c r="I45" s="43">
        <f t="shared" si="29"/>
        <v>0.16124649999999999</v>
      </c>
      <c r="J45" s="44">
        <f t="shared" si="29"/>
        <v>0.16124649999999999</v>
      </c>
      <c r="K45" s="43">
        <f t="shared" si="29"/>
        <v>0.16124649999999999</v>
      </c>
      <c r="L45" s="44">
        <f t="shared" si="29"/>
        <v>0.16124649999999999</v>
      </c>
      <c r="M45" s="43">
        <f t="shared" si="29"/>
        <v>0.16124649999999999</v>
      </c>
      <c r="N45" s="44">
        <f t="shared" si="29"/>
        <v>0.16124649999999999</v>
      </c>
      <c r="O45" s="45">
        <f>IF(O44=0,0,+O46/O44)</f>
        <v>0.16124649999999993</v>
      </c>
    </row>
    <row r="46" spans="1:40">
      <c r="A46" s="42"/>
      <c r="B46" s="35" t="s">
        <v>15</v>
      </c>
      <c r="C46" s="48">
        <f t="shared" ref="C46:N46" si="30">C44*C45</f>
        <v>33286.959339226814</v>
      </c>
      <c r="D46" s="49">
        <f t="shared" si="30"/>
        <v>26684.000315203248</v>
      </c>
      <c r="E46" s="48">
        <f t="shared" si="30"/>
        <v>27472.643834848299</v>
      </c>
      <c r="F46" s="49">
        <f t="shared" si="30"/>
        <v>27545.402041501373</v>
      </c>
      <c r="G46" s="48">
        <f t="shared" si="30"/>
        <v>28815.238484599358</v>
      </c>
      <c r="H46" s="49">
        <f t="shared" si="30"/>
        <v>25712.242620358476</v>
      </c>
      <c r="I46" s="48">
        <f t="shared" si="30"/>
        <v>26712.963293950485</v>
      </c>
      <c r="J46" s="49">
        <f t="shared" si="30"/>
        <v>27063.658307398448</v>
      </c>
      <c r="K46" s="48">
        <f t="shared" si="30"/>
        <v>23069.922965081034</v>
      </c>
      <c r="L46" s="49">
        <f t="shared" si="30"/>
        <v>26388.435643448636</v>
      </c>
      <c r="M46" s="48">
        <f t="shared" si="30"/>
        <v>24884.712882529173</v>
      </c>
      <c r="N46" s="49">
        <f t="shared" si="30"/>
        <v>31938.222309918438</v>
      </c>
      <c r="O46" s="50">
        <f>SUM(C46:N46)</f>
        <v>329574.40203806374</v>
      </c>
    </row>
    <row r="47" spans="1:40" ht="13.5" thickBot="1">
      <c r="A47" s="51"/>
      <c r="B47" s="52" t="s">
        <v>59</v>
      </c>
      <c r="C47" s="53">
        <f t="shared" ref="C47:O47" si="31">C46/C$7</f>
        <v>89.464046664980756</v>
      </c>
      <c r="D47" s="54">
        <f t="shared" si="31"/>
        <v>79.401555873851606</v>
      </c>
      <c r="E47" s="53">
        <f t="shared" si="31"/>
        <v>73.837140394943447</v>
      </c>
      <c r="F47" s="54">
        <f t="shared" si="31"/>
        <v>76.500446080112539</v>
      </c>
      <c r="G47" s="53">
        <f t="shared" si="31"/>
        <v>77.445579038239245</v>
      </c>
      <c r="H47" s="54">
        <f t="shared" si="31"/>
        <v>71.409305524527142</v>
      </c>
      <c r="I47" s="53">
        <f t="shared" si="31"/>
        <v>71.795376992382728</v>
      </c>
      <c r="J47" s="54">
        <f t="shared" si="31"/>
        <v>72.737926136885434</v>
      </c>
      <c r="K47" s="53">
        <f t="shared" si="31"/>
        <v>64.070925347304794</v>
      </c>
      <c r="L47" s="54">
        <f t="shared" si="31"/>
        <v>70.923156836354252</v>
      </c>
      <c r="M47" s="53">
        <f t="shared" si="31"/>
        <v>69.11104921325169</v>
      </c>
      <c r="N47" s="54">
        <f t="shared" si="31"/>
        <v>85.839099390609647</v>
      </c>
      <c r="O47" s="55">
        <f t="shared" si="31"/>
        <v>75.230979283589008</v>
      </c>
    </row>
    <row r="48" spans="1:40">
      <c r="A48" s="28" t="s">
        <v>68</v>
      </c>
      <c r="B48" s="29" t="s">
        <v>55</v>
      </c>
      <c r="C48" s="30">
        <f>AVERAGE('Lex WTPs 2007-2010'!G20,'2011 Actual Costs'!C48)</f>
        <v>20.856480289569781</v>
      </c>
      <c r="D48" s="31">
        <f>AVERAGE('Lex WTPs 2007-2010'!L20,'2011 Actual Costs'!D48)</f>
        <v>23.061484794549557</v>
      </c>
      <c r="E48" s="30">
        <f>AVERAGE('Lex WTPs 2007-2010'!Q20,'2011 Actual Costs'!E48)</f>
        <v>24.197768636830538</v>
      </c>
      <c r="F48" s="31">
        <f>AVERAGE('Lex WTPs 2007-2010'!V20,'2011 Actual Costs'!F48)</f>
        <v>23.030519738357246</v>
      </c>
      <c r="G48" s="30">
        <f>AVERAGE('Lex WTPs 2007-2010'!AA20,'2011 Actual Costs'!G48)</f>
        <v>23.163916564840441</v>
      </c>
      <c r="H48" s="31">
        <f>AVERAGE('Lex WTPs 2007-2010'!AF20,'2011 Actual Costs'!H48)</f>
        <v>21.170401903241007</v>
      </c>
      <c r="I48" s="30">
        <f>AVERAGE('Lex WTPs 2007-2010'!AK20,'2011 Actual Costs'!I48)</f>
        <v>21.443715806454808</v>
      </c>
      <c r="J48" s="31">
        <f>AVERAGE('Lex WTPs 2007-2010'!AP20,'2011 Actual Costs'!J48)</f>
        <v>19.06396662990376</v>
      </c>
      <c r="K48" s="30">
        <f>AVERAGE('Lex WTPs 2007-2010'!AU20,'2011 Actual Costs'!K48)</f>
        <v>21.918264370012054</v>
      </c>
      <c r="L48" s="31">
        <f>AVERAGE('Lex WTPs 2007-2010'!AZ20,'2011 Actual Costs'!L48)</f>
        <v>22.759165083914528</v>
      </c>
      <c r="M48" s="30">
        <f>AVERAGE('Lex WTPs 2007-2010'!BE20,'2011 Actual Costs'!M48)</f>
        <v>27.867402705304094</v>
      </c>
      <c r="N48" s="31">
        <f>AVERAGE('Lex WTPs 2007-2010'!BJ20,'2011 Actual Costs'!N48)</f>
        <v>25.631215004847068</v>
      </c>
      <c r="O48" s="32">
        <f>O49/O$7</f>
        <v>22.838143299347969</v>
      </c>
      <c r="V48" s="15"/>
      <c r="Y48" s="8"/>
      <c r="AN48" s="15"/>
    </row>
    <row r="49" spans="1:40">
      <c r="A49" s="34" t="s">
        <v>64</v>
      </c>
      <c r="B49" s="35" t="s">
        <v>57</v>
      </c>
      <c r="C49" s="36">
        <f t="shared" ref="C49:N49" si="32">C$7*C48</f>
        <v>7760.0872891215549</v>
      </c>
      <c r="D49" s="37">
        <f t="shared" si="32"/>
        <v>7750.1336183447365</v>
      </c>
      <c r="E49" s="36">
        <f t="shared" si="32"/>
        <v>9003.283114729531</v>
      </c>
      <c r="F49" s="37">
        <f t="shared" si="32"/>
        <v>8292.5650492736331</v>
      </c>
      <c r="G49" s="36">
        <f t="shared" si="32"/>
        <v>8618.6169480851768</v>
      </c>
      <c r="H49" s="37">
        <f t="shared" si="32"/>
        <v>7622.7951820602184</v>
      </c>
      <c r="I49" s="36">
        <f t="shared" si="32"/>
        <v>7978.5804771873836</v>
      </c>
      <c r="J49" s="37">
        <f t="shared" si="32"/>
        <v>7093.1452992543864</v>
      </c>
      <c r="K49" s="36">
        <f t="shared" si="32"/>
        <v>7892.0769101351716</v>
      </c>
      <c r="L49" s="37">
        <f t="shared" si="32"/>
        <v>8468.0207411136162</v>
      </c>
      <c r="M49" s="36">
        <f t="shared" si="32"/>
        <v>10034.174317966213</v>
      </c>
      <c r="N49" s="37">
        <f t="shared" si="32"/>
        <v>9536.6266504384494</v>
      </c>
      <c r="O49" s="38">
        <f>SUM(C49:N49)</f>
        <v>100050.10559771008</v>
      </c>
      <c r="P49" s="57"/>
      <c r="Q49" s="57"/>
      <c r="R49" s="57"/>
      <c r="S49" s="41"/>
      <c r="V49" s="15"/>
      <c r="Y49" s="8"/>
      <c r="AN49" s="15"/>
    </row>
    <row r="50" spans="1:40" ht="15.75">
      <c r="A50" s="42"/>
      <c r="B50" s="35" t="s">
        <v>58</v>
      </c>
      <c r="C50" s="43">
        <f>'Price Changes'!F11</f>
        <v>0.37897200000000009</v>
      </c>
      <c r="D50" s="44">
        <f t="shared" ref="D50:N50" si="33">C50</f>
        <v>0.37897200000000009</v>
      </c>
      <c r="E50" s="43">
        <f t="shared" si="33"/>
        <v>0.37897200000000009</v>
      </c>
      <c r="F50" s="44">
        <f t="shared" si="33"/>
        <v>0.37897200000000009</v>
      </c>
      <c r="G50" s="43">
        <f t="shared" si="33"/>
        <v>0.37897200000000009</v>
      </c>
      <c r="H50" s="44">
        <f t="shared" si="33"/>
        <v>0.37897200000000009</v>
      </c>
      <c r="I50" s="43">
        <f t="shared" si="33"/>
        <v>0.37897200000000009</v>
      </c>
      <c r="J50" s="44">
        <f t="shared" si="33"/>
        <v>0.37897200000000009</v>
      </c>
      <c r="K50" s="43">
        <f t="shared" si="33"/>
        <v>0.37897200000000009</v>
      </c>
      <c r="L50" s="44">
        <f t="shared" si="33"/>
        <v>0.37897200000000009</v>
      </c>
      <c r="M50" s="43">
        <f t="shared" si="33"/>
        <v>0.37897200000000009</v>
      </c>
      <c r="N50" s="44">
        <f t="shared" si="33"/>
        <v>0.37897200000000009</v>
      </c>
      <c r="O50" s="45">
        <f>IF(O49=0,0,+O51/O49)</f>
        <v>0.37897200000000009</v>
      </c>
      <c r="P50" s="46"/>
      <c r="Q50" s="46"/>
      <c r="R50" s="47"/>
      <c r="S50" s="41"/>
      <c r="V50" s="15"/>
      <c r="Y50" s="8"/>
      <c r="AN50" s="15"/>
    </row>
    <row r="51" spans="1:40">
      <c r="A51" s="42"/>
      <c r="B51" s="35" t="s">
        <v>15</v>
      </c>
      <c r="C51" s="48">
        <f t="shared" ref="C51:N51" si="34">C49*C50</f>
        <v>2940.8558001329748</v>
      </c>
      <c r="D51" s="49">
        <f t="shared" si="34"/>
        <v>2937.0836376113421</v>
      </c>
      <c r="E51" s="48">
        <f t="shared" si="34"/>
        <v>3411.9922085552807</v>
      </c>
      <c r="F51" s="49">
        <f t="shared" si="34"/>
        <v>3142.649961853328</v>
      </c>
      <c r="G51" s="48">
        <f t="shared" si="34"/>
        <v>3266.2145020497364</v>
      </c>
      <c r="H51" s="49">
        <f t="shared" si="34"/>
        <v>2888.8259357357256</v>
      </c>
      <c r="I51" s="48">
        <f t="shared" si="34"/>
        <v>3023.6586006006578</v>
      </c>
      <c r="J51" s="49">
        <f t="shared" si="34"/>
        <v>2688.1034603490339</v>
      </c>
      <c r="K51" s="48">
        <f t="shared" si="34"/>
        <v>2990.876170787747</v>
      </c>
      <c r="L51" s="49">
        <f t="shared" si="34"/>
        <v>3209.1427563013099</v>
      </c>
      <c r="M51" s="48">
        <f t="shared" si="34"/>
        <v>3802.6711096282929</v>
      </c>
      <c r="N51" s="49">
        <f t="shared" si="34"/>
        <v>3614.1144749699611</v>
      </c>
      <c r="O51" s="50">
        <f>SUM(C51:N51)</f>
        <v>37916.18861857539</v>
      </c>
      <c r="P51" s="40"/>
      <c r="Q51" s="40"/>
      <c r="R51" s="40"/>
      <c r="S51" s="41"/>
      <c r="V51" s="15"/>
      <c r="AN51" s="15"/>
    </row>
    <row r="52" spans="1:40" ht="16.5" thickBot="1">
      <c r="A52" s="51"/>
      <c r="B52" s="52" t="s">
        <v>59</v>
      </c>
      <c r="C52" s="53">
        <f t="shared" ref="C52:O52" si="35">C51/C$7</f>
        <v>7.9040220482988417</v>
      </c>
      <c r="D52" s="54">
        <f t="shared" si="35"/>
        <v>8.7396570155600362</v>
      </c>
      <c r="E52" s="53">
        <f t="shared" si="35"/>
        <v>9.1702767758369461</v>
      </c>
      <c r="F52" s="54">
        <f t="shared" si="35"/>
        <v>8.7279221262847244</v>
      </c>
      <c r="G52" s="53">
        <f t="shared" si="35"/>
        <v>8.7784757884107147</v>
      </c>
      <c r="H52" s="54">
        <f t="shared" si="35"/>
        <v>8.0229895500750512</v>
      </c>
      <c r="I52" s="53">
        <f t="shared" si="35"/>
        <v>8.1265678666037928</v>
      </c>
      <c r="J52" s="54">
        <f t="shared" si="35"/>
        <v>7.2247095616678889</v>
      </c>
      <c r="K52" s="53">
        <f t="shared" si="35"/>
        <v>8.3064084848322111</v>
      </c>
      <c r="L52" s="54">
        <f t="shared" si="35"/>
        <v>8.625086310181258</v>
      </c>
      <c r="M52" s="53">
        <f t="shared" si="35"/>
        <v>10.560965338034507</v>
      </c>
      <c r="N52" s="54">
        <f t="shared" si="35"/>
        <v>9.713512812816905</v>
      </c>
      <c r="O52" s="55">
        <f t="shared" si="35"/>
        <v>8.6550168424404994</v>
      </c>
      <c r="P52" s="56"/>
      <c r="Q52" s="56"/>
      <c r="R52" s="57"/>
      <c r="S52" s="41"/>
      <c r="V52" s="15"/>
      <c r="AE52" s="16"/>
      <c r="AG52" s="8"/>
      <c r="AN52" s="15"/>
    </row>
    <row r="53" spans="1:40">
      <c r="A53" s="28" t="s">
        <v>69</v>
      </c>
      <c r="B53" s="29" t="s">
        <v>55</v>
      </c>
      <c r="C53" s="30">
        <f>AVERAGE('Lex WTPs 2007-2010'!G26,'2011 Actual Costs'!C53)</f>
        <v>-2.4873393677311787E-2</v>
      </c>
      <c r="D53" s="31">
        <f>AVERAGE('Lex WTPs 2007-2010'!L26,'2011 Actual Costs'!D53)</f>
        <v>1.1754472576815478E-3</v>
      </c>
      <c r="E53" s="30">
        <f>AVERAGE('Lex WTPs 2007-2010'!Q26,'2011 Actual Costs'!E53)</f>
        <v>2.618897967735177E-3</v>
      </c>
      <c r="F53" s="31">
        <f>AVERAGE('Lex WTPs 2007-2010'!V26,'2011 Actual Costs'!F53)</f>
        <v>5.4860653938994955E-3</v>
      </c>
      <c r="G53" s="30">
        <f>AVERAGE('Lex WTPs 2007-2010'!AA26,'2011 Actual Costs'!G53)</f>
        <v>4.3269813247486027E-3</v>
      </c>
      <c r="H53" s="31">
        <f>AVERAGE('Lex WTPs 2007-2010'!AF26,'2011 Actual Costs'!H53)</f>
        <v>5.4253472222222229E-3</v>
      </c>
      <c r="I53" s="30">
        <f>AVERAGE('Lex WTPs 2007-2010'!AK26,'2011 Actual Costs'!I53)</f>
        <v>2.0333138135207236E-3</v>
      </c>
      <c r="J53" s="31">
        <f>AVERAGE('Lex WTPs 2007-2010'!AP26,'2011 Actual Costs'!J53)</f>
        <v>5.6820335577170032E-3</v>
      </c>
      <c r="K53" s="30">
        <f>AVERAGE('Lex WTPs 2007-2010'!AU26,'2011 Actual Costs'!K53)</f>
        <v>6.4333504889346367E-3</v>
      </c>
      <c r="L53" s="31">
        <f>AVERAGE('Lex WTPs 2007-2010'!AZ26,'2011 Actual Costs'!L53)</f>
        <v>8.7696220292905367E-4</v>
      </c>
      <c r="M53" s="30">
        <f>AVERAGE('Lex WTPs 2007-2010'!BE26,'2011 Actual Costs'!M53)</f>
        <v>3.251851232451617E-3</v>
      </c>
      <c r="N53" s="31">
        <f>AVERAGE('Lex WTPs 2007-2010'!BJ26,'2011 Actual Costs'!N53)</f>
        <v>9.7817277325955108E-3</v>
      </c>
      <c r="O53" s="32">
        <f>O54/O$7</f>
        <v>1.8209675723843432E-3</v>
      </c>
    </row>
    <row r="54" spans="1:40">
      <c r="A54" s="103" t="s">
        <v>106</v>
      </c>
      <c r="B54" s="35" t="s">
        <v>57</v>
      </c>
      <c r="C54" s="65">
        <f t="shared" ref="C54:N54" si="36">C$7*C53</f>
        <v>-9.2546634634776712</v>
      </c>
      <c r="D54" s="66">
        <f t="shared" si="36"/>
        <v>0.39502544565135528</v>
      </c>
      <c r="E54" s="65">
        <f t="shared" si="36"/>
        <v>0.97441545978836064</v>
      </c>
      <c r="F54" s="66">
        <f t="shared" si="36"/>
        <v>1.9753594213382513</v>
      </c>
      <c r="G54" s="65">
        <f t="shared" si="36"/>
        <v>1.6099433994737857</v>
      </c>
      <c r="H54" s="66">
        <f t="shared" si="36"/>
        <v>1.9534967194093775</v>
      </c>
      <c r="I54" s="65">
        <f t="shared" si="36"/>
        <v>0.75653669555108427</v>
      </c>
      <c r="J54" s="66">
        <f t="shared" si="36"/>
        <v>2.1141187667054524</v>
      </c>
      <c r="K54" s="65">
        <f t="shared" si="36"/>
        <v>2.3164469590937751</v>
      </c>
      <c r="L54" s="66">
        <f t="shared" si="36"/>
        <v>0.32629202768182725</v>
      </c>
      <c r="M54" s="65">
        <f t="shared" si="36"/>
        <v>1.1708892453153623</v>
      </c>
      <c r="N54" s="66">
        <f t="shared" si="36"/>
        <v>3.6394952546870032</v>
      </c>
      <c r="O54" s="67">
        <f>SUM(C54:N54)</f>
        <v>7.9773559312179634</v>
      </c>
      <c r="P54" s="60"/>
      <c r="Q54" s="57"/>
      <c r="R54" s="57"/>
      <c r="S54" s="41"/>
      <c r="T54" s="8"/>
    </row>
    <row r="55" spans="1:40" ht="15.75">
      <c r="A55" s="42"/>
      <c r="B55" s="35" t="s">
        <v>58</v>
      </c>
      <c r="C55" s="43">
        <f>'Price Changes'!F12</f>
        <v>0</v>
      </c>
      <c r="D55" s="44">
        <f t="shared" ref="D55:N55" si="37">C55</f>
        <v>0</v>
      </c>
      <c r="E55" s="43">
        <f t="shared" si="37"/>
        <v>0</v>
      </c>
      <c r="F55" s="44">
        <f t="shared" si="37"/>
        <v>0</v>
      </c>
      <c r="G55" s="43">
        <f t="shared" si="37"/>
        <v>0</v>
      </c>
      <c r="H55" s="44">
        <f t="shared" si="37"/>
        <v>0</v>
      </c>
      <c r="I55" s="43">
        <f t="shared" si="37"/>
        <v>0</v>
      </c>
      <c r="J55" s="44">
        <f t="shared" si="37"/>
        <v>0</v>
      </c>
      <c r="K55" s="43">
        <f t="shared" si="37"/>
        <v>0</v>
      </c>
      <c r="L55" s="44">
        <f t="shared" si="37"/>
        <v>0</v>
      </c>
      <c r="M55" s="43">
        <f t="shared" si="37"/>
        <v>0</v>
      </c>
      <c r="N55" s="44">
        <f t="shared" si="37"/>
        <v>0</v>
      </c>
      <c r="O55" s="45">
        <f>IF(O54=0,0,+O56/O54)</f>
        <v>0</v>
      </c>
      <c r="P55" s="46"/>
      <c r="Q55" s="47"/>
      <c r="R55" s="47"/>
      <c r="S55" s="41"/>
      <c r="T55" s="8"/>
    </row>
    <row r="56" spans="1:40">
      <c r="A56" s="42"/>
      <c r="B56" s="35" t="s">
        <v>15</v>
      </c>
      <c r="C56" s="48">
        <f t="shared" ref="C56:N56" si="38">C54*C55</f>
        <v>0</v>
      </c>
      <c r="D56" s="49">
        <f t="shared" si="38"/>
        <v>0</v>
      </c>
      <c r="E56" s="48">
        <f t="shared" si="38"/>
        <v>0</v>
      </c>
      <c r="F56" s="49">
        <f t="shared" si="38"/>
        <v>0</v>
      </c>
      <c r="G56" s="48">
        <f t="shared" si="38"/>
        <v>0</v>
      </c>
      <c r="H56" s="49">
        <f t="shared" si="38"/>
        <v>0</v>
      </c>
      <c r="I56" s="48">
        <f t="shared" si="38"/>
        <v>0</v>
      </c>
      <c r="J56" s="49">
        <f t="shared" si="38"/>
        <v>0</v>
      </c>
      <c r="K56" s="48">
        <f t="shared" si="38"/>
        <v>0</v>
      </c>
      <c r="L56" s="49">
        <f t="shared" si="38"/>
        <v>0</v>
      </c>
      <c r="M56" s="48">
        <f t="shared" si="38"/>
        <v>0</v>
      </c>
      <c r="N56" s="49">
        <f t="shared" si="38"/>
        <v>0</v>
      </c>
      <c r="O56" s="50">
        <f>SUM(C56:N56)</f>
        <v>0</v>
      </c>
      <c r="P56" s="40"/>
      <c r="Q56" s="40"/>
      <c r="R56" s="40"/>
      <c r="S56" s="41"/>
    </row>
    <row r="57" spans="1:40" ht="16.5" thickBot="1">
      <c r="A57" s="51"/>
      <c r="B57" s="52" t="s">
        <v>59</v>
      </c>
      <c r="C57" s="53">
        <f t="shared" ref="C57:O57" si="39">C56/C$7</f>
        <v>0</v>
      </c>
      <c r="D57" s="54">
        <f t="shared" si="39"/>
        <v>0</v>
      </c>
      <c r="E57" s="53">
        <f t="shared" si="39"/>
        <v>0</v>
      </c>
      <c r="F57" s="54">
        <f t="shared" si="39"/>
        <v>0</v>
      </c>
      <c r="G57" s="53">
        <f t="shared" si="39"/>
        <v>0</v>
      </c>
      <c r="H57" s="54">
        <f t="shared" si="39"/>
        <v>0</v>
      </c>
      <c r="I57" s="53">
        <f t="shared" si="39"/>
        <v>0</v>
      </c>
      <c r="J57" s="54">
        <f t="shared" si="39"/>
        <v>0</v>
      </c>
      <c r="K57" s="53">
        <f t="shared" si="39"/>
        <v>0</v>
      </c>
      <c r="L57" s="54">
        <f t="shared" si="39"/>
        <v>0</v>
      </c>
      <c r="M57" s="53">
        <f t="shared" si="39"/>
        <v>0</v>
      </c>
      <c r="N57" s="54">
        <f t="shared" si="39"/>
        <v>0</v>
      </c>
      <c r="O57" s="55">
        <f t="shared" si="39"/>
        <v>0</v>
      </c>
      <c r="P57" s="56"/>
      <c r="Q57" s="57"/>
      <c r="R57" s="57"/>
      <c r="S57" s="41"/>
    </row>
    <row r="58" spans="1:40">
      <c r="A58" s="28" t="s">
        <v>70</v>
      </c>
      <c r="B58" s="29" t="s">
        <v>55</v>
      </c>
      <c r="C58" s="30">
        <f>AVERAGE('Lex WTPs 2007-2010'!G25,'2011 Actual Costs'!C58)</f>
        <v>2.2391662156071725</v>
      </c>
      <c r="D58" s="31">
        <f>AVERAGE('Lex WTPs 2007-2010'!L25,'2011 Actual Costs'!D58)</f>
        <v>6.498250805918099</v>
      </c>
      <c r="E58" s="30">
        <f>AVERAGE('Lex WTPs 2007-2010'!Q25,'2011 Actual Costs'!E58)</f>
        <v>6.2337695775845479</v>
      </c>
      <c r="F58" s="31">
        <f>AVERAGE('Lex WTPs 2007-2010'!V25,'2011 Actual Costs'!F58)</f>
        <v>5.3901662078053745</v>
      </c>
      <c r="G58" s="30">
        <f>AVERAGE('Lex WTPs 2007-2010'!AA25,'2011 Actual Costs'!G58)</f>
        <v>4.8725819095476588</v>
      </c>
      <c r="H58" s="31">
        <f>AVERAGE('Lex WTPs 2007-2010'!AF25,'2011 Actual Costs'!H58)</f>
        <v>3.6943981733042426</v>
      </c>
      <c r="I58" s="30">
        <f>AVERAGE('Lex WTPs 2007-2010'!AK25,'2011 Actual Costs'!I58)</f>
        <v>5.8667624082588699</v>
      </c>
      <c r="J58" s="31">
        <f>AVERAGE('Lex WTPs 2007-2010'!AP25,'2011 Actual Costs'!J58)</f>
        <v>2.9740813272536695</v>
      </c>
      <c r="K58" s="30">
        <f>AVERAGE('Lex WTPs 2007-2010'!AU25,'2011 Actual Costs'!K58)</f>
        <v>3.7183135842040409</v>
      </c>
      <c r="L58" s="31">
        <f>AVERAGE('Lex WTPs 2007-2010'!AZ25,'2011 Actual Costs'!L58)</f>
        <v>5.2314405264279076</v>
      </c>
      <c r="M58" s="30">
        <f>AVERAGE('Lex WTPs 2007-2010'!BE25,'2011 Actual Costs'!M58)</f>
        <v>5.7181144106059696</v>
      </c>
      <c r="N58" s="31">
        <f>AVERAGE('Lex WTPs 2007-2010'!BJ25,'2011 Actual Costs'!N58)</f>
        <v>7.972602863426399</v>
      </c>
      <c r="O58" s="32">
        <f>O59/O$7</f>
        <v>5.0265297082591465</v>
      </c>
      <c r="S58" s="15"/>
    </row>
    <row r="59" spans="1:40">
      <c r="A59" s="34" t="s">
        <v>71</v>
      </c>
      <c r="B59" s="35" t="s">
        <v>57</v>
      </c>
      <c r="C59" s="36">
        <f t="shared" ref="C59:N59" si="40">C$7*C58</f>
        <v>833.12836330554524</v>
      </c>
      <c r="D59" s="37">
        <f t="shared" si="40"/>
        <v>2183.8278185489803</v>
      </c>
      <c r="E59" s="36">
        <f t="shared" si="40"/>
        <v>2319.4036285460102</v>
      </c>
      <c r="F59" s="37">
        <f t="shared" si="40"/>
        <v>1940.8291437807975</v>
      </c>
      <c r="G59" s="36">
        <f t="shared" si="40"/>
        <v>1812.9454450851824</v>
      </c>
      <c r="H59" s="37">
        <f t="shared" si="40"/>
        <v>1330.236465268255</v>
      </c>
      <c r="I59" s="36">
        <f t="shared" si="40"/>
        <v>2182.850977755505</v>
      </c>
      <c r="J59" s="37">
        <f t="shared" si="40"/>
        <v>1106.5688162147244</v>
      </c>
      <c r="K59" s="36">
        <f t="shared" si="40"/>
        <v>1338.8476517642498</v>
      </c>
      <c r="L59" s="37">
        <f t="shared" si="40"/>
        <v>1946.466257455274</v>
      </c>
      <c r="M59" s="36">
        <f t="shared" si="40"/>
        <v>2058.9129662655737</v>
      </c>
      <c r="N59" s="37">
        <f t="shared" si="40"/>
        <v>2966.3727188249127</v>
      </c>
      <c r="O59" s="38">
        <f>SUM(C59:N59)</f>
        <v>22020.39025281501</v>
      </c>
      <c r="P59" s="9"/>
      <c r="Q59" s="9"/>
      <c r="R59" s="9"/>
      <c r="S59" s="70"/>
    </row>
    <row r="60" spans="1:40">
      <c r="A60" s="34" t="s">
        <v>56</v>
      </c>
      <c r="B60" s="35" t="s">
        <v>58</v>
      </c>
      <c r="C60" s="43">
        <f>'Price Changes'!F13</f>
        <v>2.6111529999999998</v>
      </c>
      <c r="D60" s="44">
        <f t="shared" ref="D60:N60" si="41">C60</f>
        <v>2.6111529999999998</v>
      </c>
      <c r="E60" s="43">
        <f t="shared" si="41"/>
        <v>2.6111529999999998</v>
      </c>
      <c r="F60" s="44">
        <f t="shared" si="41"/>
        <v>2.6111529999999998</v>
      </c>
      <c r="G60" s="43">
        <f t="shared" si="41"/>
        <v>2.6111529999999998</v>
      </c>
      <c r="H60" s="44">
        <f t="shared" si="41"/>
        <v>2.6111529999999998</v>
      </c>
      <c r="I60" s="43">
        <f t="shared" si="41"/>
        <v>2.6111529999999998</v>
      </c>
      <c r="J60" s="44">
        <f t="shared" si="41"/>
        <v>2.6111529999999998</v>
      </c>
      <c r="K60" s="43">
        <f t="shared" si="41"/>
        <v>2.6111529999999998</v>
      </c>
      <c r="L60" s="44">
        <f t="shared" si="41"/>
        <v>2.6111529999999998</v>
      </c>
      <c r="M60" s="43">
        <f t="shared" si="41"/>
        <v>2.6111529999999998</v>
      </c>
      <c r="N60" s="44">
        <f t="shared" si="41"/>
        <v>2.6111529999999998</v>
      </c>
      <c r="O60" s="45">
        <f>IF(O59=0,0,+O61/O59)</f>
        <v>2.6111529999999994</v>
      </c>
      <c r="P60" s="15"/>
      <c r="Q60" s="15"/>
      <c r="R60" s="15"/>
      <c r="S60" s="71"/>
    </row>
    <row r="61" spans="1:40" ht="15.75">
      <c r="A61" s="42"/>
      <c r="B61" s="35" t="s">
        <v>15</v>
      </c>
      <c r="C61" s="48">
        <f t="shared" ref="C61:N61" si="42">C59*C60</f>
        <v>2175.4256252303644</v>
      </c>
      <c r="D61" s="49">
        <f t="shared" si="42"/>
        <v>5702.3085598876251</v>
      </c>
      <c r="E61" s="48">
        <f t="shared" si="42"/>
        <v>6056.3177428887993</v>
      </c>
      <c r="F61" s="49">
        <f t="shared" si="42"/>
        <v>5067.8018412706606</v>
      </c>
      <c r="G61" s="48">
        <f t="shared" si="42"/>
        <v>4733.8779377705087</v>
      </c>
      <c r="H61" s="49">
        <f t="shared" si="42"/>
        <v>3473.4509369945995</v>
      </c>
      <c r="I61" s="48">
        <f t="shared" si="42"/>
        <v>5699.75787911922</v>
      </c>
      <c r="J61" s="49">
        <f t="shared" si="42"/>
        <v>2889.420484165526</v>
      </c>
      <c r="K61" s="48">
        <f t="shared" si="42"/>
        <v>3495.936062447176</v>
      </c>
      <c r="L61" s="49">
        <f t="shared" si="42"/>
        <v>5082.5212075531108</v>
      </c>
      <c r="M61" s="48">
        <f t="shared" si="42"/>
        <v>5376.1367686032509</v>
      </c>
      <c r="N61" s="49">
        <f t="shared" si="42"/>
        <v>7745.6530238778269</v>
      </c>
      <c r="O61" s="50">
        <f>SUM(C61:N61)</f>
        <v>57498.608069808659</v>
      </c>
      <c r="P61" s="15"/>
      <c r="Q61" s="72"/>
      <c r="R61" s="15"/>
      <c r="S61" s="15"/>
    </row>
    <row r="62" spans="1:40" ht="13.5" thickBot="1">
      <c r="A62" s="51"/>
      <c r="B62" s="52" t="s">
        <v>59</v>
      </c>
      <c r="C62" s="53">
        <f t="shared" ref="C62:O62" si="43">C61/C$7</f>
        <v>5.8468055813813162</v>
      </c>
      <c r="D62" s="54">
        <f t="shared" si="43"/>
        <v>16.967927086625462</v>
      </c>
      <c r="E62" s="53">
        <f t="shared" si="43"/>
        <v>16.277326133818622</v>
      </c>
      <c r="F62" s="54">
        <f t="shared" si="43"/>
        <v>14.074548664009628</v>
      </c>
      <c r="G62" s="53">
        <f t="shared" si="43"/>
        <v>12.723056870861097</v>
      </c>
      <c r="H62" s="54">
        <f t="shared" si="43"/>
        <v>9.6466388734178921</v>
      </c>
      <c r="I62" s="53">
        <f t="shared" si="43"/>
        <v>15.31901426261237</v>
      </c>
      <c r="J62" s="54">
        <f t="shared" si="43"/>
        <v>7.7657813799024007</v>
      </c>
      <c r="K62" s="53">
        <f t="shared" si="43"/>
        <v>9.7090856703351331</v>
      </c>
      <c r="L62" s="54">
        <f t="shared" si="43"/>
        <v>13.66009162490381</v>
      </c>
      <c r="M62" s="53">
        <f t="shared" si="43"/>
        <v>14.930871597597006</v>
      </c>
      <c r="N62" s="54">
        <f t="shared" si="43"/>
        <v>20.817685884644433</v>
      </c>
      <c r="O62" s="55">
        <f t="shared" si="43"/>
        <v>13.125038127309992</v>
      </c>
      <c r="P62" s="15"/>
      <c r="Q62" s="15"/>
      <c r="R62" s="15"/>
      <c r="S62" s="15"/>
    </row>
    <row r="63" spans="1:40">
      <c r="A63" s="28" t="s">
        <v>72</v>
      </c>
      <c r="B63" s="29" t="s">
        <v>55</v>
      </c>
      <c r="C63" s="30">
        <f>AVERAGE('Lex WTPs 2007-2010'!G22,'2011 Actual Costs'!C63)</f>
        <v>3.9585155328762189</v>
      </c>
      <c r="D63" s="31">
        <f>AVERAGE('Lex WTPs 2007-2010'!L22,'2011 Actual Costs'!D63)</f>
        <v>4.2149353227996187</v>
      </c>
      <c r="E63" s="30">
        <f>AVERAGE('Lex WTPs 2007-2010'!Q22,'2011 Actual Costs'!E63)</f>
        <v>4.7435141199092001</v>
      </c>
      <c r="F63" s="31">
        <f>AVERAGE('Lex WTPs 2007-2010'!V22,'2011 Actual Costs'!F63)</f>
        <v>2.7700421909051638</v>
      </c>
      <c r="G63" s="30">
        <f>AVERAGE('Lex WTPs 2007-2010'!AA22,'2011 Actual Costs'!G63)</f>
        <v>4.1808953070571526</v>
      </c>
      <c r="H63" s="31">
        <f>AVERAGE('Lex WTPs 2007-2010'!AF22,'2011 Actual Costs'!H63)</f>
        <v>3.9959496724557022</v>
      </c>
      <c r="I63" s="30">
        <f>AVERAGE('Lex WTPs 2007-2010'!AK22,'2011 Actual Costs'!I63)</f>
        <v>3.7453540512681336</v>
      </c>
      <c r="J63" s="31">
        <f>AVERAGE('Lex WTPs 2007-2010'!AP22,'2011 Actual Costs'!J63)</f>
        <v>4.238426272544884</v>
      </c>
      <c r="K63" s="30">
        <f>AVERAGE('Lex WTPs 2007-2010'!AU22,'2011 Actual Costs'!K63)</f>
        <v>4.5774757459168658</v>
      </c>
      <c r="L63" s="31">
        <f>AVERAGE('Lex WTPs 2007-2010'!AZ22,'2011 Actual Costs'!L63)</f>
        <v>3.900037123231884</v>
      </c>
      <c r="M63" s="30">
        <f>AVERAGE('Lex WTPs 2007-2010'!BE22,'2011 Actual Costs'!M63)</f>
        <v>2.8152767237738381</v>
      </c>
      <c r="N63" s="31">
        <f>AVERAGE('Lex WTPs 2007-2010'!BJ22,'2011 Actual Costs'!N63)</f>
        <v>3.6548187486481103</v>
      </c>
      <c r="O63" s="32">
        <f>O64/O$7</f>
        <v>3.9009559311001079</v>
      </c>
    </row>
    <row r="64" spans="1:40">
      <c r="A64" s="34" t="s">
        <v>56</v>
      </c>
      <c r="B64" s="35" t="s">
        <v>57</v>
      </c>
      <c r="C64" s="36">
        <f t="shared" ref="C64:N64" si="44">C$7*C63</f>
        <v>1472.8480378266468</v>
      </c>
      <c r="D64" s="37">
        <f t="shared" si="44"/>
        <v>1416.4878035996423</v>
      </c>
      <c r="E64" s="36">
        <f t="shared" si="44"/>
        <v>1764.9230894478651</v>
      </c>
      <c r="F64" s="37">
        <f t="shared" si="44"/>
        <v>997.40497905723828</v>
      </c>
      <c r="G64" s="36">
        <f t="shared" si="44"/>
        <v>1555.5890581244096</v>
      </c>
      <c r="H64" s="37">
        <f t="shared" si="44"/>
        <v>1438.8156658607045</v>
      </c>
      <c r="I64" s="36">
        <f t="shared" si="44"/>
        <v>1393.5368750134057</v>
      </c>
      <c r="J64" s="37">
        <f t="shared" si="44"/>
        <v>1576.9946504301977</v>
      </c>
      <c r="K64" s="36">
        <f t="shared" si="44"/>
        <v>1648.2048957526283</v>
      </c>
      <c r="L64" s="37">
        <f t="shared" si="44"/>
        <v>1451.0899292163465</v>
      </c>
      <c r="M64" s="36">
        <f t="shared" si="44"/>
        <v>1013.6925101485251</v>
      </c>
      <c r="N64" s="37">
        <f t="shared" si="44"/>
        <v>1359.8513326148754</v>
      </c>
      <c r="O64" s="38">
        <f>SUM(C64:N64)</f>
        <v>17089.438827092483</v>
      </c>
      <c r="P64" s="57"/>
      <c r="Q64" s="57"/>
      <c r="R64" s="60"/>
      <c r="S64" s="41"/>
    </row>
    <row r="65" spans="1:19" ht="15.75">
      <c r="A65" s="42"/>
      <c r="B65" s="35" t="s">
        <v>58</v>
      </c>
      <c r="C65" s="43">
        <f>'Price Changes'!F14</f>
        <v>0.16644799999999998</v>
      </c>
      <c r="D65" s="44">
        <f t="shared" ref="D65:N65" si="45">C65</f>
        <v>0.16644799999999998</v>
      </c>
      <c r="E65" s="43">
        <f t="shared" si="45"/>
        <v>0.16644799999999998</v>
      </c>
      <c r="F65" s="44">
        <f t="shared" si="45"/>
        <v>0.16644799999999998</v>
      </c>
      <c r="G65" s="43">
        <f t="shared" si="45"/>
        <v>0.16644799999999998</v>
      </c>
      <c r="H65" s="44">
        <f t="shared" si="45"/>
        <v>0.16644799999999998</v>
      </c>
      <c r="I65" s="43">
        <f t="shared" si="45"/>
        <v>0.16644799999999998</v>
      </c>
      <c r="J65" s="44">
        <f t="shared" si="45"/>
        <v>0.16644799999999998</v>
      </c>
      <c r="K65" s="43">
        <f t="shared" si="45"/>
        <v>0.16644799999999998</v>
      </c>
      <c r="L65" s="44">
        <f t="shared" si="45"/>
        <v>0.16644799999999998</v>
      </c>
      <c r="M65" s="43">
        <f t="shared" si="45"/>
        <v>0.16644799999999998</v>
      </c>
      <c r="N65" s="44">
        <f t="shared" si="45"/>
        <v>0.16644799999999998</v>
      </c>
      <c r="O65" s="45">
        <f>IF(O64=0,0,+O66/O64)</f>
        <v>0.16644799999999998</v>
      </c>
      <c r="P65" s="46"/>
      <c r="Q65" s="47"/>
      <c r="R65" s="47"/>
      <c r="S65" s="41"/>
    </row>
    <row r="66" spans="1:19">
      <c r="A66" s="42"/>
      <c r="B66" s="35" t="s">
        <v>15</v>
      </c>
      <c r="C66" s="48">
        <f t="shared" ref="C66:N66" si="46">C64*C65</f>
        <v>245.15261020016968</v>
      </c>
      <c r="D66" s="49">
        <f t="shared" si="46"/>
        <v>235.77156193355324</v>
      </c>
      <c r="E66" s="48">
        <f t="shared" si="46"/>
        <v>293.76791839241821</v>
      </c>
      <c r="F66" s="49">
        <f t="shared" si="46"/>
        <v>166.01606395411918</v>
      </c>
      <c r="G66" s="48">
        <f t="shared" si="46"/>
        <v>258.9246875466917</v>
      </c>
      <c r="H66" s="49">
        <f t="shared" si="46"/>
        <v>239.48798995118253</v>
      </c>
      <c r="I66" s="48">
        <f t="shared" si="46"/>
        <v>231.95142577223135</v>
      </c>
      <c r="J66" s="49">
        <f t="shared" si="46"/>
        <v>262.48760557480551</v>
      </c>
      <c r="K66" s="48">
        <f t="shared" si="46"/>
        <v>274.34040848823344</v>
      </c>
      <c r="L66" s="49">
        <f t="shared" si="46"/>
        <v>241.53101653820241</v>
      </c>
      <c r="M66" s="48">
        <f t="shared" si="46"/>
        <v>168.72709092920169</v>
      </c>
      <c r="N66" s="49">
        <f t="shared" si="46"/>
        <v>226.34453461108077</v>
      </c>
      <c r="O66" s="50">
        <f>SUM(C66:N66)</f>
        <v>2844.5029138918894</v>
      </c>
      <c r="P66" s="40"/>
      <c r="Q66" s="40"/>
      <c r="R66" s="40"/>
      <c r="S66" s="41"/>
    </row>
    <row r="67" spans="1:19" ht="16.5" thickBot="1">
      <c r="A67" s="51"/>
      <c r="B67" s="52" t="s">
        <v>59</v>
      </c>
      <c r="C67" s="53">
        <f t="shared" ref="C67:O67" si="47">C66/C$7</f>
        <v>0.65888699341618084</v>
      </c>
      <c r="D67" s="54">
        <f t="shared" si="47"/>
        <v>0.70156755460935094</v>
      </c>
      <c r="E67" s="53">
        <f t="shared" si="47"/>
        <v>0.78954843823064635</v>
      </c>
      <c r="F67" s="54">
        <f t="shared" si="47"/>
        <v>0.46106798259178261</v>
      </c>
      <c r="G67" s="53">
        <f t="shared" si="47"/>
        <v>0.6959016620690488</v>
      </c>
      <c r="H67" s="54">
        <f t="shared" si="47"/>
        <v>0.66511783108090672</v>
      </c>
      <c r="I67" s="53">
        <f t="shared" si="47"/>
        <v>0.62340669112547831</v>
      </c>
      <c r="J67" s="54">
        <f t="shared" si="47"/>
        <v>0.70547757621255081</v>
      </c>
      <c r="K67" s="53">
        <f t="shared" si="47"/>
        <v>0.76191168295637035</v>
      </c>
      <c r="L67" s="54">
        <f t="shared" si="47"/>
        <v>0.64915337908770054</v>
      </c>
      <c r="M67" s="53">
        <f t="shared" si="47"/>
        <v>0.46859718011870777</v>
      </c>
      <c r="N67" s="54">
        <f t="shared" si="47"/>
        <v>0.6083372710749807</v>
      </c>
      <c r="O67" s="55">
        <f t="shared" si="47"/>
        <v>0.64930631281975071</v>
      </c>
      <c r="P67" s="56"/>
      <c r="Q67" s="57"/>
      <c r="R67" s="57"/>
      <c r="S67" s="41"/>
    </row>
    <row r="68" spans="1:19">
      <c r="A68" s="181" t="s">
        <v>73</v>
      </c>
      <c r="B68" s="29" t="s">
        <v>55</v>
      </c>
      <c r="C68" s="30">
        <v>0</v>
      </c>
      <c r="D68" s="31">
        <v>0</v>
      </c>
      <c r="E68" s="30">
        <v>0</v>
      </c>
      <c r="F68" s="31">
        <v>0</v>
      </c>
      <c r="G68" s="30">
        <v>0</v>
      </c>
      <c r="H68" s="31">
        <v>0</v>
      </c>
      <c r="I68" s="30">
        <v>0</v>
      </c>
      <c r="J68" s="31">
        <v>0</v>
      </c>
      <c r="K68" s="30">
        <v>0</v>
      </c>
      <c r="L68" s="31">
        <v>0</v>
      </c>
      <c r="M68" s="30">
        <v>0</v>
      </c>
      <c r="N68" s="31">
        <v>0</v>
      </c>
      <c r="O68" s="32">
        <f>O69/O$7</f>
        <v>0</v>
      </c>
    </row>
    <row r="69" spans="1:19">
      <c r="A69" s="34" t="s">
        <v>64</v>
      </c>
      <c r="B69" s="35" t="s">
        <v>57</v>
      </c>
      <c r="C69" s="65">
        <f t="shared" ref="C69:N69" si="48">C$7*C68</f>
        <v>0</v>
      </c>
      <c r="D69" s="66">
        <f t="shared" si="48"/>
        <v>0</v>
      </c>
      <c r="E69" s="65">
        <f t="shared" si="48"/>
        <v>0</v>
      </c>
      <c r="F69" s="66">
        <f t="shared" si="48"/>
        <v>0</v>
      </c>
      <c r="G69" s="65">
        <f t="shared" si="48"/>
        <v>0</v>
      </c>
      <c r="H69" s="66">
        <f t="shared" si="48"/>
        <v>0</v>
      </c>
      <c r="I69" s="65">
        <f t="shared" si="48"/>
        <v>0</v>
      </c>
      <c r="J69" s="66">
        <f t="shared" si="48"/>
        <v>0</v>
      </c>
      <c r="K69" s="65">
        <f t="shared" si="48"/>
        <v>0</v>
      </c>
      <c r="L69" s="66">
        <f t="shared" si="48"/>
        <v>0</v>
      </c>
      <c r="M69" s="65">
        <f t="shared" si="48"/>
        <v>0</v>
      </c>
      <c r="N69" s="66">
        <f t="shared" si="48"/>
        <v>0</v>
      </c>
      <c r="O69" s="67">
        <f>SUM(C69:N69)</f>
        <v>0</v>
      </c>
      <c r="P69" s="57"/>
      <c r="Q69" s="57"/>
      <c r="R69" s="60"/>
      <c r="S69" s="41"/>
    </row>
    <row r="70" spans="1:19" ht="15.75">
      <c r="A70" s="42"/>
      <c r="B70" s="35" t="s">
        <v>58</v>
      </c>
      <c r="C70" s="43">
        <f>'Price Changes'!F15</f>
        <v>0</v>
      </c>
      <c r="D70" s="44">
        <f t="shared" ref="D70:N70" si="49">C70</f>
        <v>0</v>
      </c>
      <c r="E70" s="43">
        <f t="shared" si="49"/>
        <v>0</v>
      </c>
      <c r="F70" s="44">
        <f t="shared" si="49"/>
        <v>0</v>
      </c>
      <c r="G70" s="43">
        <f t="shared" si="49"/>
        <v>0</v>
      </c>
      <c r="H70" s="44">
        <f t="shared" si="49"/>
        <v>0</v>
      </c>
      <c r="I70" s="43">
        <f t="shared" si="49"/>
        <v>0</v>
      </c>
      <c r="J70" s="44">
        <f t="shared" si="49"/>
        <v>0</v>
      </c>
      <c r="K70" s="43">
        <f t="shared" si="49"/>
        <v>0</v>
      </c>
      <c r="L70" s="44">
        <f t="shared" si="49"/>
        <v>0</v>
      </c>
      <c r="M70" s="43">
        <f t="shared" si="49"/>
        <v>0</v>
      </c>
      <c r="N70" s="44">
        <f t="shared" si="49"/>
        <v>0</v>
      </c>
      <c r="O70" s="45">
        <f>IF(O69=0,0,+O71/O69)</f>
        <v>0</v>
      </c>
      <c r="P70" s="46"/>
      <c r="Q70" s="47"/>
      <c r="R70" s="47"/>
      <c r="S70" s="41"/>
    </row>
    <row r="71" spans="1:19">
      <c r="A71" s="42"/>
      <c r="B71" s="35" t="s">
        <v>15</v>
      </c>
      <c r="C71" s="48">
        <f t="shared" ref="C71:N71" si="50">C69*C70</f>
        <v>0</v>
      </c>
      <c r="D71" s="49">
        <f t="shared" si="50"/>
        <v>0</v>
      </c>
      <c r="E71" s="48">
        <f t="shared" si="50"/>
        <v>0</v>
      </c>
      <c r="F71" s="49">
        <f t="shared" si="50"/>
        <v>0</v>
      </c>
      <c r="G71" s="48">
        <f t="shared" si="50"/>
        <v>0</v>
      </c>
      <c r="H71" s="49">
        <f t="shared" si="50"/>
        <v>0</v>
      </c>
      <c r="I71" s="48">
        <f t="shared" si="50"/>
        <v>0</v>
      </c>
      <c r="J71" s="49">
        <f t="shared" si="50"/>
        <v>0</v>
      </c>
      <c r="K71" s="48">
        <f t="shared" si="50"/>
        <v>0</v>
      </c>
      <c r="L71" s="49">
        <f t="shared" si="50"/>
        <v>0</v>
      </c>
      <c r="M71" s="48">
        <f t="shared" si="50"/>
        <v>0</v>
      </c>
      <c r="N71" s="49">
        <f t="shared" si="50"/>
        <v>0</v>
      </c>
      <c r="O71" s="50">
        <f>SUM(C71:N71)</f>
        <v>0</v>
      </c>
      <c r="P71" s="40"/>
      <c r="Q71" s="40"/>
      <c r="R71" s="40"/>
      <c r="S71" s="41"/>
    </row>
    <row r="72" spans="1:19" ht="16.5" thickBot="1">
      <c r="A72" s="51"/>
      <c r="B72" s="52" t="s">
        <v>59</v>
      </c>
      <c r="C72" s="53">
        <f t="shared" ref="C72:O72" si="51">C71/C$7</f>
        <v>0</v>
      </c>
      <c r="D72" s="54">
        <f t="shared" si="51"/>
        <v>0</v>
      </c>
      <c r="E72" s="53">
        <f t="shared" si="51"/>
        <v>0</v>
      </c>
      <c r="F72" s="54">
        <f t="shared" si="51"/>
        <v>0</v>
      </c>
      <c r="G72" s="53">
        <f t="shared" si="51"/>
        <v>0</v>
      </c>
      <c r="H72" s="54">
        <f t="shared" si="51"/>
        <v>0</v>
      </c>
      <c r="I72" s="53">
        <f t="shared" si="51"/>
        <v>0</v>
      </c>
      <c r="J72" s="54">
        <f t="shared" si="51"/>
        <v>0</v>
      </c>
      <c r="K72" s="53">
        <f t="shared" si="51"/>
        <v>0</v>
      </c>
      <c r="L72" s="54">
        <f t="shared" si="51"/>
        <v>0</v>
      </c>
      <c r="M72" s="53">
        <f t="shared" si="51"/>
        <v>0</v>
      </c>
      <c r="N72" s="54">
        <f t="shared" si="51"/>
        <v>0</v>
      </c>
      <c r="O72" s="55">
        <f t="shared" si="51"/>
        <v>0</v>
      </c>
      <c r="P72" s="56"/>
      <c r="Q72" s="57"/>
      <c r="R72" s="57"/>
      <c r="S72" s="41"/>
    </row>
    <row r="73" spans="1:19">
      <c r="A73" s="28" t="s">
        <v>74</v>
      </c>
      <c r="B73" s="29" t="s">
        <v>55</v>
      </c>
      <c r="C73" s="30">
        <f>AVERAGE('Lex WTPs 2007-2010'!G24,'2011 Actual Costs'!C73)</f>
        <v>0.70740579979744111</v>
      </c>
      <c r="D73" s="31">
        <f>AVERAGE('Lex WTPs 2007-2010'!L24,'2011 Actual Costs'!D73)</f>
        <v>0</v>
      </c>
      <c r="E73" s="30">
        <f>AVERAGE('Lex WTPs 2007-2010'!Q24,'2011 Actual Costs'!E73)</f>
        <v>0.79920036315385168</v>
      </c>
      <c r="F73" s="31">
        <f>AVERAGE('Lex WTPs 2007-2010'!V24,'2011 Actual Costs'!F73)</f>
        <v>3.6712438756008132</v>
      </c>
      <c r="G73" s="30">
        <f>AVERAGE('Lex WTPs 2007-2010'!AA24,'2011 Actual Costs'!G73)</f>
        <v>14.400934296794683</v>
      </c>
      <c r="H73" s="31">
        <f>AVERAGE('Lex WTPs 2007-2010'!AF24,'2011 Actual Costs'!H73)</f>
        <v>20.140948290003802</v>
      </c>
      <c r="I73" s="30">
        <f>AVERAGE('Lex WTPs 2007-2010'!AK24,'2011 Actual Costs'!I73)</f>
        <v>23.435628411109377</v>
      </c>
      <c r="J73" s="31">
        <f>AVERAGE('Lex WTPs 2007-2010'!AP24,'2011 Actual Costs'!J73)</f>
        <v>22.691032053475485</v>
      </c>
      <c r="K73" s="30">
        <f>AVERAGE('Lex WTPs 2007-2010'!AU24,'2011 Actual Costs'!K73)</f>
        <v>25.342506220605294</v>
      </c>
      <c r="L73" s="31">
        <f>AVERAGE('Lex WTPs 2007-2010'!AZ24,'2011 Actual Costs'!L73)</f>
        <v>0.14401630294854717</v>
      </c>
      <c r="M73" s="30">
        <f>AVERAGE('Lex WTPs 2007-2010'!BE24,'2011 Actual Costs'!M73)</f>
        <v>2.271650360955487</v>
      </c>
      <c r="N73" s="31">
        <f>AVERAGE('Lex WTPs 2007-2010'!BJ24,'2011 Actual Costs'!N73)</f>
        <v>0</v>
      </c>
      <c r="O73" s="32">
        <f>O74/O$7</f>
        <v>9.5077128670154067</v>
      </c>
    </row>
    <row r="74" spans="1:19">
      <c r="A74" s="34" t="s">
        <v>64</v>
      </c>
      <c r="B74" s="35" t="s">
        <v>57</v>
      </c>
      <c r="C74" s="36">
        <f t="shared" ref="C74:N74" si="52">C$7*C73</f>
        <v>263.2050412650056</v>
      </c>
      <c r="D74" s="37">
        <f t="shared" si="52"/>
        <v>0</v>
      </c>
      <c r="E74" s="36">
        <f t="shared" si="52"/>
        <v>297.35911781208142</v>
      </c>
      <c r="F74" s="37">
        <f t="shared" si="52"/>
        <v>1321.8993316708682</v>
      </c>
      <c r="G74" s="36">
        <f t="shared" si="52"/>
        <v>5358.1671325395173</v>
      </c>
      <c r="H74" s="37">
        <f t="shared" si="52"/>
        <v>7252.1213479495073</v>
      </c>
      <c r="I74" s="36">
        <f t="shared" si="52"/>
        <v>8719.7129918692171</v>
      </c>
      <c r="J74" s="37">
        <f t="shared" si="52"/>
        <v>8442.6704300285892</v>
      </c>
      <c r="K74" s="36">
        <f t="shared" si="52"/>
        <v>9125.0385893801504</v>
      </c>
      <c r="L74" s="37">
        <f t="shared" si="52"/>
        <v>53.584260930939323</v>
      </c>
      <c r="M74" s="36">
        <f t="shared" si="52"/>
        <v>817.94977279887451</v>
      </c>
      <c r="N74" s="37">
        <f t="shared" si="52"/>
        <v>0</v>
      </c>
      <c r="O74" s="38">
        <f>SUM(C74:N74)</f>
        <v>41651.708016244753</v>
      </c>
      <c r="P74" s="57"/>
      <c r="Q74" s="57"/>
      <c r="R74" s="60"/>
      <c r="S74" s="41"/>
    </row>
    <row r="75" spans="1:19" ht="15.75">
      <c r="A75" s="42"/>
      <c r="B75" s="35" t="s">
        <v>58</v>
      </c>
      <c r="C75" s="43">
        <f>'Price Changes'!F16</f>
        <v>0.17640000000000003</v>
      </c>
      <c r="D75" s="44">
        <f t="shared" ref="D75:N75" si="53">C75</f>
        <v>0.17640000000000003</v>
      </c>
      <c r="E75" s="43">
        <f t="shared" si="53"/>
        <v>0.17640000000000003</v>
      </c>
      <c r="F75" s="44">
        <f t="shared" si="53"/>
        <v>0.17640000000000003</v>
      </c>
      <c r="G75" s="43">
        <f t="shared" si="53"/>
        <v>0.17640000000000003</v>
      </c>
      <c r="H75" s="44">
        <f t="shared" si="53"/>
        <v>0.17640000000000003</v>
      </c>
      <c r="I75" s="43">
        <f t="shared" si="53"/>
        <v>0.17640000000000003</v>
      </c>
      <c r="J75" s="44">
        <f t="shared" si="53"/>
        <v>0.17640000000000003</v>
      </c>
      <c r="K75" s="43">
        <f t="shared" si="53"/>
        <v>0.17640000000000003</v>
      </c>
      <c r="L75" s="44">
        <f t="shared" si="53"/>
        <v>0.17640000000000003</v>
      </c>
      <c r="M75" s="43">
        <f t="shared" si="53"/>
        <v>0.17640000000000003</v>
      </c>
      <c r="N75" s="44">
        <f t="shared" si="53"/>
        <v>0.17640000000000003</v>
      </c>
      <c r="O75" s="45">
        <f>IF(O74=0,0,+O76/O74)</f>
        <v>0.17640000000000003</v>
      </c>
      <c r="P75" s="46"/>
      <c r="Q75" s="47"/>
      <c r="R75" s="47"/>
      <c r="S75" s="41"/>
    </row>
    <row r="76" spans="1:19">
      <c r="A76" s="42"/>
      <c r="B76" s="35" t="s">
        <v>15</v>
      </c>
      <c r="C76" s="48">
        <f t="shared" ref="C76:N76" si="54">C74*C75</f>
        <v>46.429369279146997</v>
      </c>
      <c r="D76" s="49">
        <f t="shared" si="54"/>
        <v>0</v>
      </c>
      <c r="E76" s="48">
        <f t="shared" si="54"/>
        <v>52.454148382051173</v>
      </c>
      <c r="F76" s="49">
        <f t="shared" si="54"/>
        <v>233.18304210674117</v>
      </c>
      <c r="G76" s="48">
        <f t="shared" si="54"/>
        <v>945.18068217997097</v>
      </c>
      <c r="H76" s="49">
        <f t="shared" si="54"/>
        <v>1279.2742057782932</v>
      </c>
      <c r="I76" s="48">
        <f t="shared" si="54"/>
        <v>1538.1573717657302</v>
      </c>
      <c r="J76" s="49">
        <f t="shared" si="54"/>
        <v>1489.2870638570434</v>
      </c>
      <c r="K76" s="48">
        <f t="shared" si="54"/>
        <v>1609.6568071666588</v>
      </c>
      <c r="L76" s="49">
        <f t="shared" si="54"/>
        <v>9.4522636282176986</v>
      </c>
      <c r="M76" s="48">
        <f t="shared" si="54"/>
        <v>144.28633992172149</v>
      </c>
      <c r="N76" s="49">
        <f t="shared" si="54"/>
        <v>0</v>
      </c>
      <c r="O76" s="50">
        <f>SUM(C76:N76)</f>
        <v>7347.3612940655757</v>
      </c>
      <c r="P76" s="40"/>
      <c r="Q76" s="40"/>
      <c r="R76" s="40"/>
      <c r="S76" s="41"/>
    </row>
    <row r="77" spans="1:19" ht="16.5" thickBot="1">
      <c r="A77" s="51"/>
      <c r="B77" s="52" t="s">
        <v>59</v>
      </c>
      <c r="C77" s="53">
        <f t="shared" ref="C77:O77" si="55">C76/C$7</f>
        <v>0.12478638308426863</v>
      </c>
      <c r="D77" s="54">
        <f t="shared" si="55"/>
        <v>0</v>
      </c>
      <c r="E77" s="53">
        <f t="shared" si="55"/>
        <v>0.14097894406033945</v>
      </c>
      <c r="F77" s="54">
        <f t="shared" si="55"/>
        <v>0.64760741965598345</v>
      </c>
      <c r="G77" s="53">
        <f t="shared" si="55"/>
        <v>2.5403248099545825</v>
      </c>
      <c r="H77" s="54">
        <f t="shared" si="55"/>
        <v>3.5528632783566709</v>
      </c>
      <c r="I77" s="53">
        <f t="shared" si="55"/>
        <v>4.134044851719695</v>
      </c>
      <c r="J77" s="54">
        <f t="shared" si="55"/>
        <v>4.0026980542330763</v>
      </c>
      <c r="K77" s="53">
        <f t="shared" si="55"/>
        <v>4.4704180973147754</v>
      </c>
      <c r="L77" s="54">
        <f t="shared" si="55"/>
        <v>2.5404475840123727E-2</v>
      </c>
      <c r="M77" s="53">
        <f t="shared" si="55"/>
        <v>0.40071912367254797</v>
      </c>
      <c r="N77" s="54">
        <f t="shared" si="55"/>
        <v>0</v>
      </c>
      <c r="O77" s="55">
        <f t="shared" si="55"/>
        <v>1.6771605497415178</v>
      </c>
      <c r="P77" s="56"/>
      <c r="Q77" s="57"/>
      <c r="R77" s="57"/>
      <c r="S77" s="41"/>
    </row>
    <row r="78" spans="1:19">
      <c r="A78" s="181" t="s">
        <v>75</v>
      </c>
      <c r="B78" s="29" t="s">
        <v>55</v>
      </c>
      <c r="C78" s="30">
        <v>0</v>
      </c>
      <c r="D78" s="31">
        <v>0</v>
      </c>
      <c r="E78" s="30">
        <v>0</v>
      </c>
      <c r="F78" s="31">
        <v>0</v>
      </c>
      <c r="G78" s="30">
        <v>0</v>
      </c>
      <c r="H78" s="31">
        <v>0</v>
      </c>
      <c r="I78" s="30">
        <v>0</v>
      </c>
      <c r="J78" s="31">
        <v>0</v>
      </c>
      <c r="K78" s="30">
        <v>0</v>
      </c>
      <c r="L78" s="31">
        <v>0</v>
      </c>
      <c r="M78" s="30">
        <v>0</v>
      </c>
      <c r="N78" s="31">
        <v>0</v>
      </c>
      <c r="O78" s="32">
        <f>O79/O$7</f>
        <v>0</v>
      </c>
      <c r="S78" s="15"/>
    </row>
    <row r="79" spans="1:19">
      <c r="A79" s="34" t="s">
        <v>71</v>
      </c>
      <c r="B79" s="35" t="s">
        <v>57</v>
      </c>
      <c r="C79" s="65">
        <f t="shared" ref="C79:N79" si="56">C$7*C78</f>
        <v>0</v>
      </c>
      <c r="D79" s="66">
        <f t="shared" si="56"/>
        <v>0</v>
      </c>
      <c r="E79" s="65">
        <f t="shared" si="56"/>
        <v>0</v>
      </c>
      <c r="F79" s="66">
        <f t="shared" si="56"/>
        <v>0</v>
      </c>
      <c r="G79" s="65">
        <f t="shared" si="56"/>
        <v>0</v>
      </c>
      <c r="H79" s="66">
        <f t="shared" si="56"/>
        <v>0</v>
      </c>
      <c r="I79" s="65">
        <f t="shared" si="56"/>
        <v>0</v>
      </c>
      <c r="J79" s="66">
        <f t="shared" si="56"/>
        <v>0</v>
      </c>
      <c r="K79" s="65">
        <f t="shared" si="56"/>
        <v>0</v>
      </c>
      <c r="L79" s="66">
        <f t="shared" si="56"/>
        <v>0</v>
      </c>
      <c r="M79" s="65">
        <f t="shared" si="56"/>
        <v>0</v>
      </c>
      <c r="N79" s="66">
        <f t="shared" si="56"/>
        <v>0</v>
      </c>
      <c r="O79" s="67">
        <f>SUM(C79:N79)</f>
        <v>0</v>
      </c>
      <c r="P79" s="9"/>
      <c r="Q79" s="9"/>
      <c r="R79" s="9"/>
      <c r="S79" s="70"/>
    </row>
    <row r="80" spans="1:19">
      <c r="A80" s="182" t="s">
        <v>64</v>
      </c>
      <c r="B80" s="35" t="s">
        <v>58</v>
      </c>
      <c r="C80" s="43">
        <f>'Price Changes'!F17</f>
        <v>0</v>
      </c>
      <c r="D80" s="44">
        <f t="shared" ref="D80:N80" si="57">C80</f>
        <v>0</v>
      </c>
      <c r="E80" s="43">
        <f t="shared" si="57"/>
        <v>0</v>
      </c>
      <c r="F80" s="44">
        <f t="shared" si="57"/>
        <v>0</v>
      </c>
      <c r="G80" s="43">
        <f t="shared" si="57"/>
        <v>0</v>
      </c>
      <c r="H80" s="44">
        <f t="shared" si="57"/>
        <v>0</v>
      </c>
      <c r="I80" s="43">
        <f t="shared" si="57"/>
        <v>0</v>
      </c>
      <c r="J80" s="44">
        <f t="shared" si="57"/>
        <v>0</v>
      </c>
      <c r="K80" s="43">
        <f t="shared" si="57"/>
        <v>0</v>
      </c>
      <c r="L80" s="44">
        <f t="shared" si="57"/>
        <v>0</v>
      </c>
      <c r="M80" s="43">
        <f t="shared" si="57"/>
        <v>0</v>
      </c>
      <c r="N80" s="44">
        <f t="shared" si="57"/>
        <v>0</v>
      </c>
      <c r="O80" s="45">
        <f>IF(O79=0,0,+O81/O79)</f>
        <v>0</v>
      </c>
      <c r="P80" s="15"/>
      <c r="Q80" s="15"/>
      <c r="R80" s="15"/>
      <c r="S80" s="71"/>
    </row>
    <row r="81" spans="1:20" ht="15.75">
      <c r="A81" s="42"/>
      <c r="B81" s="35" t="s">
        <v>15</v>
      </c>
      <c r="C81" s="48">
        <f t="shared" ref="C81:N81" si="58">C79*C80</f>
        <v>0</v>
      </c>
      <c r="D81" s="49">
        <f t="shared" si="58"/>
        <v>0</v>
      </c>
      <c r="E81" s="48">
        <f t="shared" si="58"/>
        <v>0</v>
      </c>
      <c r="F81" s="49">
        <f t="shared" si="58"/>
        <v>0</v>
      </c>
      <c r="G81" s="48">
        <f t="shared" si="58"/>
        <v>0</v>
      </c>
      <c r="H81" s="49">
        <f t="shared" si="58"/>
        <v>0</v>
      </c>
      <c r="I81" s="48">
        <f t="shared" si="58"/>
        <v>0</v>
      </c>
      <c r="J81" s="49">
        <f t="shared" si="58"/>
        <v>0</v>
      </c>
      <c r="K81" s="48">
        <f t="shared" si="58"/>
        <v>0</v>
      </c>
      <c r="L81" s="49">
        <f t="shared" si="58"/>
        <v>0</v>
      </c>
      <c r="M81" s="48">
        <f t="shared" si="58"/>
        <v>0</v>
      </c>
      <c r="N81" s="49">
        <f t="shared" si="58"/>
        <v>0</v>
      </c>
      <c r="O81" s="50">
        <f>SUM(C81:N81)</f>
        <v>0</v>
      </c>
      <c r="P81" s="15"/>
      <c r="Q81" s="72"/>
      <c r="R81" s="15"/>
      <c r="S81" s="15"/>
    </row>
    <row r="82" spans="1:20" ht="13.5" thickBot="1">
      <c r="A82" s="51"/>
      <c r="B82" s="52" t="s">
        <v>59</v>
      </c>
      <c r="C82" s="53">
        <f t="shared" ref="C82:O82" si="59">C81/C$7</f>
        <v>0</v>
      </c>
      <c r="D82" s="54">
        <f t="shared" si="59"/>
        <v>0</v>
      </c>
      <c r="E82" s="53">
        <f t="shared" si="59"/>
        <v>0</v>
      </c>
      <c r="F82" s="54">
        <f t="shared" si="59"/>
        <v>0</v>
      </c>
      <c r="G82" s="53">
        <f t="shared" si="59"/>
        <v>0</v>
      </c>
      <c r="H82" s="54">
        <f t="shared" si="59"/>
        <v>0</v>
      </c>
      <c r="I82" s="53">
        <f t="shared" si="59"/>
        <v>0</v>
      </c>
      <c r="J82" s="54">
        <f t="shared" si="59"/>
        <v>0</v>
      </c>
      <c r="K82" s="53">
        <f t="shared" si="59"/>
        <v>0</v>
      </c>
      <c r="L82" s="54">
        <f t="shared" si="59"/>
        <v>0</v>
      </c>
      <c r="M82" s="53">
        <f t="shared" si="59"/>
        <v>0</v>
      </c>
      <c r="N82" s="54">
        <f t="shared" si="59"/>
        <v>0</v>
      </c>
      <c r="O82" s="55">
        <f t="shared" si="59"/>
        <v>0</v>
      </c>
      <c r="P82" s="15"/>
      <c r="Q82" s="15"/>
      <c r="R82" s="15"/>
      <c r="S82" s="15"/>
    </row>
    <row r="83" spans="1:20">
      <c r="A83" s="181" t="s">
        <v>76</v>
      </c>
      <c r="B83" s="29" t="s">
        <v>55</v>
      </c>
      <c r="C83" s="30">
        <v>0</v>
      </c>
      <c r="D83" s="31">
        <v>0</v>
      </c>
      <c r="E83" s="30">
        <v>0</v>
      </c>
      <c r="F83" s="31">
        <v>0</v>
      </c>
      <c r="G83" s="30">
        <v>0</v>
      </c>
      <c r="H83" s="31">
        <v>0</v>
      </c>
      <c r="I83" s="30">
        <v>0</v>
      </c>
      <c r="J83" s="31">
        <v>0</v>
      </c>
      <c r="K83" s="30">
        <v>0</v>
      </c>
      <c r="L83" s="31">
        <v>0</v>
      </c>
      <c r="M83" s="30">
        <v>0</v>
      </c>
      <c r="N83" s="31">
        <v>0</v>
      </c>
      <c r="O83" s="32">
        <f>O84/O$7</f>
        <v>0</v>
      </c>
    </row>
    <row r="84" spans="1:20">
      <c r="A84" s="34" t="s">
        <v>64</v>
      </c>
      <c r="B84" s="35" t="s">
        <v>57</v>
      </c>
      <c r="C84" s="65">
        <f t="shared" ref="C84:N84" si="60">C$7*C83</f>
        <v>0</v>
      </c>
      <c r="D84" s="66">
        <f t="shared" si="60"/>
        <v>0</v>
      </c>
      <c r="E84" s="65">
        <f t="shared" si="60"/>
        <v>0</v>
      </c>
      <c r="F84" s="66">
        <f t="shared" si="60"/>
        <v>0</v>
      </c>
      <c r="G84" s="65">
        <f t="shared" si="60"/>
        <v>0</v>
      </c>
      <c r="H84" s="66">
        <f t="shared" si="60"/>
        <v>0</v>
      </c>
      <c r="I84" s="65">
        <f t="shared" si="60"/>
        <v>0</v>
      </c>
      <c r="J84" s="66">
        <f t="shared" si="60"/>
        <v>0</v>
      </c>
      <c r="K84" s="65">
        <f t="shared" si="60"/>
        <v>0</v>
      </c>
      <c r="L84" s="66">
        <f t="shared" si="60"/>
        <v>0</v>
      </c>
      <c r="M84" s="65">
        <f t="shared" si="60"/>
        <v>0</v>
      </c>
      <c r="N84" s="66">
        <f t="shared" si="60"/>
        <v>0</v>
      </c>
      <c r="O84" s="67">
        <f>SUM(C84:N84)</f>
        <v>0</v>
      </c>
    </row>
    <row r="85" spans="1:20">
      <c r="A85" s="34"/>
      <c r="B85" s="35" t="s">
        <v>58</v>
      </c>
      <c r="C85" s="43">
        <f>'Price Changes'!F18</f>
        <v>0</v>
      </c>
      <c r="D85" s="44">
        <f t="shared" ref="D85:N85" si="61">C85</f>
        <v>0</v>
      </c>
      <c r="E85" s="43">
        <f t="shared" si="61"/>
        <v>0</v>
      </c>
      <c r="F85" s="44">
        <f t="shared" si="61"/>
        <v>0</v>
      </c>
      <c r="G85" s="43">
        <f t="shared" si="61"/>
        <v>0</v>
      </c>
      <c r="H85" s="44">
        <f t="shared" si="61"/>
        <v>0</v>
      </c>
      <c r="I85" s="43">
        <f t="shared" si="61"/>
        <v>0</v>
      </c>
      <c r="J85" s="44">
        <f t="shared" si="61"/>
        <v>0</v>
      </c>
      <c r="K85" s="43">
        <f t="shared" si="61"/>
        <v>0</v>
      </c>
      <c r="L85" s="44">
        <f t="shared" si="61"/>
        <v>0</v>
      </c>
      <c r="M85" s="43">
        <f t="shared" si="61"/>
        <v>0</v>
      </c>
      <c r="N85" s="44">
        <f t="shared" si="61"/>
        <v>0</v>
      </c>
      <c r="O85" s="45">
        <f>IF(O84=0,0,+O86/O84)</f>
        <v>0</v>
      </c>
    </row>
    <row r="86" spans="1:20">
      <c r="A86" s="42"/>
      <c r="B86" s="35" t="s">
        <v>15</v>
      </c>
      <c r="C86" s="48">
        <f t="shared" ref="C86:N86" si="62">C84*C85</f>
        <v>0</v>
      </c>
      <c r="D86" s="49">
        <f t="shared" si="62"/>
        <v>0</v>
      </c>
      <c r="E86" s="48">
        <f t="shared" si="62"/>
        <v>0</v>
      </c>
      <c r="F86" s="49">
        <f t="shared" si="62"/>
        <v>0</v>
      </c>
      <c r="G86" s="48">
        <f t="shared" si="62"/>
        <v>0</v>
      </c>
      <c r="H86" s="49">
        <f t="shared" si="62"/>
        <v>0</v>
      </c>
      <c r="I86" s="48">
        <f t="shared" si="62"/>
        <v>0</v>
      </c>
      <c r="J86" s="49">
        <f t="shared" si="62"/>
        <v>0</v>
      </c>
      <c r="K86" s="48">
        <f t="shared" si="62"/>
        <v>0</v>
      </c>
      <c r="L86" s="49">
        <f t="shared" si="62"/>
        <v>0</v>
      </c>
      <c r="M86" s="48">
        <f t="shared" si="62"/>
        <v>0</v>
      </c>
      <c r="N86" s="49">
        <f t="shared" si="62"/>
        <v>0</v>
      </c>
      <c r="O86" s="50">
        <f>SUM(C86:N86)</f>
        <v>0</v>
      </c>
    </row>
    <row r="87" spans="1:20" ht="13.5" thickBot="1">
      <c r="A87" s="51"/>
      <c r="B87" s="52" t="s">
        <v>59</v>
      </c>
      <c r="C87" s="53">
        <f t="shared" ref="C87:O87" si="63">C86/C$7</f>
        <v>0</v>
      </c>
      <c r="D87" s="54">
        <f t="shared" si="63"/>
        <v>0</v>
      </c>
      <c r="E87" s="53">
        <f t="shared" si="63"/>
        <v>0</v>
      </c>
      <c r="F87" s="54">
        <f t="shared" si="63"/>
        <v>0</v>
      </c>
      <c r="G87" s="53">
        <f t="shared" si="63"/>
        <v>0</v>
      </c>
      <c r="H87" s="54">
        <f t="shared" si="63"/>
        <v>0</v>
      </c>
      <c r="I87" s="53">
        <f t="shared" si="63"/>
        <v>0</v>
      </c>
      <c r="J87" s="54">
        <f t="shared" si="63"/>
        <v>0</v>
      </c>
      <c r="K87" s="53">
        <f t="shared" si="63"/>
        <v>0</v>
      </c>
      <c r="L87" s="54">
        <f t="shared" si="63"/>
        <v>0</v>
      </c>
      <c r="M87" s="53">
        <f t="shared" si="63"/>
        <v>0</v>
      </c>
      <c r="N87" s="54">
        <f t="shared" si="63"/>
        <v>0</v>
      </c>
      <c r="O87" s="55">
        <f t="shared" si="63"/>
        <v>0</v>
      </c>
    </row>
    <row r="88" spans="1:20" ht="13.5" thickBot="1">
      <c r="A88" s="10" t="s">
        <v>1</v>
      </c>
      <c r="B88" s="73" t="s">
        <v>1</v>
      </c>
      <c r="C88" s="74" t="s">
        <v>1</v>
      </c>
      <c r="D88" s="75" t="s">
        <v>1</v>
      </c>
      <c r="E88" s="74" t="s">
        <v>1</v>
      </c>
      <c r="F88" s="75" t="s">
        <v>1</v>
      </c>
      <c r="G88" s="74" t="s">
        <v>1</v>
      </c>
      <c r="H88" s="75" t="s">
        <v>1</v>
      </c>
      <c r="I88" s="74" t="s">
        <v>1</v>
      </c>
      <c r="J88" s="75" t="s">
        <v>1</v>
      </c>
      <c r="K88" s="74" t="s">
        <v>1</v>
      </c>
      <c r="L88" s="75" t="s">
        <v>1</v>
      </c>
      <c r="M88" s="74" t="s">
        <v>1</v>
      </c>
      <c r="N88" s="75" t="s">
        <v>1</v>
      </c>
      <c r="O88" s="6" t="s">
        <v>1</v>
      </c>
      <c r="P88" s="9"/>
      <c r="Q88" s="9"/>
      <c r="R88" s="9"/>
      <c r="S88" s="70"/>
    </row>
    <row r="89" spans="1:20">
      <c r="A89" s="77" t="s">
        <v>77</v>
      </c>
      <c r="B89" s="29" t="s">
        <v>55</v>
      </c>
      <c r="C89" s="78">
        <f t="shared" ref="C89:N89" si="64">C90/C7</f>
        <v>712.89732780565737</v>
      </c>
      <c r="D89" s="79">
        <f t="shared" si="64"/>
        <v>665.59762760003048</v>
      </c>
      <c r="E89" s="78">
        <f t="shared" si="64"/>
        <v>649.90731356866968</v>
      </c>
      <c r="F89" s="79">
        <f t="shared" si="64"/>
        <v>644.51600273919792</v>
      </c>
      <c r="G89" s="78">
        <f t="shared" si="64"/>
        <v>679.65184718690568</v>
      </c>
      <c r="H89" s="79">
        <f t="shared" si="64"/>
        <v>655.04997311899558</v>
      </c>
      <c r="I89" s="78">
        <f t="shared" si="64"/>
        <v>666.94950324708577</v>
      </c>
      <c r="J89" s="79">
        <f t="shared" si="64"/>
        <v>652.54218635168741</v>
      </c>
      <c r="K89" s="78">
        <f t="shared" si="64"/>
        <v>620.11801518250479</v>
      </c>
      <c r="L89" s="79">
        <f t="shared" si="64"/>
        <v>626.2049228666225</v>
      </c>
      <c r="M89" s="78">
        <f t="shared" si="64"/>
        <v>633.28127933593396</v>
      </c>
      <c r="N89" s="79">
        <f t="shared" si="64"/>
        <v>712.9489986749162</v>
      </c>
      <c r="O89" s="32">
        <f>O90/O$7</f>
        <v>660.16399116396633</v>
      </c>
      <c r="P89" s="68"/>
      <c r="Q89" s="68"/>
      <c r="R89" s="39"/>
      <c r="S89" s="41"/>
    </row>
    <row r="90" spans="1:20" ht="15.75">
      <c r="A90" s="34"/>
      <c r="B90" s="35" t="s">
        <v>57</v>
      </c>
      <c r="C90" s="36">
        <f t="shared" ref="C90:N90" si="65">C9+C14+C19+C24+C34+C39+C44+C49+C54+C59+C64+C74+C84+C69+C29+C79</f>
        <v>265248.27847966284</v>
      </c>
      <c r="D90" s="37">
        <f t="shared" si="65"/>
        <v>223683.36626671455</v>
      </c>
      <c r="E90" s="36">
        <f t="shared" si="65"/>
        <v>241811.53354305506</v>
      </c>
      <c r="F90" s="37">
        <f t="shared" si="65"/>
        <v>232069.92020727432</v>
      </c>
      <c r="G90" s="36">
        <f t="shared" si="65"/>
        <v>252878.60593719984</v>
      </c>
      <c r="H90" s="37">
        <f t="shared" si="65"/>
        <v>235862.87128236907</v>
      </c>
      <c r="I90" s="36">
        <f t="shared" si="65"/>
        <v>248152.4346762349</v>
      </c>
      <c r="J90" s="37">
        <f t="shared" si="65"/>
        <v>242791.89276513216</v>
      </c>
      <c r="K90" s="36">
        <f t="shared" si="65"/>
        <v>223284.97305090251</v>
      </c>
      <c r="L90" s="37">
        <f t="shared" si="65"/>
        <v>232992.5660924094</v>
      </c>
      <c r="M90" s="36">
        <f t="shared" si="65"/>
        <v>228024.65003141295</v>
      </c>
      <c r="N90" s="37">
        <f t="shared" si="65"/>
        <v>265267.50370128156</v>
      </c>
      <c r="O90" s="67">
        <f>SUM(C90:N90)</f>
        <v>2892068.5960336491</v>
      </c>
      <c r="P90" s="80"/>
      <c r="Q90" s="68"/>
      <c r="R90" s="47"/>
      <c r="S90" s="41"/>
    </row>
    <row r="91" spans="1:20">
      <c r="A91" s="42"/>
      <c r="B91" s="35" t="s">
        <v>58</v>
      </c>
      <c r="C91" s="81">
        <f t="shared" ref="C91:N91" si="66">C92/C90</f>
        <v>0.19409713295978134</v>
      </c>
      <c r="D91" s="82">
        <f t="shared" si="66"/>
        <v>0.21605879455016941</v>
      </c>
      <c r="E91" s="81">
        <f t="shared" si="66"/>
        <v>0.22673744245675148</v>
      </c>
      <c r="F91" s="82">
        <f t="shared" si="66"/>
        <v>0.20897801456376894</v>
      </c>
      <c r="G91" s="81">
        <f t="shared" si="66"/>
        <v>0.20790854207025253</v>
      </c>
      <c r="H91" s="82">
        <f t="shared" si="66"/>
        <v>0.2168916067483172</v>
      </c>
      <c r="I91" s="81">
        <f t="shared" si="66"/>
        <v>0.2168961753506726</v>
      </c>
      <c r="J91" s="82">
        <f t="shared" si="66"/>
        <v>0.20479701774939857</v>
      </c>
      <c r="K91" s="81">
        <f t="shared" si="66"/>
        <v>0.20566375280964991</v>
      </c>
      <c r="L91" s="82">
        <f t="shared" si="66"/>
        <v>0.21854278659234144</v>
      </c>
      <c r="M91" s="81">
        <f t="shared" si="66"/>
        <v>0.22547945635989972</v>
      </c>
      <c r="N91" s="82">
        <f t="shared" si="66"/>
        <v>0.21986094963260869</v>
      </c>
      <c r="O91" s="45">
        <f>IF(O90=0,0,+O92/O90)</f>
        <v>0.21333999755302741</v>
      </c>
      <c r="P91" s="40"/>
      <c r="Q91" s="40"/>
      <c r="R91" s="40"/>
      <c r="S91" s="41"/>
    </row>
    <row r="92" spans="1:20" ht="15.75">
      <c r="A92" s="83" t="s">
        <v>467</v>
      </c>
      <c r="B92" s="35" t="s">
        <v>15</v>
      </c>
      <c r="C92" s="48">
        <f t="shared" ref="C92:N92" si="67">C11+C16+C21+C26+C36+C41+C46+C51+C56+C61+C66+C76+C86+C71+C31+C81</f>
        <v>51483.930375420226</v>
      </c>
      <c r="D92" s="49">
        <f t="shared" si="67"/>
        <v>48328.758476510375</v>
      </c>
      <c r="E92" s="48">
        <f t="shared" si="67"/>
        <v>54827.728672097277</v>
      </c>
      <c r="F92" s="49">
        <f t="shared" si="67"/>
        <v>48497.51116488847</v>
      </c>
      <c r="G92" s="48">
        <f t="shared" si="67"/>
        <v>52575.622281161122</v>
      </c>
      <c r="H92" s="49">
        <f t="shared" si="67"/>
        <v>51156.677124704554</v>
      </c>
      <c r="I92" s="48">
        <f t="shared" si="67"/>
        <v>53823.31398523297</v>
      </c>
      <c r="J92" s="49">
        <f t="shared" si="67"/>
        <v>49723.055572030848</v>
      </c>
      <c r="K92" s="48">
        <f t="shared" si="67"/>
        <v>45921.625503650153</v>
      </c>
      <c r="L92" s="49">
        <f t="shared" si="67"/>
        <v>50918.844649135433</v>
      </c>
      <c r="M92" s="48">
        <f t="shared" si="67"/>
        <v>51414.874125739385</v>
      </c>
      <c r="N92" s="49">
        <f t="shared" si="67"/>
        <v>58321.965270435307</v>
      </c>
      <c r="O92" s="50">
        <f>SUM(C92:N92)</f>
        <v>616993.90720100608</v>
      </c>
      <c r="P92" s="56"/>
      <c r="Q92" s="57"/>
      <c r="R92" s="57"/>
      <c r="S92" s="41"/>
    </row>
    <row r="93" spans="1:20" ht="13.5" thickBot="1">
      <c r="A93" s="51"/>
      <c r="B93" s="52" t="s">
        <v>59</v>
      </c>
      <c r="C93" s="53">
        <f t="shared" ref="C93:N93" si="68">C92/C7</f>
        <v>138.37132742176752</v>
      </c>
      <c r="D93" s="54">
        <f t="shared" si="68"/>
        <v>143.80822107471516</v>
      </c>
      <c r="E93" s="53">
        <f t="shared" si="68"/>
        <v>147.35832211249817</v>
      </c>
      <c r="F93" s="54">
        <f t="shared" si="68"/>
        <v>134.68967460701427</v>
      </c>
      <c r="G93" s="53">
        <f t="shared" si="68"/>
        <v>141.30542466398362</v>
      </c>
      <c r="H93" s="54">
        <f t="shared" si="68"/>
        <v>142.07484117022094</v>
      </c>
      <c r="I93" s="53">
        <f t="shared" si="68"/>
        <v>144.65879640632389</v>
      </c>
      <c r="J93" s="54">
        <f t="shared" si="68"/>
        <v>133.63869372049788</v>
      </c>
      <c r="K93" s="53">
        <f t="shared" si="68"/>
        <v>127.5357981873054</v>
      </c>
      <c r="L93" s="54">
        <f t="shared" si="68"/>
        <v>136.85256882111392</v>
      </c>
      <c r="M93" s="53">
        <f t="shared" si="68"/>
        <v>142.7919185875682</v>
      </c>
      <c r="N93" s="54">
        <f t="shared" si="68"/>
        <v>156.74964388828457</v>
      </c>
      <c r="O93" s="55">
        <f>O92/O$7</f>
        <v>140.83938425951737</v>
      </c>
      <c r="P93" s="9"/>
      <c r="Q93" s="9"/>
      <c r="R93" s="9"/>
      <c r="S93" s="70"/>
    </row>
    <row r="94" spans="1:20" ht="13.5" thickBot="1">
      <c r="A94" s="10" t="s">
        <v>1</v>
      </c>
      <c r="B94" s="73" t="s">
        <v>1</v>
      </c>
      <c r="C94" s="74" t="s">
        <v>1</v>
      </c>
      <c r="D94" s="75" t="s">
        <v>1</v>
      </c>
      <c r="E94" s="74" t="s">
        <v>1</v>
      </c>
      <c r="F94" s="75" t="s">
        <v>1</v>
      </c>
      <c r="G94" s="74" t="s">
        <v>1</v>
      </c>
      <c r="H94" s="75" t="s">
        <v>1</v>
      </c>
      <c r="I94" s="74" t="s">
        <v>1</v>
      </c>
      <c r="J94" s="75" t="s">
        <v>1</v>
      </c>
      <c r="K94" s="74" t="s">
        <v>1</v>
      </c>
      <c r="L94" s="75" t="s">
        <v>1</v>
      </c>
      <c r="M94" s="74" t="s">
        <v>1</v>
      </c>
      <c r="N94" s="75" t="s">
        <v>1</v>
      </c>
      <c r="O94" s="6" t="s">
        <v>1</v>
      </c>
      <c r="P94" s="39"/>
      <c r="Q94" s="39"/>
      <c r="R94" s="39"/>
      <c r="S94" s="41"/>
      <c r="T94" s="8"/>
    </row>
    <row r="95" spans="1:20">
      <c r="A95" s="28" t="s">
        <v>78</v>
      </c>
      <c r="B95" s="29" t="s">
        <v>15</v>
      </c>
      <c r="C95" s="84"/>
      <c r="D95" s="85"/>
      <c r="E95" s="84"/>
      <c r="F95" s="85"/>
      <c r="G95" s="84"/>
      <c r="H95" s="85"/>
      <c r="I95" s="84"/>
      <c r="J95" s="85"/>
      <c r="K95" s="84"/>
      <c r="L95" s="85"/>
      <c r="M95" s="84"/>
      <c r="N95" s="85"/>
      <c r="O95" s="86">
        <f>SUM(C95:N95)</f>
        <v>0</v>
      </c>
    </row>
    <row r="96" spans="1:20">
      <c r="A96" s="34" t="s">
        <v>79</v>
      </c>
      <c r="B96" s="87"/>
      <c r="C96" s="88"/>
      <c r="D96" s="13"/>
      <c r="E96" s="88"/>
      <c r="F96" s="13"/>
      <c r="G96" s="88"/>
      <c r="H96" s="13"/>
      <c r="I96" s="88"/>
      <c r="J96" s="13"/>
      <c r="K96" s="88"/>
      <c r="L96" s="13"/>
      <c r="M96" s="88"/>
      <c r="N96" s="13"/>
      <c r="O96" s="89"/>
    </row>
    <row r="97" spans="1:20" ht="16.5" thickBot="1">
      <c r="A97" s="83" t="s">
        <v>469</v>
      </c>
      <c r="B97" s="87"/>
      <c r="C97" s="88"/>
      <c r="D97" s="444"/>
      <c r="E97" s="88"/>
      <c r="F97" s="13"/>
      <c r="G97" s="88"/>
      <c r="H97" s="13"/>
      <c r="I97" s="88"/>
      <c r="J97" s="13"/>
      <c r="K97" s="88"/>
      <c r="L97" s="13"/>
      <c r="M97" s="88"/>
      <c r="N97" s="13"/>
      <c r="O97" s="89"/>
    </row>
    <row r="98" spans="1:20" ht="48.75" customHeight="1" thickBot="1">
      <c r="A98" s="580" t="s">
        <v>80</v>
      </c>
      <c r="B98" s="659"/>
      <c r="C98" s="659"/>
      <c r="D98" s="659"/>
      <c r="E98" s="659"/>
      <c r="F98" s="659"/>
      <c r="G98" s="659"/>
      <c r="H98" s="659"/>
      <c r="I98" s="659"/>
      <c r="J98" s="659"/>
      <c r="K98" s="659"/>
      <c r="L98" s="659"/>
      <c r="M98" s="659"/>
      <c r="N98" s="659"/>
      <c r="O98" s="657"/>
    </row>
    <row r="99" spans="1:20">
      <c r="A99" s="10" t="s">
        <v>1</v>
      </c>
      <c r="B99" s="11" t="s">
        <v>0</v>
      </c>
      <c r="C99" s="96"/>
      <c r="D99" s="97"/>
      <c r="E99" s="96"/>
      <c r="F99" s="97"/>
      <c r="G99" s="96"/>
      <c r="H99" s="97"/>
      <c r="I99" s="96"/>
      <c r="O99" s="2"/>
      <c r="S99" s="15"/>
    </row>
    <row r="100" spans="1:20" ht="15.75">
      <c r="A100" s="98" t="str">
        <f>A4</f>
        <v>2014 BUDGET</v>
      </c>
      <c r="B100" s="3"/>
      <c r="O100" s="2"/>
    </row>
    <row r="101" spans="1:20">
      <c r="A101" s="99" t="str">
        <f>A5</f>
        <v>Bid Dollars</v>
      </c>
      <c r="B101" s="3"/>
      <c r="O101" s="2"/>
      <c r="P101" s="9"/>
      <c r="Q101" s="9"/>
      <c r="R101" s="9"/>
      <c r="S101" s="9"/>
    </row>
    <row r="102" spans="1:20">
      <c r="A102" s="4"/>
      <c r="B102" s="3"/>
      <c r="C102" s="22" t="str">
        <f t="shared" ref="C102:N102" si="69">C6</f>
        <v>JAN</v>
      </c>
      <c r="D102" s="23" t="str">
        <f t="shared" si="69"/>
        <v>FEB</v>
      </c>
      <c r="E102" s="22" t="str">
        <f t="shared" si="69"/>
        <v>MAR</v>
      </c>
      <c r="F102" s="23" t="str">
        <f t="shared" si="69"/>
        <v>APR</v>
      </c>
      <c r="G102" s="22" t="str">
        <f t="shared" si="69"/>
        <v>MAY</v>
      </c>
      <c r="H102" s="23" t="str">
        <f t="shared" si="69"/>
        <v>JUNE</v>
      </c>
      <c r="I102" s="22" t="str">
        <f t="shared" si="69"/>
        <v>JULY</v>
      </c>
      <c r="J102" s="23" t="str">
        <f t="shared" si="69"/>
        <v>AUG</v>
      </c>
      <c r="K102" s="22" t="str">
        <f t="shared" si="69"/>
        <v>SEPT</v>
      </c>
      <c r="L102" s="23" t="str">
        <f t="shared" si="69"/>
        <v>OCT</v>
      </c>
      <c r="M102" s="22" t="str">
        <f t="shared" si="69"/>
        <v>NOV</v>
      </c>
      <c r="N102" s="23" t="str">
        <f t="shared" si="69"/>
        <v>DEC</v>
      </c>
      <c r="O102" s="24" t="s">
        <v>13</v>
      </c>
      <c r="P102" s="15"/>
      <c r="Q102" s="15"/>
      <c r="R102" s="15"/>
      <c r="S102" s="15"/>
    </row>
    <row r="103" spans="1:20" ht="16.5" thickBot="1">
      <c r="A103" s="19" t="s">
        <v>53</v>
      </c>
      <c r="B103" s="3"/>
      <c r="C103" s="100">
        <f>'Pumpage 2014'!G45</f>
        <v>391.73052928546656</v>
      </c>
      <c r="D103" s="101">
        <f>'Pumpage 2014'!H45</f>
        <v>421.6645226497933</v>
      </c>
      <c r="E103" s="100">
        <f>'Pumpage 2014'!I45</f>
        <v>434.59006000881249</v>
      </c>
      <c r="F103" s="101">
        <f>'Pumpage 2014'!J45</f>
        <v>433.89866864229549</v>
      </c>
      <c r="G103" s="100">
        <f>'Pumpage 2014'!K45</f>
        <v>570.39243293040067</v>
      </c>
      <c r="H103" s="101">
        <f>'Pumpage 2014'!L45</f>
        <v>771.53010574080042</v>
      </c>
      <c r="I103" s="100">
        <f>'Pumpage 2014'!M45</f>
        <v>746.57484010025655</v>
      </c>
      <c r="J103" s="101">
        <f>'Pumpage 2014'!N45</f>
        <v>801.16567745367649</v>
      </c>
      <c r="K103" s="100">
        <f>'Pumpage 2014'!O45</f>
        <v>679.41797480320497</v>
      </c>
      <c r="L103" s="101">
        <f>'Pumpage 2014'!P45</f>
        <v>696.12261713103885</v>
      </c>
      <c r="M103" s="100">
        <f>'Pumpage 2014'!Q45</f>
        <v>555.57089120584487</v>
      </c>
      <c r="N103" s="101">
        <f>'Pumpage 2014'!R45</f>
        <v>455.78953698149564</v>
      </c>
      <c r="O103" s="102">
        <f>SUM(C103:N103)</f>
        <v>6958.4478569330877</v>
      </c>
      <c r="P103" s="15"/>
      <c r="Q103" s="72"/>
      <c r="R103" s="15"/>
      <c r="S103" s="15"/>
    </row>
    <row r="104" spans="1:20">
      <c r="A104" s="28" t="s">
        <v>54</v>
      </c>
      <c r="B104" s="29" t="s">
        <v>55</v>
      </c>
      <c r="C104" s="30">
        <f>AVERAGE('Lex WTPs 2007-2010'!G55,'2011 Actual Costs'!C104)</f>
        <v>9.3520405348105164</v>
      </c>
      <c r="D104" s="31">
        <f>AVERAGE('Lex WTPs 2007-2010'!L55,'2011 Actual Costs'!D104)</f>
        <v>9.6888737853312783</v>
      </c>
      <c r="E104" s="30">
        <f>AVERAGE('Lex WTPs 2007-2010'!Q55,'2011 Actual Costs'!E104)</f>
        <v>9.5445507866034127</v>
      </c>
      <c r="F104" s="31">
        <f>AVERAGE('Lex WTPs 2007-2010'!V55,'2011 Actual Costs'!F104)</f>
        <v>4.0537906694884862</v>
      </c>
      <c r="G104" s="30">
        <f>AVERAGE('Lex WTPs 2007-2010'!AA55,'2011 Actual Costs'!G104)</f>
        <v>6.445245039673285</v>
      </c>
      <c r="H104" s="31">
        <f>AVERAGE('Lex WTPs 2007-2010'!AF55,'2011 Actual Costs'!H104)</f>
        <v>9.2642721999668165</v>
      </c>
      <c r="I104" s="30">
        <f>AVERAGE('Lex WTPs 2007-2010'!AK55,'2011 Actual Costs'!I104)</f>
        <v>9.3284665054970262</v>
      </c>
      <c r="J104" s="31">
        <f>AVERAGE('Lex WTPs 2007-2010'!AP55,'2011 Actual Costs'!J104)</f>
        <v>9.1532452987650128</v>
      </c>
      <c r="K104" s="30">
        <f>AVERAGE('Lex WTPs 2007-2010'!AU55,'2011 Actual Costs'!K104)</f>
        <v>8.8850557230995229</v>
      </c>
      <c r="L104" s="31">
        <f>AVERAGE('Lex WTPs 2007-2010'!AZ55,'2011 Actual Costs'!L104)</f>
        <v>8.8456828500475595</v>
      </c>
      <c r="M104" s="30">
        <f>AVERAGE('Lex WTPs 2007-2010'!BE55,'2011 Actual Costs'!M104)</f>
        <v>10.975064785079056</v>
      </c>
      <c r="N104" s="31">
        <f>AVERAGE('Lex WTPs 2007-2010'!BJ55,'2011 Actual Costs'!N104)</f>
        <v>9.0722803050546901</v>
      </c>
      <c r="O104" s="32">
        <f>O105/O$103</f>
        <v>8.7956838010838858</v>
      </c>
    </row>
    <row r="105" spans="1:20">
      <c r="A105" s="34" t="s">
        <v>56</v>
      </c>
      <c r="B105" s="35" t="s">
        <v>57</v>
      </c>
      <c r="C105" s="36">
        <f t="shared" ref="C105:N105" si="70">C$103*C104</f>
        <v>3663.4797886004612</v>
      </c>
      <c r="D105" s="37">
        <f t="shared" si="70"/>
        <v>4085.4543397058092</v>
      </c>
      <c r="E105" s="36">
        <f t="shared" si="70"/>
        <v>4147.9668991071358</v>
      </c>
      <c r="F105" s="37">
        <f t="shared" si="70"/>
        <v>1758.9343744456139</v>
      </c>
      <c r="G105" s="36">
        <f t="shared" si="70"/>
        <v>3676.3189990118417</v>
      </c>
      <c r="H105" s="37">
        <f t="shared" si="70"/>
        <v>7147.6649100519553</v>
      </c>
      <c r="I105" s="36">
        <f t="shared" si="70"/>
        <v>6964.3983897220414</v>
      </c>
      <c r="J105" s="37">
        <f t="shared" si="70"/>
        <v>7333.2659706847508</v>
      </c>
      <c r="K105" s="36">
        <f t="shared" si="70"/>
        <v>6036.6665654019034</v>
      </c>
      <c r="L105" s="37">
        <f t="shared" si="70"/>
        <v>6157.6798958862537</v>
      </c>
      <c r="M105" s="36">
        <f t="shared" si="70"/>
        <v>6097.4265236882557</v>
      </c>
      <c r="N105" s="37">
        <f t="shared" si="70"/>
        <v>4135.0504396072192</v>
      </c>
      <c r="O105" s="38">
        <f>SUM(C105:N105)</f>
        <v>61204.307095913246</v>
      </c>
      <c r="P105" s="57"/>
      <c r="Q105" s="57"/>
      <c r="R105" s="57"/>
      <c r="S105" s="41"/>
    </row>
    <row r="106" spans="1:20" ht="15.75">
      <c r="A106" s="42"/>
      <c r="B106" s="35" t="s">
        <v>58</v>
      </c>
      <c r="C106" s="43">
        <f>C10</f>
        <v>0.56176199999999998</v>
      </c>
      <c r="D106" s="44">
        <f t="shared" ref="D106:N106" si="71">C106</f>
        <v>0.56176199999999998</v>
      </c>
      <c r="E106" s="43">
        <f t="shared" si="71"/>
        <v>0.56176199999999998</v>
      </c>
      <c r="F106" s="44">
        <f t="shared" si="71"/>
        <v>0.56176199999999998</v>
      </c>
      <c r="G106" s="43">
        <f t="shared" si="71"/>
        <v>0.56176199999999998</v>
      </c>
      <c r="H106" s="44">
        <f t="shared" si="71"/>
        <v>0.56176199999999998</v>
      </c>
      <c r="I106" s="43">
        <f t="shared" si="71"/>
        <v>0.56176199999999998</v>
      </c>
      <c r="J106" s="44">
        <f t="shared" si="71"/>
        <v>0.56176199999999998</v>
      </c>
      <c r="K106" s="43">
        <f t="shared" si="71"/>
        <v>0.56176199999999998</v>
      </c>
      <c r="L106" s="44">
        <f t="shared" si="71"/>
        <v>0.56176199999999998</v>
      </c>
      <c r="M106" s="43">
        <f t="shared" si="71"/>
        <v>0.56176199999999998</v>
      </c>
      <c r="N106" s="44">
        <f t="shared" si="71"/>
        <v>0.56176199999999998</v>
      </c>
      <c r="O106" s="45">
        <f>IF(O105=0,0,+O107/O105)</f>
        <v>0.56176199999999998</v>
      </c>
      <c r="P106" s="80"/>
      <c r="Q106" s="68"/>
      <c r="R106" s="47"/>
      <c r="S106" s="41"/>
    </row>
    <row r="107" spans="1:20">
      <c r="A107" s="42"/>
      <c r="B107" s="35" t="s">
        <v>15</v>
      </c>
      <c r="C107" s="48">
        <f t="shared" ref="C107:N107" si="72">C105*C106</f>
        <v>2058.0037330037721</v>
      </c>
      <c r="D107" s="49">
        <f t="shared" si="72"/>
        <v>2295.0530007818147</v>
      </c>
      <c r="E107" s="48">
        <f t="shared" si="72"/>
        <v>2330.1701811762227</v>
      </c>
      <c r="F107" s="49">
        <f t="shared" si="72"/>
        <v>988.10249205731691</v>
      </c>
      <c r="G107" s="48">
        <f t="shared" si="72"/>
        <v>2065.2163135228902</v>
      </c>
      <c r="H107" s="49">
        <f t="shared" si="72"/>
        <v>4015.2865352006065</v>
      </c>
      <c r="I107" s="48">
        <f t="shared" si="72"/>
        <v>3912.3343682070335</v>
      </c>
      <c r="J107" s="49">
        <f t="shared" si="72"/>
        <v>4119.5501582238066</v>
      </c>
      <c r="K107" s="48">
        <f t="shared" si="72"/>
        <v>3391.169883113304</v>
      </c>
      <c r="L107" s="49">
        <f t="shared" si="72"/>
        <v>3459.1505736728536</v>
      </c>
      <c r="M107" s="48">
        <f t="shared" si="72"/>
        <v>3425.3025188001616</v>
      </c>
      <c r="N107" s="49">
        <f t="shared" si="72"/>
        <v>2322.9142050546307</v>
      </c>
      <c r="O107" s="50">
        <f>SUM(C107:N107)</f>
        <v>34382.253962814415</v>
      </c>
      <c r="P107" s="40"/>
      <c r="Q107" s="40"/>
      <c r="R107" s="40"/>
      <c r="S107" s="41"/>
    </row>
    <row r="108" spans="1:20" ht="16.5" thickBot="1">
      <c r="A108" s="51"/>
      <c r="B108" s="52" t="s">
        <v>59</v>
      </c>
      <c r="C108" s="53">
        <f t="shared" ref="C108:O108" si="73">C107/C$103</f>
        <v>5.2536209949162247</v>
      </c>
      <c r="D108" s="54">
        <f t="shared" si="73"/>
        <v>5.4428411153952689</v>
      </c>
      <c r="E108" s="53">
        <f t="shared" si="73"/>
        <v>5.3617659389839067</v>
      </c>
      <c r="F108" s="54">
        <f t="shared" si="73"/>
        <v>2.2772655540731908</v>
      </c>
      <c r="G108" s="53">
        <f t="shared" si="73"/>
        <v>3.6206937439769438</v>
      </c>
      <c r="H108" s="54">
        <f t="shared" si="73"/>
        <v>5.2043160795977581</v>
      </c>
      <c r="I108" s="53">
        <f t="shared" si="73"/>
        <v>5.2403780010610204</v>
      </c>
      <c r="J108" s="54">
        <f t="shared" si="73"/>
        <v>5.1419453855248305</v>
      </c>
      <c r="K108" s="53">
        <f t="shared" si="73"/>
        <v>4.9912866731198333</v>
      </c>
      <c r="L108" s="54">
        <f t="shared" si="73"/>
        <v>4.9691684892084167</v>
      </c>
      <c r="M108" s="53">
        <f t="shared" si="73"/>
        <v>6.1653743437955804</v>
      </c>
      <c r="N108" s="54">
        <f t="shared" si="73"/>
        <v>5.0964623287281325</v>
      </c>
      <c r="O108" s="55">
        <f t="shared" si="73"/>
        <v>4.9410809234644857</v>
      </c>
      <c r="P108" s="80"/>
      <c r="Q108" s="57"/>
      <c r="R108" s="57"/>
      <c r="S108" s="41"/>
    </row>
    <row r="109" spans="1:20">
      <c r="A109" s="28" t="s">
        <v>60</v>
      </c>
      <c r="B109" s="29" t="s">
        <v>55</v>
      </c>
      <c r="C109" s="30">
        <f>AVERAGE('Lex WTPs 2007-2010'!G50,'2011 Actual Costs'!C109)</f>
        <v>9.6685383345459286E-2</v>
      </c>
      <c r="D109" s="31">
        <f>AVERAGE('Lex WTPs 2007-2010'!L50,'2011 Actual Costs'!D109)</f>
        <v>0</v>
      </c>
      <c r="E109" s="30">
        <f>AVERAGE('Lex WTPs 2007-2010'!Q50,'2011 Actual Costs'!E109)</f>
        <v>0</v>
      </c>
      <c r="F109" s="31">
        <f>AVERAGE('Lex WTPs 2007-2010'!V50,'2011 Actual Costs'!F109)</f>
        <v>0</v>
      </c>
      <c r="G109" s="30">
        <f>AVERAGE('Lex WTPs 2007-2010'!AA50,'2011 Actual Costs'!G109)</f>
        <v>0</v>
      </c>
      <c r="H109" s="31">
        <f>AVERAGE('Lex WTPs 2007-2010'!AF50,'2011 Actual Costs'!H109)</f>
        <v>0.48902961166638931</v>
      </c>
      <c r="I109" s="30">
        <f>AVERAGE('Lex WTPs 2007-2010'!AK50,'2011 Actual Costs'!I109)</f>
        <v>0</v>
      </c>
      <c r="J109" s="31">
        <f>AVERAGE('Lex WTPs 2007-2010'!AP50,'2011 Actual Costs'!J109)</f>
        <v>0</v>
      </c>
      <c r="K109" s="30">
        <f>AVERAGE('Lex WTPs 2007-2010'!AU50,'2011 Actual Costs'!K109)</f>
        <v>2.4234101419714444</v>
      </c>
      <c r="L109" s="31">
        <f>AVERAGE('Lex WTPs 2007-2010'!AZ50,'2011 Actual Costs'!L109)</f>
        <v>1.8823492114442868</v>
      </c>
      <c r="M109" s="30">
        <f>AVERAGE('Lex WTPs 2007-2010'!BE50,'2011 Actual Costs'!M109)</f>
        <v>0</v>
      </c>
      <c r="N109" s="31">
        <f>AVERAGE('Lex WTPs 2007-2010'!BJ50,'2011 Actual Costs'!N109)</f>
        <v>0</v>
      </c>
      <c r="O109" s="32">
        <f>O110/O$103</f>
        <v>0.4845951315468473</v>
      </c>
      <c r="P109" s="58"/>
      <c r="Q109" s="58"/>
      <c r="R109" s="58"/>
      <c r="S109" s="41"/>
      <c r="T109" s="8"/>
    </row>
    <row r="110" spans="1:20">
      <c r="A110" s="34" t="s">
        <v>56</v>
      </c>
      <c r="B110" s="35" t="s">
        <v>57</v>
      </c>
      <c r="C110" s="65">
        <f t="shared" ref="C110:N110" si="74">C$103*C109</f>
        <v>37.874616392085002</v>
      </c>
      <c r="D110" s="66">
        <f t="shared" si="74"/>
        <v>0</v>
      </c>
      <c r="E110" s="65">
        <f t="shared" si="74"/>
        <v>0</v>
      </c>
      <c r="F110" s="66">
        <f t="shared" si="74"/>
        <v>0</v>
      </c>
      <c r="G110" s="65">
        <f t="shared" si="74"/>
        <v>0</v>
      </c>
      <c r="H110" s="66">
        <f t="shared" si="74"/>
        <v>377.30106799935191</v>
      </c>
      <c r="I110" s="65">
        <f t="shared" si="74"/>
        <v>0</v>
      </c>
      <c r="J110" s="66">
        <f t="shared" si="74"/>
        <v>0</v>
      </c>
      <c r="K110" s="65">
        <f t="shared" si="74"/>
        <v>1646.5084107757862</v>
      </c>
      <c r="L110" s="66">
        <f t="shared" si="74"/>
        <v>1310.3458594251442</v>
      </c>
      <c r="M110" s="65">
        <f t="shared" si="74"/>
        <v>0</v>
      </c>
      <c r="N110" s="66">
        <f t="shared" si="74"/>
        <v>0</v>
      </c>
      <c r="O110" s="67">
        <f>SUM(C110:N110)</f>
        <v>3372.0299545923672</v>
      </c>
      <c r="P110" s="57"/>
      <c r="Q110" s="57"/>
      <c r="R110" s="57"/>
      <c r="S110" s="41"/>
      <c r="T110" s="8"/>
    </row>
    <row r="111" spans="1:20" ht="15.75">
      <c r="A111" s="42"/>
      <c r="B111" s="35" t="s">
        <v>58</v>
      </c>
      <c r="C111" s="43">
        <f>'Price Changes'!F22</f>
        <v>0</v>
      </c>
      <c r="D111" s="44">
        <f t="shared" ref="D111:N111" si="75">C111</f>
        <v>0</v>
      </c>
      <c r="E111" s="43">
        <f t="shared" si="75"/>
        <v>0</v>
      </c>
      <c r="F111" s="44">
        <f t="shared" si="75"/>
        <v>0</v>
      </c>
      <c r="G111" s="43">
        <f t="shared" si="75"/>
        <v>0</v>
      </c>
      <c r="H111" s="44">
        <f t="shared" si="75"/>
        <v>0</v>
      </c>
      <c r="I111" s="43">
        <f t="shared" si="75"/>
        <v>0</v>
      </c>
      <c r="J111" s="44">
        <f t="shared" si="75"/>
        <v>0</v>
      </c>
      <c r="K111" s="43">
        <f t="shared" si="75"/>
        <v>0</v>
      </c>
      <c r="L111" s="44">
        <f t="shared" si="75"/>
        <v>0</v>
      </c>
      <c r="M111" s="43">
        <f t="shared" si="75"/>
        <v>0</v>
      </c>
      <c r="N111" s="44">
        <f t="shared" si="75"/>
        <v>0</v>
      </c>
      <c r="O111" s="45">
        <f>IF(O110=0,0,+O112/O110)</f>
        <v>0</v>
      </c>
      <c r="P111" s="46"/>
      <c r="Q111" s="47"/>
      <c r="R111" s="47"/>
      <c r="S111" s="41"/>
      <c r="T111" s="8"/>
    </row>
    <row r="112" spans="1:20">
      <c r="A112" s="42"/>
      <c r="B112" s="35" t="s">
        <v>15</v>
      </c>
      <c r="C112" s="48">
        <f t="shared" ref="C112:N112" si="76">C110*C111</f>
        <v>0</v>
      </c>
      <c r="D112" s="49">
        <f t="shared" si="76"/>
        <v>0</v>
      </c>
      <c r="E112" s="48">
        <f t="shared" si="76"/>
        <v>0</v>
      </c>
      <c r="F112" s="49">
        <f t="shared" si="76"/>
        <v>0</v>
      </c>
      <c r="G112" s="48">
        <f t="shared" si="76"/>
        <v>0</v>
      </c>
      <c r="H112" s="49">
        <f t="shared" si="76"/>
        <v>0</v>
      </c>
      <c r="I112" s="48">
        <f t="shared" si="76"/>
        <v>0</v>
      </c>
      <c r="J112" s="49">
        <f t="shared" si="76"/>
        <v>0</v>
      </c>
      <c r="K112" s="48">
        <f t="shared" si="76"/>
        <v>0</v>
      </c>
      <c r="L112" s="49">
        <f t="shared" si="76"/>
        <v>0</v>
      </c>
      <c r="M112" s="48">
        <f t="shared" si="76"/>
        <v>0</v>
      </c>
      <c r="N112" s="49">
        <f t="shared" si="76"/>
        <v>0</v>
      </c>
      <c r="O112" s="50">
        <f>SUM(C112:N112)</f>
        <v>0</v>
      </c>
      <c r="P112" s="40"/>
      <c r="Q112" s="40"/>
      <c r="R112" s="40"/>
      <c r="S112" s="41"/>
      <c r="T112" s="8"/>
    </row>
    <row r="113" spans="1:20" ht="16.5" thickBot="1">
      <c r="A113" s="51"/>
      <c r="B113" s="52" t="s">
        <v>59</v>
      </c>
      <c r="C113" s="53">
        <f t="shared" ref="C113:O113" si="77">C112/C$103</f>
        <v>0</v>
      </c>
      <c r="D113" s="54">
        <f t="shared" si="77"/>
        <v>0</v>
      </c>
      <c r="E113" s="53">
        <f t="shared" si="77"/>
        <v>0</v>
      </c>
      <c r="F113" s="54">
        <f t="shared" si="77"/>
        <v>0</v>
      </c>
      <c r="G113" s="53">
        <f t="shared" si="77"/>
        <v>0</v>
      </c>
      <c r="H113" s="54">
        <f t="shared" si="77"/>
        <v>0</v>
      </c>
      <c r="I113" s="53">
        <f t="shared" si="77"/>
        <v>0</v>
      </c>
      <c r="J113" s="54">
        <f t="shared" si="77"/>
        <v>0</v>
      </c>
      <c r="K113" s="53">
        <f t="shared" si="77"/>
        <v>0</v>
      </c>
      <c r="L113" s="54">
        <f t="shared" si="77"/>
        <v>0</v>
      </c>
      <c r="M113" s="53">
        <f t="shared" si="77"/>
        <v>0</v>
      </c>
      <c r="N113" s="54">
        <f t="shared" si="77"/>
        <v>0</v>
      </c>
      <c r="O113" s="55">
        <f t="shared" si="77"/>
        <v>0</v>
      </c>
      <c r="P113" s="56"/>
      <c r="Q113" s="57"/>
      <c r="R113" s="57"/>
      <c r="S113" s="41"/>
      <c r="T113" s="8"/>
    </row>
    <row r="114" spans="1:20">
      <c r="A114" s="28" t="s">
        <v>61</v>
      </c>
      <c r="B114" s="29" t="s">
        <v>55</v>
      </c>
      <c r="C114" s="30">
        <f>AVERAGE('Lex WTPs 2007-2010'!G48,'2011 Actual Costs'!C114)</f>
        <v>46.742256886564178</v>
      </c>
      <c r="D114" s="31">
        <f>AVERAGE('Lex WTPs 2007-2010'!L48,'2011 Actual Costs'!D114)</f>
        <v>47.358507126366163</v>
      </c>
      <c r="E114" s="30">
        <f>AVERAGE('Lex WTPs 2007-2010'!Q48,'2011 Actual Costs'!E114)</f>
        <v>48.688856248043088</v>
      </c>
      <c r="F114" s="31">
        <f>AVERAGE('Lex WTPs 2007-2010'!V48,'2011 Actual Costs'!F114)</f>
        <v>49.686461885019902</v>
      </c>
      <c r="G114" s="30">
        <f>AVERAGE('Lex WTPs 2007-2010'!AA48,'2011 Actual Costs'!G114)</f>
        <v>51.261845187529673</v>
      </c>
      <c r="H114" s="31">
        <f>AVERAGE('Lex WTPs 2007-2010'!AF48,'2011 Actual Costs'!H114)</f>
        <v>56.220704559289409</v>
      </c>
      <c r="I114" s="30">
        <f>AVERAGE('Lex WTPs 2007-2010'!AK48,'2011 Actual Costs'!I114)</f>
        <v>60.718612581510662</v>
      </c>
      <c r="J114" s="31">
        <f>AVERAGE('Lex WTPs 2007-2010'!AP48,'2011 Actual Costs'!J114)</f>
        <v>62.356775157625066</v>
      </c>
      <c r="K114" s="30">
        <f>AVERAGE('Lex WTPs 2007-2010'!AU48,'2011 Actual Costs'!K114)</f>
        <v>63.620247332443512</v>
      </c>
      <c r="L114" s="31">
        <f>AVERAGE('Lex WTPs 2007-2010'!AZ48,'2011 Actual Costs'!L114)</f>
        <v>58.281686872430569</v>
      </c>
      <c r="M114" s="30">
        <f>AVERAGE('Lex WTPs 2007-2010'!BE48,'2011 Actual Costs'!M114)</f>
        <v>54.263370471911202</v>
      </c>
      <c r="N114" s="31">
        <f>AVERAGE('Lex WTPs 2007-2010'!BJ48,'2011 Actual Costs'!N114)</f>
        <v>49.401719686269544</v>
      </c>
      <c r="O114" s="32">
        <f>O115/O$103</f>
        <v>55.380548812485394</v>
      </c>
    </row>
    <row r="115" spans="1:20">
      <c r="A115" s="34" t="s">
        <v>56</v>
      </c>
      <c r="B115" s="35" t="s">
        <v>57</v>
      </c>
      <c r="C115" s="36">
        <f t="shared" ref="C115:N115" si="78">C$103*C114</f>
        <v>18310.36903017103</v>
      </c>
      <c r="D115" s="37">
        <f t="shared" si="78"/>
        <v>19969.402300846021</v>
      </c>
      <c r="E115" s="36">
        <f t="shared" si="78"/>
        <v>21159.69295859749</v>
      </c>
      <c r="F115" s="37">
        <f t="shared" si="78"/>
        <v>21558.889661456295</v>
      </c>
      <c r="G115" s="36">
        <f t="shared" si="78"/>
        <v>29239.368593016603</v>
      </c>
      <c r="H115" s="37">
        <f t="shared" si="78"/>
        <v>43375.966133450856</v>
      </c>
      <c r="I115" s="36">
        <f t="shared" si="78"/>
        <v>45330.98847915075</v>
      </c>
      <c r="J115" s="37">
        <f t="shared" si="78"/>
        <v>49958.108012985271</v>
      </c>
      <c r="K115" s="36">
        <f t="shared" si="78"/>
        <v>43224.739599087778</v>
      </c>
      <c r="L115" s="37">
        <f t="shared" si="78"/>
        <v>40571.200396448075</v>
      </c>
      <c r="M115" s="36">
        <f t="shared" si="78"/>
        <v>30147.149092912634</v>
      </c>
      <c r="N115" s="37">
        <f t="shared" si="78"/>
        <v>22516.786941894436</v>
      </c>
      <c r="O115" s="38">
        <f>SUM(C115:N115)</f>
        <v>385362.66120001726</v>
      </c>
      <c r="P115" s="57"/>
      <c r="Q115" s="47"/>
      <c r="R115" s="57"/>
      <c r="S115" s="41"/>
      <c r="T115" s="8"/>
    </row>
    <row r="116" spans="1:20" ht="15.75">
      <c r="A116" s="42"/>
      <c r="B116" s="35" t="s">
        <v>58</v>
      </c>
      <c r="C116" s="43">
        <f>C20</f>
        <v>0.21630000000000002</v>
      </c>
      <c r="D116" s="44">
        <f t="shared" ref="D116:N116" si="79">C116</f>
        <v>0.21630000000000002</v>
      </c>
      <c r="E116" s="43">
        <f t="shared" si="79"/>
        <v>0.21630000000000002</v>
      </c>
      <c r="F116" s="44">
        <f t="shared" si="79"/>
        <v>0.21630000000000002</v>
      </c>
      <c r="G116" s="43">
        <f t="shared" si="79"/>
        <v>0.21630000000000002</v>
      </c>
      <c r="H116" s="44">
        <f t="shared" si="79"/>
        <v>0.21630000000000002</v>
      </c>
      <c r="I116" s="43">
        <f t="shared" si="79"/>
        <v>0.21630000000000002</v>
      </c>
      <c r="J116" s="44">
        <f t="shared" si="79"/>
        <v>0.21630000000000002</v>
      </c>
      <c r="K116" s="43">
        <f t="shared" si="79"/>
        <v>0.21630000000000002</v>
      </c>
      <c r="L116" s="44">
        <f t="shared" si="79"/>
        <v>0.21630000000000002</v>
      </c>
      <c r="M116" s="43">
        <f t="shared" si="79"/>
        <v>0.21630000000000002</v>
      </c>
      <c r="N116" s="44">
        <f t="shared" si="79"/>
        <v>0.21630000000000002</v>
      </c>
      <c r="O116" s="45">
        <f>IF(O115=0,0,+O117/O115)</f>
        <v>0.21630000000000002</v>
      </c>
      <c r="P116" s="46"/>
      <c r="Q116" s="47"/>
      <c r="R116" s="47"/>
      <c r="S116" s="41"/>
      <c r="T116" s="8"/>
    </row>
    <row r="117" spans="1:20">
      <c r="A117" s="42"/>
      <c r="B117" s="35" t="s">
        <v>15</v>
      </c>
      <c r="C117" s="48">
        <f t="shared" ref="C117:N117" si="80">C115*C116</f>
        <v>3960.5328212259942</v>
      </c>
      <c r="D117" s="49">
        <f t="shared" si="80"/>
        <v>4319.3817176729945</v>
      </c>
      <c r="E117" s="48">
        <f t="shared" si="80"/>
        <v>4576.841586944638</v>
      </c>
      <c r="F117" s="49">
        <f t="shared" si="80"/>
        <v>4663.1878337729968</v>
      </c>
      <c r="G117" s="48">
        <f t="shared" si="80"/>
        <v>6324.4754266694918</v>
      </c>
      <c r="H117" s="49">
        <f t="shared" si="80"/>
        <v>9382.2214746654208</v>
      </c>
      <c r="I117" s="48">
        <f t="shared" si="80"/>
        <v>9805.0928080403082</v>
      </c>
      <c r="J117" s="49">
        <f t="shared" si="80"/>
        <v>10805.938763208715</v>
      </c>
      <c r="K117" s="48">
        <f t="shared" si="80"/>
        <v>9349.511175282687</v>
      </c>
      <c r="L117" s="49">
        <f t="shared" si="80"/>
        <v>8775.5506457517204</v>
      </c>
      <c r="M117" s="48">
        <f t="shared" si="80"/>
        <v>6520.8283487970029</v>
      </c>
      <c r="N117" s="49">
        <f t="shared" si="80"/>
        <v>4870.3810155317669</v>
      </c>
      <c r="O117" s="50">
        <f>SUM(C117:N117)</f>
        <v>83353.943617563738</v>
      </c>
      <c r="P117" s="40"/>
      <c r="Q117" s="40"/>
      <c r="R117" s="40"/>
      <c r="S117" s="41"/>
    </row>
    <row r="118" spans="1:20" ht="16.5" thickBot="1">
      <c r="A118" s="51"/>
      <c r="B118" s="52" t="s">
        <v>59</v>
      </c>
      <c r="C118" s="53">
        <f t="shared" ref="C118:O118" si="81">C117/C$103</f>
        <v>10.110350164563833</v>
      </c>
      <c r="D118" s="54">
        <f t="shared" si="81"/>
        <v>10.243645091433001</v>
      </c>
      <c r="E118" s="53">
        <f t="shared" si="81"/>
        <v>10.531399606451721</v>
      </c>
      <c r="F118" s="54">
        <f t="shared" si="81"/>
        <v>10.747181705729805</v>
      </c>
      <c r="G118" s="53">
        <f t="shared" si="81"/>
        <v>11.087937114062671</v>
      </c>
      <c r="H118" s="54">
        <f t="shared" si="81"/>
        <v>12.160538396174299</v>
      </c>
      <c r="I118" s="53">
        <f t="shared" si="81"/>
        <v>13.133435901380759</v>
      </c>
      <c r="J118" s="54">
        <f t="shared" si="81"/>
        <v>13.487770466594302</v>
      </c>
      <c r="K118" s="53">
        <f t="shared" si="81"/>
        <v>13.761059498007533</v>
      </c>
      <c r="L118" s="54">
        <f t="shared" si="81"/>
        <v>12.606328870506733</v>
      </c>
      <c r="M118" s="53">
        <f t="shared" si="81"/>
        <v>11.737167033074394</v>
      </c>
      <c r="N118" s="54">
        <f t="shared" si="81"/>
        <v>10.685591968140104</v>
      </c>
      <c r="O118" s="55">
        <f t="shared" si="81"/>
        <v>11.978812708140591</v>
      </c>
      <c r="P118" s="56"/>
      <c r="Q118" s="57"/>
      <c r="R118" s="57"/>
      <c r="S118" s="41"/>
    </row>
    <row r="119" spans="1:20">
      <c r="A119" s="28" t="s">
        <v>62</v>
      </c>
      <c r="B119" s="29" t="s">
        <v>55</v>
      </c>
      <c r="C119" s="30">
        <v>0</v>
      </c>
      <c r="D119" s="31">
        <v>0</v>
      </c>
      <c r="E119" s="30">
        <v>0</v>
      </c>
      <c r="F119" s="31">
        <v>0</v>
      </c>
      <c r="G119" s="30">
        <v>0</v>
      </c>
      <c r="H119" s="31">
        <v>0</v>
      </c>
      <c r="I119" s="30">
        <v>0</v>
      </c>
      <c r="J119" s="31">
        <v>0</v>
      </c>
      <c r="K119" s="30">
        <v>0</v>
      </c>
      <c r="L119" s="31">
        <v>0</v>
      </c>
      <c r="M119" s="30">
        <v>0</v>
      </c>
      <c r="N119" s="31">
        <v>0</v>
      </c>
      <c r="O119" s="32">
        <f>O120/O$103</f>
        <v>0</v>
      </c>
    </row>
    <row r="120" spans="1:20">
      <c r="A120" s="34" t="s">
        <v>56</v>
      </c>
      <c r="B120" s="35" t="s">
        <v>57</v>
      </c>
      <c r="C120" s="65">
        <f t="shared" ref="C120:N120" si="82">C$103*C119</f>
        <v>0</v>
      </c>
      <c r="D120" s="66">
        <f t="shared" si="82"/>
        <v>0</v>
      </c>
      <c r="E120" s="65">
        <f t="shared" si="82"/>
        <v>0</v>
      </c>
      <c r="F120" s="66">
        <f t="shared" si="82"/>
        <v>0</v>
      </c>
      <c r="G120" s="65">
        <f t="shared" si="82"/>
        <v>0</v>
      </c>
      <c r="H120" s="66">
        <f t="shared" si="82"/>
        <v>0</v>
      </c>
      <c r="I120" s="65">
        <f t="shared" si="82"/>
        <v>0</v>
      </c>
      <c r="J120" s="66">
        <f t="shared" si="82"/>
        <v>0</v>
      </c>
      <c r="K120" s="65">
        <f t="shared" si="82"/>
        <v>0</v>
      </c>
      <c r="L120" s="66">
        <f t="shared" si="82"/>
        <v>0</v>
      </c>
      <c r="M120" s="65">
        <f t="shared" si="82"/>
        <v>0</v>
      </c>
      <c r="N120" s="66">
        <f t="shared" si="82"/>
        <v>0</v>
      </c>
      <c r="O120" s="67">
        <f>SUM(C120:N120)</f>
        <v>0</v>
      </c>
      <c r="P120" s="60"/>
      <c r="Q120" s="57"/>
      <c r="R120" s="57"/>
      <c r="S120" s="41"/>
      <c r="T120" s="8"/>
    </row>
    <row r="121" spans="1:20" ht="15.75">
      <c r="A121" s="42"/>
      <c r="B121" s="35" t="s">
        <v>58</v>
      </c>
      <c r="C121" s="43">
        <f>C25</f>
        <v>0.74901600000000002</v>
      </c>
      <c r="D121" s="44">
        <f t="shared" ref="D121:N121" si="83">C121</f>
        <v>0.74901600000000002</v>
      </c>
      <c r="E121" s="43">
        <f t="shared" si="83"/>
        <v>0.74901600000000002</v>
      </c>
      <c r="F121" s="44">
        <f t="shared" si="83"/>
        <v>0.74901600000000002</v>
      </c>
      <c r="G121" s="43">
        <f t="shared" si="83"/>
        <v>0.74901600000000002</v>
      </c>
      <c r="H121" s="44">
        <f t="shared" si="83"/>
        <v>0.74901600000000002</v>
      </c>
      <c r="I121" s="43">
        <f t="shared" si="83"/>
        <v>0.74901600000000002</v>
      </c>
      <c r="J121" s="44">
        <f t="shared" si="83"/>
        <v>0.74901600000000002</v>
      </c>
      <c r="K121" s="43">
        <f t="shared" si="83"/>
        <v>0.74901600000000002</v>
      </c>
      <c r="L121" s="44">
        <f t="shared" si="83"/>
        <v>0.74901600000000002</v>
      </c>
      <c r="M121" s="43">
        <f t="shared" si="83"/>
        <v>0.74901600000000002</v>
      </c>
      <c r="N121" s="44">
        <f t="shared" si="83"/>
        <v>0.74901600000000002</v>
      </c>
      <c r="O121" s="45">
        <f>IF(O120=0,0,+O122/O120)</f>
        <v>0</v>
      </c>
      <c r="P121" s="46"/>
      <c r="Q121" s="47"/>
      <c r="R121" s="47"/>
      <c r="S121" s="41"/>
      <c r="T121" s="8"/>
    </row>
    <row r="122" spans="1:20">
      <c r="A122" s="42"/>
      <c r="B122" s="35" t="s">
        <v>15</v>
      </c>
      <c r="C122" s="48">
        <f t="shared" ref="C122:N122" si="84">C120*C121</f>
        <v>0</v>
      </c>
      <c r="D122" s="49">
        <f t="shared" si="84"/>
        <v>0</v>
      </c>
      <c r="E122" s="48">
        <f t="shared" si="84"/>
        <v>0</v>
      </c>
      <c r="F122" s="49">
        <f t="shared" si="84"/>
        <v>0</v>
      </c>
      <c r="G122" s="48">
        <f t="shared" si="84"/>
        <v>0</v>
      </c>
      <c r="H122" s="49">
        <f t="shared" si="84"/>
        <v>0</v>
      </c>
      <c r="I122" s="48">
        <f t="shared" si="84"/>
        <v>0</v>
      </c>
      <c r="J122" s="49">
        <f t="shared" si="84"/>
        <v>0</v>
      </c>
      <c r="K122" s="48">
        <f t="shared" si="84"/>
        <v>0</v>
      </c>
      <c r="L122" s="49">
        <f t="shared" si="84"/>
        <v>0</v>
      </c>
      <c r="M122" s="48">
        <f t="shared" si="84"/>
        <v>0</v>
      </c>
      <c r="N122" s="49">
        <f t="shared" si="84"/>
        <v>0</v>
      </c>
      <c r="O122" s="50">
        <f>SUM(C122:N122)</f>
        <v>0</v>
      </c>
      <c r="P122" s="40"/>
      <c r="Q122" s="40"/>
      <c r="R122" s="40"/>
      <c r="S122" s="41"/>
      <c r="T122" s="8"/>
    </row>
    <row r="123" spans="1:20" ht="16.5" thickBot="1">
      <c r="A123" s="51"/>
      <c r="B123" s="52" t="s">
        <v>59</v>
      </c>
      <c r="C123" s="53">
        <f t="shared" ref="C123:O123" si="85">C122/C$103</f>
        <v>0</v>
      </c>
      <c r="D123" s="54">
        <f t="shared" si="85"/>
        <v>0</v>
      </c>
      <c r="E123" s="53">
        <f t="shared" si="85"/>
        <v>0</v>
      </c>
      <c r="F123" s="54">
        <f t="shared" si="85"/>
        <v>0</v>
      </c>
      <c r="G123" s="53">
        <f t="shared" si="85"/>
        <v>0</v>
      </c>
      <c r="H123" s="54">
        <f t="shared" si="85"/>
        <v>0</v>
      </c>
      <c r="I123" s="53">
        <f t="shared" si="85"/>
        <v>0</v>
      </c>
      <c r="J123" s="54">
        <f t="shared" si="85"/>
        <v>0</v>
      </c>
      <c r="K123" s="53">
        <f t="shared" si="85"/>
        <v>0</v>
      </c>
      <c r="L123" s="54">
        <f t="shared" si="85"/>
        <v>0</v>
      </c>
      <c r="M123" s="53">
        <f t="shared" si="85"/>
        <v>0</v>
      </c>
      <c r="N123" s="54">
        <f t="shared" si="85"/>
        <v>0</v>
      </c>
      <c r="O123" s="55">
        <f t="shared" si="85"/>
        <v>0</v>
      </c>
      <c r="P123" s="56"/>
      <c r="Q123" s="57"/>
      <c r="R123" s="57"/>
      <c r="S123" s="41"/>
    </row>
    <row r="124" spans="1:20">
      <c r="A124" s="181" t="s">
        <v>63</v>
      </c>
      <c r="B124" s="29" t="s">
        <v>55</v>
      </c>
      <c r="C124" s="30">
        <f>AVERAGE('Lex WTPs 2007-2010'!G47,'2011 Actual Costs'!C124)</f>
        <v>29.338911239523537</v>
      </c>
      <c r="D124" s="31">
        <f>AVERAGE('Lex WTPs 2007-2010'!L47,'2011 Actual Costs'!D124)</f>
        <v>32.173082213564683</v>
      </c>
      <c r="E124" s="30">
        <f>AVERAGE('Lex WTPs 2007-2010'!Q47,'2011 Actual Costs'!E124)</f>
        <v>29.024973809338245</v>
      </c>
      <c r="F124" s="31">
        <f>AVERAGE('Lex WTPs 2007-2010'!V47,'2011 Actual Costs'!F124)</f>
        <v>26.498415648351738</v>
      </c>
      <c r="G124" s="30">
        <f>AVERAGE('Lex WTPs 2007-2010'!AA47,'2011 Actual Costs'!G124)</f>
        <v>29.023853117219765</v>
      </c>
      <c r="H124" s="31">
        <f>AVERAGE('Lex WTPs 2007-2010'!AF47,'2011 Actual Costs'!H124)</f>
        <v>27.813999638854789</v>
      </c>
      <c r="I124" s="30">
        <f>AVERAGE('Lex WTPs 2007-2010'!AK47,'2011 Actual Costs'!I124)</f>
        <v>28.191082536990052</v>
      </c>
      <c r="J124" s="31">
        <f>AVERAGE('Lex WTPs 2007-2010'!AP47,'2011 Actual Costs'!J124)</f>
        <v>26.977882317580296</v>
      </c>
      <c r="K124" s="30">
        <f>AVERAGE('Lex WTPs 2007-2010'!AU47,'2011 Actual Costs'!K124)</f>
        <v>27.728304856773118</v>
      </c>
      <c r="L124" s="31">
        <f>AVERAGE('Lex WTPs 2007-2010'!AZ47,'2011 Actual Costs'!L124)</f>
        <v>28.489139546779086</v>
      </c>
      <c r="M124" s="30">
        <f>AVERAGE('Lex WTPs 2007-2010'!BE47,'2011 Actual Costs'!M124)</f>
        <v>29.35999868437883</v>
      </c>
      <c r="N124" s="31">
        <f>AVERAGE('Lex WTPs 2007-2010'!BJ47,'2011 Actual Costs'!N124)</f>
        <v>31.782351662416978</v>
      </c>
      <c r="O124" s="32">
        <f>O125/O$103</f>
        <v>28.64349762061099</v>
      </c>
    </row>
    <row r="125" spans="1:20">
      <c r="A125" s="34" t="s">
        <v>64</v>
      </c>
      <c r="B125" s="35" t="s">
        <v>57</v>
      </c>
      <c r="C125" s="36">
        <f t="shared" ref="C125:N125" si="86">C$103*C124</f>
        <v>11492.947228517878</v>
      </c>
      <c r="D125" s="37">
        <f t="shared" si="86"/>
        <v>13566.247353755307</v>
      </c>
      <c r="E125" s="36">
        <f t="shared" si="86"/>
        <v>12613.96510955452</v>
      </c>
      <c r="F125" s="37">
        <f t="shared" si="86"/>
        <v>11497.627270949988</v>
      </c>
      <c r="G125" s="36">
        <f t="shared" si="86"/>
        <v>16554.986192545577</v>
      </c>
      <c r="H125" s="37">
        <f t="shared" si="86"/>
        <v>21459.338082440219</v>
      </c>
      <c r="I125" s="36">
        <f t="shared" si="86"/>
        <v>21046.752937306483</v>
      </c>
      <c r="J125" s="37">
        <f t="shared" si="86"/>
        <v>21613.753363229778</v>
      </c>
      <c r="K125" s="36">
        <f t="shared" si="86"/>
        <v>18839.108730514665</v>
      </c>
      <c r="L125" s="37">
        <f t="shared" si="86"/>
        <v>19831.934381115236</v>
      </c>
      <c r="M125" s="36">
        <f t="shared" si="86"/>
        <v>16311.560634882781</v>
      </c>
      <c r="N125" s="37">
        <f t="shared" si="86"/>
        <v>14486.063348396103</v>
      </c>
      <c r="O125" s="38">
        <f>SUM(C125:N125)</f>
        <v>199314.28463320853</v>
      </c>
    </row>
    <row r="126" spans="1:20">
      <c r="A126" s="34"/>
      <c r="B126" s="35" t="s">
        <v>58</v>
      </c>
      <c r="C126" s="43">
        <f>'Price Changes'!F25</f>
        <v>0.345744</v>
      </c>
      <c r="D126" s="44">
        <f t="shared" ref="D126:N126" si="87">C126</f>
        <v>0.345744</v>
      </c>
      <c r="E126" s="43">
        <f t="shared" si="87"/>
        <v>0.345744</v>
      </c>
      <c r="F126" s="44">
        <f t="shared" si="87"/>
        <v>0.345744</v>
      </c>
      <c r="G126" s="43">
        <f t="shared" si="87"/>
        <v>0.345744</v>
      </c>
      <c r="H126" s="44">
        <f t="shared" si="87"/>
        <v>0.345744</v>
      </c>
      <c r="I126" s="43">
        <f t="shared" si="87"/>
        <v>0.345744</v>
      </c>
      <c r="J126" s="44">
        <f t="shared" si="87"/>
        <v>0.345744</v>
      </c>
      <c r="K126" s="43">
        <f t="shared" si="87"/>
        <v>0.345744</v>
      </c>
      <c r="L126" s="44">
        <f t="shared" si="87"/>
        <v>0.345744</v>
      </c>
      <c r="M126" s="43">
        <f t="shared" si="87"/>
        <v>0.345744</v>
      </c>
      <c r="N126" s="44">
        <f t="shared" si="87"/>
        <v>0.345744</v>
      </c>
      <c r="O126" s="45">
        <f>IF(O125=0,0,+O127/O125)</f>
        <v>0.34574399999999994</v>
      </c>
    </row>
    <row r="127" spans="1:20">
      <c r="A127" s="42"/>
      <c r="B127" s="35" t="s">
        <v>15</v>
      </c>
      <c r="C127" s="48">
        <f t="shared" ref="C127:N127" si="88">C125*C126</f>
        <v>3973.6175465766851</v>
      </c>
      <c r="D127" s="49">
        <f t="shared" si="88"/>
        <v>4690.448625076775</v>
      </c>
      <c r="E127" s="48">
        <f t="shared" si="88"/>
        <v>4361.2027528378176</v>
      </c>
      <c r="F127" s="49">
        <f t="shared" si="88"/>
        <v>3975.2356431673325</v>
      </c>
      <c r="G127" s="48">
        <f t="shared" si="88"/>
        <v>5723.7871461554778</v>
      </c>
      <c r="H127" s="49">
        <f t="shared" si="88"/>
        <v>7419.4373859752113</v>
      </c>
      <c r="I127" s="48">
        <f t="shared" si="88"/>
        <v>7276.7885475560925</v>
      </c>
      <c r="J127" s="49">
        <f t="shared" si="88"/>
        <v>7472.8255428165166</v>
      </c>
      <c r="K127" s="48">
        <f t="shared" si="88"/>
        <v>6513.5088089230621</v>
      </c>
      <c r="L127" s="49">
        <f t="shared" si="88"/>
        <v>6856.7723206643059</v>
      </c>
      <c r="M127" s="48">
        <f t="shared" si="88"/>
        <v>5639.6242201469122</v>
      </c>
      <c r="N127" s="49">
        <f t="shared" si="88"/>
        <v>5008.4694863278619</v>
      </c>
      <c r="O127" s="50">
        <f>SUM(C127:N127)</f>
        <v>68911.718026224044</v>
      </c>
    </row>
    <row r="128" spans="1:20" ht="13.5" thickBot="1">
      <c r="A128" s="51"/>
      <c r="B128" s="52" t="s">
        <v>59</v>
      </c>
      <c r="C128" s="53">
        <f t="shared" ref="C128:O128" si="89">C127/C$103</f>
        <v>10.143752527597824</v>
      </c>
      <c r="D128" s="54">
        <f t="shared" si="89"/>
        <v>11.123650136846708</v>
      </c>
      <c r="E128" s="53">
        <f t="shared" si="89"/>
        <v>10.035210544735842</v>
      </c>
      <c r="F128" s="54">
        <f t="shared" si="89"/>
        <v>9.1616682199237225</v>
      </c>
      <c r="G128" s="53">
        <f t="shared" si="89"/>
        <v>10.034823072160032</v>
      </c>
      <c r="H128" s="54">
        <f t="shared" si="89"/>
        <v>9.6165234911362099</v>
      </c>
      <c r="I128" s="53">
        <f t="shared" si="89"/>
        <v>9.7468976406690881</v>
      </c>
      <c r="J128" s="54">
        <f t="shared" si="89"/>
        <v>9.3274409440094814</v>
      </c>
      <c r="K128" s="53">
        <f t="shared" si="89"/>
        <v>9.5868950344001647</v>
      </c>
      <c r="L128" s="54">
        <f t="shared" si="89"/>
        <v>9.8499490634615885</v>
      </c>
      <c r="M128" s="53">
        <f t="shared" si="89"/>
        <v>10.151043385131874</v>
      </c>
      <c r="N128" s="54">
        <f t="shared" si="89"/>
        <v>10.988557393170694</v>
      </c>
      <c r="O128" s="55">
        <f t="shared" si="89"/>
        <v>9.9033174413405245</v>
      </c>
    </row>
    <row r="129" spans="1:20">
      <c r="A129" s="28" t="s">
        <v>65</v>
      </c>
      <c r="B129" s="29" t="s">
        <v>55</v>
      </c>
      <c r="C129" s="30">
        <f>AVERAGE('Lex WTPs 2007-2010'!G59,'2011 Actual Costs'!C129)</f>
        <v>1.4446546099600537</v>
      </c>
      <c r="D129" s="31">
        <f>AVERAGE('Lex WTPs 2007-2010'!L59,'2011 Actual Costs'!D129)</f>
        <v>17.025453196162569</v>
      </c>
      <c r="E129" s="30">
        <f>AVERAGE('Lex WTPs 2007-2010'!Q59,'2011 Actual Costs'!E129)</f>
        <v>31.519173100236078</v>
      </c>
      <c r="F129" s="31">
        <f>AVERAGE('Lex WTPs 2007-2010'!V59,'2011 Actual Costs'!F129)</f>
        <v>0</v>
      </c>
      <c r="G129" s="30">
        <f>AVERAGE('Lex WTPs 2007-2010'!AA59,'2011 Actual Costs'!G129)</f>
        <v>6.134813394742114</v>
      </c>
      <c r="H129" s="31">
        <f>AVERAGE('Lex WTPs 2007-2010'!AF59,'2011 Actual Costs'!H129)</f>
        <v>6.9076820487103481</v>
      </c>
      <c r="I129" s="30">
        <f>AVERAGE('Lex WTPs 2007-2010'!AK59,'2011 Actual Costs'!I129)</f>
        <v>32.347857645832967</v>
      </c>
      <c r="J129" s="31">
        <f>AVERAGE('Lex WTPs 2007-2010'!AP59,'2011 Actual Costs'!J129)</f>
        <v>152.15375357317768</v>
      </c>
      <c r="K129" s="30">
        <f>AVERAGE('Lex WTPs 2007-2010'!AU59,'2011 Actual Costs'!K129)</f>
        <v>144.08008295992269</v>
      </c>
      <c r="L129" s="31">
        <f>AVERAGE('Lex WTPs 2007-2010'!AZ59,'2011 Actual Costs'!L129)</f>
        <v>197.98274142103273</v>
      </c>
      <c r="M129" s="30">
        <f>AVERAGE('Lex WTPs 2007-2010'!BE59,'2011 Actual Costs'!M129)</f>
        <v>112.9914098208538</v>
      </c>
      <c r="N129" s="31">
        <f>AVERAGE('Lex WTPs 2007-2010'!BJ59,'2011 Actual Costs'!N129)</f>
        <v>6.9104278239115553</v>
      </c>
      <c r="O129" s="32">
        <f>O130/O$103</f>
        <v>68.687352812443109</v>
      </c>
    </row>
    <row r="130" spans="1:20">
      <c r="A130" s="34" t="s">
        <v>56</v>
      </c>
      <c r="B130" s="35" t="s">
        <v>57</v>
      </c>
      <c r="C130" s="36">
        <f t="shared" ref="C130:N130" si="90">C$103*C129</f>
        <v>565.91531499434109</v>
      </c>
      <c r="D130" s="37">
        <f t="shared" si="90"/>
        <v>7179.0295948562871</v>
      </c>
      <c r="E130" s="36">
        <f t="shared" si="90"/>
        <v>13697.919329059745</v>
      </c>
      <c r="F130" s="37">
        <f t="shared" si="90"/>
        <v>0</v>
      </c>
      <c r="G130" s="36">
        <f t="shared" si="90"/>
        <v>3499.2511378009649</v>
      </c>
      <c r="H130" s="37">
        <f t="shared" si="90"/>
        <v>5329.4846614653234</v>
      </c>
      <c r="I130" s="36">
        <f t="shared" si="90"/>
        <v>24150.09664952361</v>
      </c>
      <c r="J130" s="37">
        <f t="shared" si="90"/>
        <v>121900.36505857465</v>
      </c>
      <c r="K130" s="36">
        <f t="shared" si="90"/>
        <v>97890.59817410844</v>
      </c>
      <c r="L130" s="37">
        <f t="shared" si="90"/>
        <v>137820.26410478703</v>
      </c>
      <c r="M130" s="36">
        <f t="shared" si="90"/>
        <v>62774.738252776602</v>
      </c>
      <c r="N130" s="37">
        <f t="shared" si="90"/>
        <v>3149.7006982046923</v>
      </c>
      <c r="O130" s="38">
        <f>SUM(C130:N130)</f>
        <v>477957.36297615169</v>
      </c>
      <c r="P130" s="57"/>
      <c r="Q130" s="57"/>
      <c r="R130" s="57"/>
      <c r="S130" s="41"/>
      <c r="T130" s="8"/>
    </row>
    <row r="131" spans="1:20" ht="15.75">
      <c r="A131" s="42"/>
      <c r="B131" s="35" t="s">
        <v>58</v>
      </c>
      <c r="C131" s="43">
        <f>'Price Changes'!F26</f>
        <v>0.1112616</v>
      </c>
      <c r="D131" s="44">
        <f t="shared" ref="D131:N131" si="91">C131</f>
        <v>0.1112616</v>
      </c>
      <c r="E131" s="43">
        <f t="shared" si="91"/>
        <v>0.1112616</v>
      </c>
      <c r="F131" s="44">
        <f t="shared" si="91"/>
        <v>0.1112616</v>
      </c>
      <c r="G131" s="43">
        <f t="shared" si="91"/>
        <v>0.1112616</v>
      </c>
      <c r="H131" s="44">
        <f t="shared" si="91"/>
        <v>0.1112616</v>
      </c>
      <c r="I131" s="43">
        <f t="shared" si="91"/>
        <v>0.1112616</v>
      </c>
      <c r="J131" s="44">
        <f t="shared" si="91"/>
        <v>0.1112616</v>
      </c>
      <c r="K131" s="43">
        <f t="shared" si="91"/>
        <v>0.1112616</v>
      </c>
      <c r="L131" s="44">
        <f t="shared" si="91"/>
        <v>0.1112616</v>
      </c>
      <c r="M131" s="43">
        <f t="shared" si="91"/>
        <v>0.1112616</v>
      </c>
      <c r="N131" s="44">
        <f t="shared" si="91"/>
        <v>0.1112616</v>
      </c>
      <c r="O131" s="45">
        <f>IF(O130=0,0,+O132/O130)</f>
        <v>0.11126159999999999</v>
      </c>
      <c r="P131" s="46"/>
      <c r="Q131" s="47"/>
      <c r="R131" s="47"/>
      <c r="S131" s="41"/>
      <c r="T131" s="8"/>
    </row>
    <row r="132" spans="1:20">
      <c r="A132" s="42"/>
      <c r="B132" s="35" t="s">
        <v>15</v>
      </c>
      <c r="C132" s="48">
        <f t="shared" ref="C132:N132" si="92">C130*C131</f>
        <v>62.964643410774379</v>
      </c>
      <c r="D132" s="49">
        <f t="shared" si="92"/>
        <v>798.7503191710623</v>
      </c>
      <c r="E132" s="48">
        <f t="shared" si="92"/>
        <v>1524.0524212221137</v>
      </c>
      <c r="F132" s="49">
        <f t="shared" si="92"/>
        <v>0</v>
      </c>
      <c r="G132" s="48">
        <f t="shared" si="92"/>
        <v>389.33228039355583</v>
      </c>
      <c r="H132" s="49">
        <f t="shared" si="92"/>
        <v>592.96699061009019</v>
      </c>
      <c r="I132" s="48">
        <f t="shared" si="92"/>
        <v>2686.9783933806361</v>
      </c>
      <c r="J132" s="49">
        <f t="shared" si="92"/>
        <v>13562.82965700111</v>
      </c>
      <c r="K132" s="48">
        <f t="shared" si="92"/>
        <v>10891.464577808383</v>
      </c>
      <c r="L132" s="49">
        <f t="shared" si="92"/>
        <v>15334.103096721172</v>
      </c>
      <c r="M132" s="48">
        <f t="shared" si="92"/>
        <v>6984.4178175851293</v>
      </c>
      <c r="N132" s="49">
        <f t="shared" si="92"/>
        <v>350.44073920337121</v>
      </c>
      <c r="O132" s="50">
        <f>SUM(C132:N132)</f>
        <v>53178.300936507396</v>
      </c>
      <c r="P132" s="40"/>
      <c r="Q132" s="40"/>
      <c r="R132" s="40"/>
      <c r="S132" s="41"/>
    </row>
    <row r="133" spans="1:20" ht="16.5" thickBot="1">
      <c r="A133" s="51"/>
      <c r="B133" s="52" t="s">
        <v>59</v>
      </c>
      <c r="C133" s="53">
        <f t="shared" ref="C133:O133" si="93">C132/C$103</f>
        <v>0.16073458335153151</v>
      </c>
      <c r="D133" s="54">
        <f t="shared" si="93"/>
        <v>1.8942791633301612</v>
      </c>
      <c r="E133" s="53">
        <f t="shared" si="93"/>
        <v>3.5068736298092262</v>
      </c>
      <c r="F133" s="54">
        <f t="shared" si="93"/>
        <v>0</v>
      </c>
      <c r="G133" s="53">
        <f t="shared" si="93"/>
        <v>0.68256915400043916</v>
      </c>
      <c r="H133" s="54">
        <f t="shared" si="93"/>
        <v>0.76855975703079116</v>
      </c>
      <c r="I133" s="53">
        <f t="shared" si="93"/>
        <v>3.5990743982476094</v>
      </c>
      <c r="J133" s="54">
        <f t="shared" si="93"/>
        <v>16.928870068557465</v>
      </c>
      <c r="K133" s="53">
        <f t="shared" si="93"/>
        <v>16.030580558253735</v>
      </c>
      <c r="L133" s="54">
        <f t="shared" si="93"/>
        <v>22.027876582890375</v>
      </c>
      <c r="M133" s="53">
        <f t="shared" si="93"/>
        <v>12.571605042923908</v>
      </c>
      <c r="N133" s="54">
        <f t="shared" si="93"/>
        <v>0.76886525637291792</v>
      </c>
      <c r="O133" s="55">
        <f t="shared" si="93"/>
        <v>7.6422647736769207</v>
      </c>
      <c r="P133" s="56"/>
      <c r="Q133" s="57"/>
      <c r="R133" s="57"/>
      <c r="S133" s="41"/>
    </row>
    <row r="134" spans="1:20">
      <c r="A134" s="28" t="s">
        <v>66</v>
      </c>
      <c r="B134" s="29" t="s">
        <v>55</v>
      </c>
      <c r="C134" s="30">
        <f>AVERAGE('Lex WTPs 2007-2010'!G49,'2011 Actual Costs'!C134)</f>
        <v>40.705906094620524</v>
      </c>
      <c r="D134" s="31">
        <f>AVERAGE('Lex WTPs 2007-2010'!L49,'2011 Actual Costs'!D134)</f>
        <v>47.529739788523287</v>
      </c>
      <c r="E134" s="30">
        <f>AVERAGE('Lex WTPs 2007-2010'!Q49,'2011 Actual Costs'!E134)</f>
        <v>39.062156284109975</v>
      </c>
      <c r="F134" s="31">
        <f>AVERAGE('Lex WTPs 2007-2010'!V49,'2011 Actual Costs'!F134)</f>
        <v>33.157987357135688</v>
      </c>
      <c r="G134" s="30">
        <f>AVERAGE('Lex WTPs 2007-2010'!AA49,'2011 Actual Costs'!G134)</f>
        <v>40.368109062864548</v>
      </c>
      <c r="H134" s="31">
        <f>AVERAGE('Lex WTPs 2007-2010'!AF49,'2011 Actual Costs'!H134)</f>
        <v>39.122537820785098</v>
      </c>
      <c r="I134" s="30">
        <f>AVERAGE('Lex WTPs 2007-2010'!AK49,'2011 Actual Costs'!I134)</f>
        <v>40.767010483730289</v>
      </c>
      <c r="J134" s="31">
        <f>AVERAGE('Lex WTPs 2007-2010'!AP49,'2011 Actual Costs'!J134)</f>
        <v>39.908429388296369</v>
      </c>
      <c r="K134" s="30">
        <f>AVERAGE('Lex WTPs 2007-2010'!AU49,'2011 Actual Costs'!K134)</f>
        <v>40.413998398820418</v>
      </c>
      <c r="L134" s="31">
        <f>AVERAGE('Lex WTPs 2007-2010'!AZ49,'2011 Actual Costs'!L134)</f>
        <v>37.692642926261584</v>
      </c>
      <c r="M134" s="30">
        <f>AVERAGE('Lex WTPs 2007-2010'!BE49,'2011 Actual Costs'!M134)</f>
        <v>38.892909182458965</v>
      </c>
      <c r="N134" s="31">
        <f>AVERAGE('Lex WTPs 2007-2010'!BJ49,'2011 Actual Costs'!N134)</f>
        <v>39.318968294327043</v>
      </c>
      <c r="O134" s="32">
        <f>O135/O$103</f>
        <v>39.692040079817687</v>
      </c>
    </row>
    <row r="135" spans="1:20">
      <c r="A135" s="34" t="s">
        <v>64</v>
      </c>
      <c r="B135" s="35" t="s">
        <v>57</v>
      </c>
      <c r="C135" s="36">
        <f t="shared" ref="C135:N135" si="94">C$103*C134</f>
        <v>15945.746139490197</v>
      </c>
      <c r="D135" s="37">
        <f t="shared" si="94"/>
        <v>20041.605039596558</v>
      </c>
      <c r="E135" s="36">
        <f t="shared" si="94"/>
        <v>16976.024843584964</v>
      </c>
      <c r="F135" s="37">
        <f t="shared" si="94"/>
        <v>14387.206569119242</v>
      </c>
      <c r="G135" s="36">
        <f t="shared" si="94"/>
        <v>23025.663941167066</v>
      </c>
      <c r="H135" s="37">
        <f t="shared" si="94"/>
        <v>30184.215741718792</v>
      </c>
      <c r="I135" s="36">
        <f t="shared" si="94"/>
        <v>30435.624333256423</v>
      </c>
      <c r="J135" s="37">
        <f t="shared" si="94"/>
        <v>31973.263866986672</v>
      </c>
      <c r="K135" s="36">
        <f t="shared" si="94"/>
        <v>27457.996945826537</v>
      </c>
      <c r="L135" s="37">
        <f t="shared" si="94"/>
        <v>26238.701240414954</v>
      </c>
      <c r="M135" s="36">
        <f t="shared" si="94"/>
        <v>21607.768216086715</v>
      </c>
      <c r="N135" s="37">
        <f t="shared" si="94"/>
        <v>17921.174353461429</v>
      </c>
      <c r="O135" s="38">
        <f>SUM(C135:N135)</f>
        <v>276194.99123070959</v>
      </c>
      <c r="P135" s="57"/>
      <c r="Q135" s="57"/>
      <c r="R135" s="57"/>
      <c r="S135" s="41"/>
      <c r="T135" s="8"/>
    </row>
    <row r="136" spans="1:20" ht="15.75">
      <c r="A136" s="42"/>
      <c r="B136" s="35" t="s">
        <v>58</v>
      </c>
      <c r="C136" s="43">
        <f>C40</f>
        <v>0.2185</v>
      </c>
      <c r="D136" s="44">
        <f t="shared" ref="D136:N136" si="95">C136</f>
        <v>0.2185</v>
      </c>
      <c r="E136" s="43">
        <f t="shared" si="95"/>
        <v>0.2185</v>
      </c>
      <c r="F136" s="44">
        <f t="shared" si="95"/>
        <v>0.2185</v>
      </c>
      <c r="G136" s="43">
        <f t="shared" si="95"/>
        <v>0.2185</v>
      </c>
      <c r="H136" s="44">
        <f t="shared" si="95"/>
        <v>0.2185</v>
      </c>
      <c r="I136" s="43">
        <f t="shared" si="95"/>
        <v>0.2185</v>
      </c>
      <c r="J136" s="44">
        <f t="shared" si="95"/>
        <v>0.2185</v>
      </c>
      <c r="K136" s="43">
        <f t="shared" si="95"/>
        <v>0.2185</v>
      </c>
      <c r="L136" s="44">
        <f t="shared" si="95"/>
        <v>0.2185</v>
      </c>
      <c r="M136" s="43">
        <f t="shared" si="95"/>
        <v>0.2185</v>
      </c>
      <c r="N136" s="44">
        <f t="shared" si="95"/>
        <v>0.2185</v>
      </c>
      <c r="O136" s="45">
        <f>IF(O135=0,0,+O137/O135)</f>
        <v>0.21849999999999997</v>
      </c>
      <c r="P136" s="46"/>
      <c r="Q136" s="47"/>
      <c r="R136" s="47"/>
      <c r="S136" s="41"/>
      <c r="T136" s="8"/>
    </row>
    <row r="137" spans="1:20">
      <c r="A137" s="42"/>
      <c r="B137" s="35" t="s">
        <v>15</v>
      </c>
      <c r="C137" s="48">
        <f t="shared" ref="C137:N137" si="96">C135*C136</f>
        <v>3484.1455314786081</v>
      </c>
      <c r="D137" s="49">
        <f t="shared" si="96"/>
        <v>4379.0907011518475</v>
      </c>
      <c r="E137" s="48">
        <f t="shared" si="96"/>
        <v>3709.2614283233147</v>
      </c>
      <c r="F137" s="49">
        <f t="shared" si="96"/>
        <v>3143.6046353525544</v>
      </c>
      <c r="G137" s="48">
        <f t="shared" si="96"/>
        <v>5031.1075711450039</v>
      </c>
      <c r="H137" s="49">
        <f t="shared" si="96"/>
        <v>6595.2511395655556</v>
      </c>
      <c r="I137" s="48">
        <f t="shared" si="96"/>
        <v>6650.1839168165279</v>
      </c>
      <c r="J137" s="49">
        <f t="shared" si="96"/>
        <v>6986.1581549365874</v>
      </c>
      <c r="K137" s="48">
        <f t="shared" si="96"/>
        <v>5999.5723326630987</v>
      </c>
      <c r="L137" s="49">
        <f t="shared" si="96"/>
        <v>5733.1562210306674</v>
      </c>
      <c r="M137" s="48">
        <f t="shared" si="96"/>
        <v>4721.2973552149469</v>
      </c>
      <c r="N137" s="49">
        <f t="shared" si="96"/>
        <v>3915.7765962313224</v>
      </c>
      <c r="O137" s="50">
        <f>SUM(C137:N137)</f>
        <v>60348.605583910037</v>
      </c>
      <c r="P137" s="40"/>
      <c r="Q137" s="40"/>
      <c r="R137" s="40"/>
      <c r="S137" s="41"/>
    </row>
    <row r="138" spans="1:20" ht="16.5" thickBot="1">
      <c r="A138" s="51"/>
      <c r="B138" s="52" t="s">
        <v>59</v>
      </c>
      <c r="C138" s="53">
        <f t="shared" ref="C138:O138" si="97">C137/C$103</f>
        <v>8.8942404816745846</v>
      </c>
      <c r="D138" s="54">
        <f t="shared" si="97"/>
        <v>10.385248143792337</v>
      </c>
      <c r="E138" s="53">
        <f t="shared" si="97"/>
        <v>8.535081148078028</v>
      </c>
      <c r="F138" s="54">
        <f t="shared" si="97"/>
        <v>7.2450202375341481</v>
      </c>
      <c r="G138" s="53">
        <f t="shared" si="97"/>
        <v>8.8204318302359042</v>
      </c>
      <c r="H138" s="54">
        <f t="shared" si="97"/>
        <v>8.5482745138415446</v>
      </c>
      <c r="I138" s="53">
        <f t="shared" si="97"/>
        <v>8.9075917906950668</v>
      </c>
      <c r="J138" s="54">
        <f t="shared" si="97"/>
        <v>8.7199918213427559</v>
      </c>
      <c r="K138" s="53">
        <f t="shared" si="97"/>
        <v>8.8304586501422619</v>
      </c>
      <c r="L138" s="54">
        <f t="shared" si="97"/>
        <v>8.2358424793881557</v>
      </c>
      <c r="M138" s="53">
        <f t="shared" si="97"/>
        <v>8.4981006563672832</v>
      </c>
      <c r="N138" s="54">
        <f t="shared" si="97"/>
        <v>8.5911945723104584</v>
      </c>
      <c r="O138" s="55">
        <f t="shared" si="97"/>
        <v>8.6727107574401625</v>
      </c>
      <c r="P138" s="56"/>
      <c r="Q138" s="57"/>
      <c r="R138" s="57"/>
      <c r="S138" s="41"/>
    </row>
    <row r="139" spans="1:20">
      <c r="A139" s="69" t="s">
        <v>67</v>
      </c>
      <c r="B139" s="29" t="s">
        <v>55</v>
      </c>
      <c r="C139" s="30">
        <f>AVERAGE('Lex WTPs 2007-2010'!G60,'2011 Actual Costs'!C139)</f>
        <v>320.47297225894363</v>
      </c>
      <c r="D139" s="31">
        <f>AVERAGE('Lex WTPs 2007-2010'!L60,'2011 Actual Costs'!D139)</f>
        <v>309.26794725146272</v>
      </c>
      <c r="E139" s="30">
        <f>AVERAGE('Lex WTPs 2007-2010'!Q60,'2011 Actual Costs'!E139)</f>
        <v>308.2477741174834</v>
      </c>
      <c r="F139" s="31">
        <f>AVERAGE('Lex WTPs 2007-2010'!V60,'2011 Actual Costs'!F139)</f>
        <v>339.30044000337955</v>
      </c>
      <c r="G139" s="30">
        <f>AVERAGE('Lex WTPs 2007-2010'!AA60,'2011 Actual Costs'!G139)</f>
        <v>319.50701952831741</v>
      </c>
      <c r="H139" s="31">
        <f>AVERAGE('Lex WTPs 2007-2010'!AF60,'2011 Actual Costs'!H139)</f>
        <v>344.21842540759678</v>
      </c>
      <c r="I139" s="30">
        <f>AVERAGE('Lex WTPs 2007-2010'!AK60,'2011 Actual Costs'!I139)</f>
        <v>292.34665481184618</v>
      </c>
      <c r="J139" s="31">
        <f>AVERAGE('Lex WTPs 2007-2010'!AP60,'2011 Actual Costs'!J139)</f>
        <v>247.93811737184734</v>
      </c>
      <c r="K139" s="30">
        <f>AVERAGE('Lex WTPs 2007-2010'!AU60,'2011 Actual Costs'!K139)</f>
        <v>255.97630941775714</v>
      </c>
      <c r="L139" s="31">
        <f>AVERAGE('Lex WTPs 2007-2010'!AZ60,'2011 Actual Costs'!L139)</f>
        <v>225.86411333810724</v>
      </c>
      <c r="M139" s="30">
        <f>AVERAGE('Lex WTPs 2007-2010'!BE60,'2011 Actual Costs'!M139)</f>
        <v>284.69250411020965</v>
      </c>
      <c r="N139" s="31">
        <f>AVERAGE('Lex WTPs 2007-2010'!BJ60,'2011 Actual Costs'!N139)</f>
        <v>405.70399121158687</v>
      </c>
      <c r="O139" s="32">
        <f>O140/O$103</f>
        <v>298.35299424325439</v>
      </c>
    </row>
    <row r="140" spans="1:20">
      <c r="A140" s="34" t="s">
        <v>64</v>
      </c>
      <c r="B140" s="35" t="s">
        <v>57</v>
      </c>
      <c r="C140" s="36">
        <f t="shared" ref="C140:N140" si="98">C$103*C139</f>
        <v>125539.04704468262</v>
      </c>
      <c r="D140" s="37">
        <f t="shared" si="98"/>
        <v>130407.32134866947</v>
      </c>
      <c r="E140" s="36">
        <f t="shared" si="98"/>
        <v>133961.41865129999</v>
      </c>
      <c r="F140" s="37">
        <f t="shared" si="98"/>
        <v>147222.00918721146</v>
      </c>
      <c r="G140" s="36">
        <f t="shared" si="98"/>
        <v>182244.386207098</v>
      </c>
      <c r="H140" s="37">
        <f t="shared" si="98"/>
        <v>265574.87815265497</v>
      </c>
      <c r="I140" s="36">
        <f t="shared" si="98"/>
        <v>218258.65706999897</v>
      </c>
      <c r="J140" s="37">
        <f t="shared" si="98"/>
        <v>198639.50977080522</v>
      </c>
      <c r="K140" s="36">
        <f t="shared" si="98"/>
        <v>173914.90574221112</v>
      </c>
      <c r="L140" s="37">
        <f t="shared" si="98"/>
        <v>157229.11769290481</v>
      </c>
      <c r="M140" s="36">
        <f t="shared" si="98"/>
        <v>158166.86822813284</v>
      </c>
      <c r="N140" s="37">
        <f t="shared" si="98"/>
        <v>184915.63430587394</v>
      </c>
      <c r="O140" s="38">
        <f>SUM(C140:N140)</f>
        <v>2076073.7534015432</v>
      </c>
    </row>
    <row r="141" spans="1:20">
      <c r="A141" s="42"/>
      <c r="B141" s="35" t="s">
        <v>58</v>
      </c>
      <c r="C141" s="43">
        <f>C45</f>
        <v>0.16124649999999999</v>
      </c>
      <c r="D141" s="44">
        <f t="shared" ref="D141:N141" si="99">C141</f>
        <v>0.16124649999999999</v>
      </c>
      <c r="E141" s="43">
        <f t="shared" si="99"/>
        <v>0.16124649999999999</v>
      </c>
      <c r="F141" s="44">
        <f t="shared" si="99"/>
        <v>0.16124649999999999</v>
      </c>
      <c r="G141" s="43">
        <f t="shared" si="99"/>
        <v>0.16124649999999999</v>
      </c>
      <c r="H141" s="44">
        <f t="shared" si="99"/>
        <v>0.16124649999999999</v>
      </c>
      <c r="I141" s="43">
        <f t="shared" si="99"/>
        <v>0.16124649999999999</v>
      </c>
      <c r="J141" s="44">
        <f t="shared" si="99"/>
        <v>0.16124649999999999</v>
      </c>
      <c r="K141" s="43">
        <f t="shared" si="99"/>
        <v>0.16124649999999999</v>
      </c>
      <c r="L141" s="44">
        <f t="shared" si="99"/>
        <v>0.16124649999999999</v>
      </c>
      <c r="M141" s="43">
        <f t="shared" si="99"/>
        <v>0.16124649999999999</v>
      </c>
      <c r="N141" s="44">
        <f t="shared" si="99"/>
        <v>0.16124649999999999</v>
      </c>
      <c r="O141" s="45">
        <f>IF(O140=0,0,+O142/O140)</f>
        <v>0.16124649999999999</v>
      </c>
    </row>
    <row r="142" spans="1:20">
      <c r="A142" s="42"/>
      <c r="B142" s="35" t="s">
        <v>15</v>
      </c>
      <c r="C142" s="48">
        <f t="shared" ref="C142:N142" si="100">C140*C141</f>
        <v>20242.731949290413</v>
      </c>
      <c r="D142" s="49">
        <f t="shared" si="100"/>
        <v>21027.72414184823</v>
      </c>
      <c r="E142" s="48">
        <f t="shared" si="100"/>
        <v>21600.809892556841</v>
      </c>
      <c r="F142" s="49">
        <f t="shared" si="100"/>
        <v>23739.033704405691</v>
      </c>
      <c r="G142" s="48">
        <f t="shared" si="100"/>
        <v>29386.269420542823</v>
      </c>
      <c r="H142" s="49">
        <f t="shared" si="100"/>
        <v>42823.019590042073</v>
      </c>
      <c r="I142" s="48">
        <f t="shared" si="100"/>
        <v>35193.444547237588</v>
      </c>
      <c r="J142" s="49">
        <f t="shared" si="100"/>
        <v>32029.92571225814</v>
      </c>
      <c r="K142" s="48">
        <f t="shared" si="100"/>
        <v>28043.169848761445</v>
      </c>
      <c r="L142" s="49">
        <f t="shared" si="100"/>
        <v>25352.644926068973</v>
      </c>
      <c r="M142" s="48">
        <f t="shared" si="100"/>
        <v>25503.85391774762</v>
      </c>
      <c r="N142" s="49">
        <f t="shared" si="100"/>
        <v>29816.998827102099</v>
      </c>
      <c r="O142" s="50">
        <f>SUM(C142:N142)</f>
        <v>334759.62647786189</v>
      </c>
    </row>
    <row r="143" spans="1:20" ht="13.5" thickBot="1">
      <c r="A143" s="51"/>
      <c r="B143" s="52" t="s">
        <v>59</v>
      </c>
      <c r="C143" s="53">
        <f t="shared" ref="C143:O143" si="101">C142/C$103</f>
        <v>51.67514512135174</v>
      </c>
      <c r="D143" s="54">
        <f t="shared" si="101"/>
        <v>49.868374056482978</v>
      </c>
      <c r="E143" s="53">
        <f t="shared" si="101"/>
        <v>49.703874709234782</v>
      </c>
      <c r="F143" s="54">
        <f t="shared" si="101"/>
        <v>54.711008399004939</v>
      </c>
      <c r="G143" s="53">
        <f t="shared" si="101"/>
        <v>51.519388624372823</v>
      </c>
      <c r="H143" s="54">
        <f t="shared" si="101"/>
        <v>55.504016332486046</v>
      </c>
      <c r="I143" s="53">
        <f t="shared" si="101"/>
        <v>47.139874875118359</v>
      </c>
      <c r="J143" s="54">
        <f t="shared" si="101"/>
        <v>39.979153642799574</v>
      </c>
      <c r="K143" s="53">
        <f t="shared" si="101"/>
        <v>41.275283976530375</v>
      </c>
      <c r="L143" s="54">
        <f t="shared" si="101"/>
        <v>36.41979775137311</v>
      </c>
      <c r="M143" s="53">
        <f t="shared" si="101"/>
        <v>45.905669864006917</v>
      </c>
      <c r="N143" s="54">
        <f t="shared" si="101"/>
        <v>65.418348618899131</v>
      </c>
      <c r="O143" s="55">
        <f t="shared" si="101"/>
        <v>48.10837608624491</v>
      </c>
    </row>
    <row r="144" spans="1:20">
      <c r="A144" s="28" t="s">
        <v>68</v>
      </c>
      <c r="B144" s="29" t="s">
        <v>55</v>
      </c>
      <c r="C144" s="30">
        <f>AVERAGE('Lex WTPs 2007-2010'!G52,'2011 Actual Costs'!C144)</f>
        <v>21.261236720593573</v>
      </c>
      <c r="D144" s="31">
        <f>AVERAGE('Lex WTPs 2007-2010'!L52,'2011 Actual Costs'!D144)</f>
        <v>23.31090578437934</v>
      </c>
      <c r="E144" s="30">
        <f>AVERAGE('Lex WTPs 2007-2010'!Q52,'2011 Actual Costs'!E144)</f>
        <v>21.48162404689111</v>
      </c>
      <c r="F144" s="31">
        <f>AVERAGE('Lex WTPs 2007-2010'!V52,'2011 Actual Costs'!F144)</f>
        <v>20.827873827129679</v>
      </c>
      <c r="G144" s="30">
        <f>AVERAGE('Lex WTPs 2007-2010'!AA52,'2011 Actual Costs'!G144)</f>
        <v>21.084406768333956</v>
      </c>
      <c r="H144" s="31">
        <f>AVERAGE('Lex WTPs 2007-2010'!AF52,'2011 Actual Costs'!H144)</f>
        <v>19.091014796556859</v>
      </c>
      <c r="I144" s="30">
        <f>AVERAGE('Lex WTPs 2007-2010'!AK52,'2011 Actual Costs'!I144)</f>
        <v>19.965635781230134</v>
      </c>
      <c r="J144" s="31">
        <f>AVERAGE('Lex WTPs 2007-2010'!AP52,'2011 Actual Costs'!J144)</f>
        <v>21.939580142984759</v>
      </c>
      <c r="K144" s="30">
        <f>AVERAGE('Lex WTPs 2007-2010'!AU52,'2011 Actual Costs'!K144)</f>
        <v>22.209291407363818</v>
      </c>
      <c r="L144" s="31">
        <f>AVERAGE('Lex WTPs 2007-2010'!AZ52,'2011 Actual Costs'!L144)</f>
        <v>21.404474551911843</v>
      </c>
      <c r="M144" s="30">
        <f>AVERAGE('Lex WTPs 2007-2010'!BE52,'2011 Actual Costs'!M144)</f>
        <v>22.997473345760262</v>
      </c>
      <c r="N144" s="31">
        <f>AVERAGE('Lex WTPs 2007-2010'!BJ52,'2011 Actual Costs'!N144)</f>
        <v>22.684838154449857</v>
      </c>
      <c r="O144" s="32">
        <f>O145/O$103</f>
        <v>21.394925346046357</v>
      </c>
    </row>
    <row r="145" spans="1:19">
      <c r="A145" s="34" t="s">
        <v>64</v>
      </c>
      <c r="B145" s="35" t="s">
        <v>57</v>
      </c>
      <c r="C145" s="36">
        <f t="shared" ref="C145:N145" si="102">C$103*C144</f>
        <v>8328.6755138217177</v>
      </c>
      <c r="D145" s="37">
        <f t="shared" si="102"/>
        <v>9829.3819601046198</v>
      </c>
      <c r="E145" s="36">
        <f t="shared" si="102"/>
        <v>9335.7002836251559</v>
      </c>
      <c r="F145" s="37">
        <f t="shared" si="102"/>
        <v>9037.1867242412791</v>
      </c>
      <c r="G145" s="36">
        <f t="shared" si="102"/>
        <v>12026.386073484213</v>
      </c>
      <c r="H145" s="37">
        <f t="shared" si="102"/>
        <v>14729.292664686698</v>
      </c>
      <c r="I145" s="36">
        <f t="shared" si="102"/>
        <v>14905.841340871848</v>
      </c>
      <c r="J145" s="37">
        <f t="shared" si="102"/>
        <v>17577.238588303615</v>
      </c>
      <c r="K145" s="36">
        <f t="shared" si="102"/>
        <v>15089.391789805348</v>
      </c>
      <c r="L145" s="37">
        <f t="shared" si="102"/>
        <v>14900.138843391593</v>
      </c>
      <c r="M145" s="36">
        <f t="shared" si="102"/>
        <v>12776.726762186692</v>
      </c>
      <c r="N145" s="37">
        <f t="shared" si="102"/>
        <v>10339.511878916866</v>
      </c>
      <c r="O145" s="38">
        <f>SUM(C145:N145)</f>
        <v>148875.47242343967</v>
      </c>
      <c r="P145" s="68"/>
      <c r="Q145" s="68"/>
      <c r="R145" s="33"/>
      <c r="S145" s="41"/>
    </row>
    <row r="146" spans="1:19" ht="15.75">
      <c r="A146" s="42"/>
      <c r="B146" s="35" t="s">
        <v>58</v>
      </c>
      <c r="C146" s="43">
        <f>'Price Changes'!F29</f>
        <v>0.37897200000000009</v>
      </c>
      <c r="D146" s="44">
        <f t="shared" ref="D146:N146" si="103">C146</f>
        <v>0.37897200000000009</v>
      </c>
      <c r="E146" s="43">
        <f t="shared" si="103"/>
        <v>0.37897200000000009</v>
      </c>
      <c r="F146" s="44">
        <f t="shared" si="103"/>
        <v>0.37897200000000009</v>
      </c>
      <c r="G146" s="43">
        <f t="shared" si="103"/>
        <v>0.37897200000000009</v>
      </c>
      <c r="H146" s="44">
        <f t="shared" si="103"/>
        <v>0.37897200000000009</v>
      </c>
      <c r="I146" s="43">
        <f t="shared" si="103"/>
        <v>0.37897200000000009</v>
      </c>
      <c r="J146" s="44">
        <f t="shared" si="103"/>
        <v>0.37897200000000009</v>
      </c>
      <c r="K146" s="43">
        <f t="shared" si="103"/>
        <v>0.37897200000000009</v>
      </c>
      <c r="L146" s="44">
        <f t="shared" si="103"/>
        <v>0.37897200000000009</v>
      </c>
      <c r="M146" s="43">
        <f t="shared" si="103"/>
        <v>0.37897200000000009</v>
      </c>
      <c r="N146" s="44">
        <f t="shared" si="103"/>
        <v>0.37897200000000009</v>
      </c>
      <c r="O146" s="45">
        <f>IF(O145=0,0,+O147/O145)</f>
        <v>0.37897200000000003</v>
      </c>
      <c r="P146" s="80"/>
      <c r="Q146" s="46"/>
      <c r="R146" s="47"/>
      <c r="S146" s="41"/>
    </row>
    <row r="147" spans="1:19">
      <c r="A147" s="42"/>
      <c r="B147" s="35" t="s">
        <v>15</v>
      </c>
      <c r="C147" s="48">
        <f t="shared" ref="C147:N147" si="104">C145*C146</f>
        <v>3156.3348168240445</v>
      </c>
      <c r="D147" s="49">
        <f t="shared" si="104"/>
        <v>3725.0605401847688</v>
      </c>
      <c r="E147" s="48">
        <f t="shared" si="104"/>
        <v>3537.9690078859935</v>
      </c>
      <c r="F147" s="49">
        <f t="shared" si="104"/>
        <v>3424.8407272591667</v>
      </c>
      <c r="G147" s="48">
        <f t="shared" si="104"/>
        <v>4557.6635830404603</v>
      </c>
      <c r="H147" s="49">
        <f t="shared" si="104"/>
        <v>5581.9894997216488</v>
      </c>
      <c r="I147" s="48">
        <f t="shared" si="104"/>
        <v>5648.8965046328876</v>
      </c>
      <c r="J147" s="49">
        <f t="shared" si="104"/>
        <v>6661.2812622865995</v>
      </c>
      <c r="K147" s="48">
        <f t="shared" si="104"/>
        <v>5718.4569853661133</v>
      </c>
      <c r="L147" s="49">
        <f t="shared" si="104"/>
        <v>5646.7354177578</v>
      </c>
      <c r="M147" s="48">
        <f t="shared" si="104"/>
        <v>4842.0216945194161</v>
      </c>
      <c r="N147" s="49">
        <f t="shared" si="104"/>
        <v>3918.3854957768835</v>
      </c>
      <c r="O147" s="50">
        <f>SUM(C147:N147)</f>
        <v>56419.635535255788</v>
      </c>
      <c r="P147" s="40"/>
      <c r="Q147" s="40"/>
      <c r="R147" s="40"/>
      <c r="S147" s="41"/>
    </row>
    <row r="148" spans="1:19" ht="16.5" thickBot="1">
      <c r="A148" s="51"/>
      <c r="B148" s="52" t="s">
        <v>59</v>
      </c>
      <c r="C148" s="53">
        <f t="shared" ref="C148:O148" si="105">C147/C$103</f>
        <v>8.0574134024767883</v>
      </c>
      <c r="D148" s="54">
        <f t="shared" si="105"/>
        <v>8.8341805869178085</v>
      </c>
      <c r="E148" s="53">
        <f t="shared" si="105"/>
        <v>8.1409340282984193</v>
      </c>
      <c r="F148" s="54">
        <f t="shared" si="105"/>
        <v>7.89318100001499</v>
      </c>
      <c r="G148" s="53">
        <f t="shared" si="105"/>
        <v>7.9903998018090583</v>
      </c>
      <c r="H148" s="54">
        <f t="shared" si="105"/>
        <v>7.2349600594807475</v>
      </c>
      <c r="I148" s="53">
        <f t="shared" si="105"/>
        <v>7.5664169232843488</v>
      </c>
      <c r="J148" s="54">
        <f t="shared" si="105"/>
        <v>8.3144865659472238</v>
      </c>
      <c r="K148" s="53">
        <f t="shared" si="105"/>
        <v>8.4166995832314822</v>
      </c>
      <c r="L148" s="54">
        <f t="shared" si="105"/>
        <v>8.1116965298871371</v>
      </c>
      <c r="M148" s="53">
        <f t="shared" si="105"/>
        <v>8.7153984687894592</v>
      </c>
      <c r="N148" s="54">
        <f t="shared" si="105"/>
        <v>8.5969184850681728</v>
      </c>
      <c r="O148" s="55">
        <f t="shared" si="105"/>
        <v>8.1080776482418813</v>
      </c>
      <c r="P148" s="80"/>
      <c r="Q148" s="56"/>
      <c r="R148" s="57"/>
      <c r="S148" s="41"/>
    </row>
    <row r="149" spans="1:19">
      <c r="A149" s="28" t="s">
        <v>69</v>
      </c>
      <c r="B149" s="29" t="s">
        <v>55</v>
      </c>
      <c r="C149" s="30">
        <f>AVERAGE('Lex WTPs 2007-2010'!G58,'2011 Actual Costs'!C149)</f>
        <v>1.4260038537515567</v>
      </c>
      <c r="D149" s="31">
        <f>AVERAGE('Lex WTPs 2007-2010'!L58,'2011 Actual Costs'!D149)</f>
        <v>1.4675206527441855</v>
      </c>
      <c r="E149" s="30">
        <f>AVERAGE('Lex WTPs 2007-2010'!Q58,'2011 Actual Costs'!E149)</f>
        <v>1.5124089885877106</v>
      </c>
      <c r="F149" s="31">
        <f>AVERAGE('Lex WTPs 2007-2010'!V58,'2011 Actual Costs'!F149)</f>
        <v>0.97170763087263201</v>
      </c>
      <c r="G149" s="30">
        <f>AVERAGE('Lex WTPs 2007-2010'!AA58,'2011 Actual Costs'!G149)</f>
        <v>1.060902499042752</v>
      </c>
      <c r="H149" s="31">
        <f>AVERAGE('Lex WTPs 2007-2010'!AF58,'2011 Actual Costs'!H149)</f>
        <v>0.41438814034711469</v>
      </c>
      <c r="I149" s="30">
        <f>AVERAGE('Lex WTPs 2007-2010'!AK58,'2011 Actual Costs'!I149)</f>
        <v>0.9919146848123499</v>
      </c>
      <c r="J149" s="31">
        <f>AVERAGE('Lex WTPs 2007-2010'!AP58,'2011 Actual Costs'!J149)</f>
        <v>1.1194678297546332</v>
      </c>
      <c r="K149" s="30">
        <f>AVERAGE('Lex WTPs 2007-2010'!AU58,'2011 Actual Costs'!K149)</f>
        <v>0.60460511366004976</v>
      </c>
      <c r="L149" s="31">
        <f>AVERAGE('Lex WTPs 2007-2010'!AZ58,'2011 Actual Costs'!L149)</f>
        <v>0.64066099997855341</v>
      </c>
      <c r="M149" s="30">
        <f>AVERAGE('Lex WTPs 2007-2010'!BE58,'2011 Actual Costs'!M149)</f>
        <v>1.1304001259364775</v>
      </c>
      <c r="N149" s="31">
        <f>AVERAGE('Lex WTPs 2007-2010'!BJ58,'2011 Actual Costs'!N149)</f>
        <v>0.93378650409926012</v>
      </c>
      <c r="O149" s="32">
        <f>O150/O$103</f>
        <v>0.96702001495303558</v>
      </c>
    </row>
    <row r="150" spans="1:19">
      <c r="A150" s="34" t="s">
        <v>56</v>
      </c>
      <c r="B150" s="35" t="s">
        <v>57</v>
      </c>
      <c r="C150" s="36">
        <f t="shared" ref="C150:N150" si="106">C$103*C149</f>
        <v>558.60924439321241</v>
      </c>
      <c r="D150" s="37">
        <f t="shared" si="106"/>
        <v>618.80139551809009</v>
      </c>
      <c r="E150" s="36">
        <f t="shared" si="106"/>
        <v>657.27791310820055</v>
      </c>
      <c r="F150" s="37">
        <f t="shared" si="106"/>
        <v>421.62264734519414</v>
      </c>
      <c r="G150" s="36">
        <f t="shared" si="106"/>
        <v>605.13075753093744</v>
      </c>
      <c r="H150" s="37">
        <f t="shared" si="106"/>
        <v>319.71292573974301</v>
      </c>
      <c r="I150" s="36">
        <f t="shared" si="106"/>
        <v>740.5385472068765</v>
      </c>
      <c r="J150" s="37">
        <f t="shared" si="106"/>
        <v>896.8792022129677</v>
      </c>
      <c r="K150" s="36">
        <f t="shared" si="106"/>
        <v>410.77958187857257</v>
      </c>
      <c r="L150" s="37">
        <f t="shared" si="106"/>
        <v>445.97861199885904</v>
      </c>
      <c r="M150" s="36">
        <f t="shared" si="106"/>
        <v>628.01740538572813</v>
      </c>
      <c r="N150" s="37">
        <f t="shared" si="106"/>
        <v>425.61011834297125</v>
      </c>
      <c r="O150" s="38">
        <f>SUM(C150:N150)</f>
        <v>6728.9583506613526</v>
      </c>
      <c r="P150" s="39"/>
      <c r="Q150" s="39"/>
      <c r="R150" s="39"/>
      <c r="S150" s="41"/>
    </row>
    <row r="151" spans="1:19" ht="15.75">
      <c r="A151" s="42"/>
      <c r="B151" s="35" t="s">
        <v>58</v>
      </c>
      <c r="C151" s="43">
        <f>'Price Changes'!F30</f>
        <v>1.2474000000000003</v>
      </c>
      <c r="D151" s="44">
        <f t="shared" ref="D151:N151" si="107">C151</f>
        <v>1.2474000000000003</v>
      </c>
      <c r="E151" s="43">
        <f t="shared" si="107"/>
        <v>1.2474000000000003</v>
      </c>
      <c r="F151" s="44">
        <f t="shared" si="107"/>
        <v>1.2474000000000003</v>
      </c>
      <c r="G151" s="43">
        <f t="shared" si="107"/>
        <v>1.2474000000000003</v>
      </c>
      <c r="H151" s="44">
        <f t="shared" si="107"/>
        <v>1.2474000000000003</v>
      </c>
      <c r="I151" s="43">
        <f t="shared" si="107"/>
        <v>1.2474000000000003</v>
      </c>
      <c r="J151" s="44">
        <f t="shared" si="107"/>
        <v>1.2474000000000003</v>
      </c>
      <c r="K151" s="43">
        <f t="shared" si="107"/>
        <v>1.2474000000000003</v>
      </c>
      <c r="L151" s="44">
        <f t="shared" si="107"/>
        <v>1.2474000000000003</v>
      </c>
      <c r="M151" s="43">
        <f t="shared" si="107"/>
        <v>1.2474000000000003</v>
      </c>
      <c r="N151" s="44">
        <f t="shared" si="107"/>
        <v>1.2474000000000003</v>
      </c>
      <c r="O151" s="45">
        <f>IF(O150=0,0,+O152/O150)</f>
        <v>1.2474000000000005</v>
      </c>
      <c r="P151" s="46"/>
      <c r="Q151" s="47"/>
      <c r="R151" s="47"/>
      <c r="S151" s="41"/>
    </row>
    <row r="152" spans="1:19">
      <c r="A152" s="42"/>
      <c r="B152" s="35" t="s">
        <v>15</v>
      </c>
      <c r="C152" s="48">
        <f t="shared" ref="C152:N152" si="108">C150*C151</f>
        <v>696.80917145609328</v>
      </c>
      <c r="D152" s="49">
        <f t="shared" si="108"/>
        <v>771.89286076926578</v>
      </c>
      <c r="E152" s="48">
        <f t="shared" si="108"/>
        <v>819.88846881116956</v>
      </c>
      <c r="F152" s="49">
        <f t="shared" si="108"/>
        <v>525.93209029839534</v>
      </c>
      <c r="G152" s="48">
        <f t="shared" si="108"/>
        <v>754.84010694409153</v>
      </c>
      <c r="H152" s="49">
        <f t="shared" si="108"/>
        <v>398.80990356775555</v>
      </c>
      <c r="I152" s="48">
        <f t="shared" si="108"/>
        <v>923.74778378585791</v>
      </c>
      <c r="J152" s="49">
        <f t="shared" si="108"/>
        <v>1118.7671168404561</v>
      </c>
      <c r="K152" s="48">
        <f t="shared" si="108"/>
        <v>512.40645043533152</v>
      </c>
      <c r="L152" s="49">
        <f t="shared" si="108"/>
        <v>556.31372060737692</v>
      </c>
      <c r="M152" s="48">
        <f t="shared" si="108"/>
        <v>783.38891147815741</v>
      </c>
      <c r="N152" s="49">
        <f t="shared" si="108"/>
        <v>530.90606162102245</v>
      </c>
      <c r="O152" s="50">
        <f>SUM(C152:N152)</f>
        <v>8393.7026466149746</v>
      </c>
      <c r="P152" s="40"/>
      <c r="Q152" s="40"/>
      <c r="R152" s="40"/>
      <c r="S152" s="41"/>
    </row>
    <row r="153" spans="1:19" ht="16.5" thickBot="1">
      <c r="A153" s="51"/>
      <c r="B153" s="52" t="s">
        <v>59</v>
      </c>
      <c r="C153" s="53">
        <f t="shared" ref="C153:O153" si="109">C152/C$103</f>
        <v>1.7787972071696923</v>
      </c>
      <c r="D153" s="54">
        <f t="shared" si="109"/>
        <v>1.8305852622330976</v>
      </c>
      <c r="E153" s="53">
        <f t="shared" si="109"/>
        <v>1.8865789723643107</v>
      </c>
      <c r="F153" s="54">
        <f t="shared" si="109"/>
        <v>1.2121080987505215</v>
      </c>
      <c r="G153" s="53">
        <f t="shared" si="109"/>
        <v>1.3233697773059292</v>
      </c>
      <c r="H153" s="54">
        <f t="shared" si="109"/>
        <v>0.51690776626899093</v>
      </c>
      <c r="I153" s="53">
        <f t="shared" si="109"/>
        <v>1.2373143778349254</v>
      </c>
      <c r="J153" s="54">
        <f t="shared" si="109"/>
        <v>1.3964241708359297</v>
      </c>
      <c r="K153" s="53">
        <f t="shared" si="109"/>
        <v>0.75418441877954623</v>
      </c>
      <c r="L153" s="54">
        <f t="shared" si="109"/>
        <v>0.79916053137324783</v>
      </c>
      <c r="M153" s="53">
        <f t="shared" si="109"/>
        <v>1.4100611170931623</v>
      </c>
      <c r="N153" s="54">
        <f t="shared" si="109"/>
        <v>1.1648052852134172</v>
      </c>
      <c r="O153" s="55">
        <f t="shared" si="109"/>
        <v>1.206260766652417</v>
      </c>
      <c r="P153" s="56"/>
      <c r="Q153" s="57"/>
      <c r="R153" s="57"/>
      <c r="S153" s="41"/>
    </row>
    <row r="154" spans="1:19">
      <c r="A154" s="28" t="s">
        <v>70</v>
      </c>
      <c r="B154" s="29" t="s">
        <v>55</v>
      </c>
      <c r="C154" s="30">
        <f>AVERAGE('Lex WTPs 2007-2010'!G57,'2011 Actual Costs'!C154)</f>
        <v>0</v>
      </c>
      <c r="D154" s="31">
        <f>AVERAGE('Lex WTPs 2007-2010'!L57,'2011 Actual Costs'!D154)</f>
        <v>0</v>
      </c>
      <c r="E154" s="30">
        <f>AVERAGE('Lex WTPs 2007-2010'!Q57,'2011 Actual Costs'!E154)</f>
        <v>0</v>
      </c>
      <c r="F154" s="31">
        <f>AVERAGE('Lex WTPs 2007-2010'!V57,'2011 Actual Costs'!F154)</f>
        <v>0</v>
      </c>
      <c r="G154" s="30">
        <f>AVERAGE('Lex WTPs 2007-2010'!AA57,'2011 Actual Costs'!G154)</f>
        <v>0</v>
      </c>
      <c r="H154" s="31">
        <f>AVERAGE('Lex WTPs 2007-2010'!AF57,'2011 Actual Costs'!H154)</f>
        <v>0.44586686317472884</v>
      </c>
      <c r="I154" s="30">
        <f>AVERAGE('Lex WTPs 2007-2010'!AK57,'2011 Actual Costs'!I154)</f>
        <v>0.87509052436520451</v>
      </c>
      <c r="J154" s="31">
        <f>AVERAGE('Lex WTPs 2007-2010'!AP57,'2011 Actual Costs'!J154)</f>
        <v>0.39991432343985966</v>
      </c>
      <c r="K154" s="30">
        <f>AVERAGE('Lex WTPs 2007-2010'!AU57,'2011 Actual Costs'!K154)</f>
        <v>4.4219036933238108E-2</v>
      </c>
      <c r="L154" s="31">
        <f>AVERAGE('Lex WTPs 2007-2010'!AZ57,'2011 Actual Costs'!L154)</f>
        <v>3.7481865877004659E-2</v>
      </c>
      <c r="M154" s="30">
        <f>AVERAGE('Lex WTPs 2007-2010'!BE57,'2011 Actual Costs'!M154)</f>
        <v>0</v>
      </c>
      <c r="N154" s="31">
        <f>AVERAGE('Lex WTPs 2007-2010'!BJ57,'2011 Actual Costs'!N154)</f>
        <v>0</v>
      </c>
      <c r="O154" s="32">
        <f>O155/O$103</f>
        <v>0.19743671542730346</v>
      </c>
      <c r="P154" s="9"/>
      <c r="Q154" s="9"/>
      <c r="R154" s="9"/>
      <c r="S154" s="70"/>
    </row>
    <row r="155" spans="1:19">
      <c r="A155" s="34" t="s">
        <v>71</v>
      </c>
      <c r="B155" s="35" t="s">
        <v>57</v>
      </c>
      <c r="C155" s="65">
        <f t="shared" ref="C155:N155" si="110">C$103*C154</f>
        <v>0</v>
      </c>
      <c r="D155" s="66">
        <f t="shared" si="110"/>
        <v>0</v>
      </c>
      <c r="E155" s="65">
        <f t="shared" si="110"/>
        <v>0</v>
      </c>
      <c r="F155" s="66">
        <f t="shared" si="110"/>
        <v>0</v>
      </c>
      <c r="G155" s="65">
        <f t="shared" si="110"/>
        <v>0</v>
      </c>
      <c r="H155" s="66">
        <f t="shared" si="110"/>
        <v>343.99970809151756</v>
      </c>
      <c r="I155" s="65">
        <f t="shared" si="110"/>
        <v>653.32056830120223</v>
      </c>
      <c r="J155" s="66">
        <f t="shared" si="110"/>
        <v>320.39762986212389</v>
      </c>
      <c r="K155" s="65">
        <f t="shared" si="110"/>
        <v>30.043208520928758</v>
      </c>
      <c r="L155" s="66">
        <f t="shared" si="110"/>
        <v>26.091974569255065</v>
      </c>
      <c r="M155" s="65">
        <f t="shared" si="110"/>
        <v>0</v>
      </c>
      <c r="N155" s="66">
        <f t="shared" si="110"/>
        <v>0</v>
      </c>
      <c r="O155" s="67">
        <f>SUM(C155:N155)</f>
        <v>1373.8530893450277</v>
      </c>
      <c r="P155" s="15"/>
      <c r="Q155" s="15"/>
      <c r="R155" s="15"/>
      <c r="S155" s="71"/>
    </row>
    <row r="156" spans="1:19" ht="15.75">
      <c r="A156" s="34" t="s">
        <v>56</v>
      </c>
      <c r="B156" s="35" t="s">
        <v>58</v>
      </c>
      <c r="C156" s="43">
        <f>'Price Changes'!F31</f>
        <v>0</v>
      </c>
      <c r="D156" s="44">
        <f t="shared" ref="D156:N156" si="111">C156</f>
        <v>0</v>
      </c>
      <c r="E156" s="43">
        <f t="shared" si="111"/>
        <v>0</v>
      </c>
      <c r="F156" s="44">
        <f t="shared" si="111"/>
        <v>0</v>
      </c>
      <c r="G156" s="43">
        <f t="shared" si="111"/>
        <v>0</v>
      </c>
      <c r="H156" s="44">
        <f t="shared" si="111"/>
        <v>0</v>
      </c>
      <c r="I156" s="43">
        <f t="shared" si="111"/>
        <v>0</v>
      </c>
      <c r="J156" s="44">
        <f t="shared" si="111"/>
        <v>0</v>
      </c>
      <c r="K156" s="43">
        <f t="shared" si="111"/>
        <v>0</v>
      </c>
      <c r="L156" s="44">
        <f t="shared" si="111"/>
        <v>0</v>
      </c>
      <c r="M156" s="43">
        <f t="shared" si="111"/>
        <v>0</v>
      </c>
      <c r="N156" s="44">
        <f t="shared" si="111"/>
        <v>0</v>
      </c>
      <c r="O156" s="45">
        <f>IF(O155=0,0,+O157/O155)</f>
        <v>0</v>
      </c>
      <c r="P156" s="15"/>
      <c r="Q156" s="72"/>
      <c r="R156" s="15"/>
      <c r="S156" s="15"/>
    </row>
    <row r="157" spans="1:19">
      <c r="A157" s="42"/>
      <c r="B157" s="35" t="s">
        <v>15</v>
      </c>
      <c r="C157" s="48">
        <f t="shared" ref="C157:N157" si="112">C155*C156</f>
        <v>0</v>
      </c>
      <c r="D157" s="49">
        <f t="shared" si="112"/>
        <v>0</v>
      </c>
      <c r="E157" s="48">
        <f t="shared" si="112"/>
        <v>0</v>
      </c>
      <c r="F157" s="49">
        <f t="shared" si="112"/>
        <v>0</v>
      </c>
      <c r="G157" s="48">
        <f t="shared" si="112"/>
        <v>0</v>
      </c>
      <c r="H157" s="49">
        <f t="shared" si="112"/>
        <v>0</v>
      </c>
      <c r="I157" s="48">
        <f t="shared" si="112"/>
        <v>0</v>
      </c>
      <c r="J157" s="49">
        <f t="shared" si="112"/>
        <v>0</v>
      </c>
      <c r="K157" s="48">
        <f t="shared" si="112"/>
        <v>0</v>
      </c>
      <c r="L157" s="49">
        <f t="shared" si="112"/>
        <v>0</v>
      </c>
      <c r="M157" s="48">
        <f t="shared" si="112"/>
        <v>0</v>
      </c>
      <c r="N157" s="49">
        <f t="shared" si="112"/>
        <v>0</v>
      </c>
      <c r="O157" s="50">
        <f>SUM(C157:N157)</f>
        <v>0</v>
      </c>
      <c r="P157" s="15"/>
      <c r="Q157" s="15"/>
      <c r="R157" s="15"/>
      <c r="S157" s="15"/>
    </row>
    <row r="158" spans="1:19" ht="13.5" thickBot="1">
      <c r="A158" s="51"/>
      <c r="B158" s="52" t="s">
        <v>59</v>
      </c>
      <c r="C158" s="53">
        <f t="shared" ref="C158:O158" si="113">C157/C$103</f>
        <v>0</v>
      </c>
      <c r="D158" s="54">
        <f t="shared" si="113"/>
        <v>0</v>
      </c>
      <c r="E158" s="53">
        <f t="shared" si="113"/>
        <v>0</v>
      </c>
      <c r="F158" s="54">
        <f t="shared" si="113"/>
        <v>0</v>
      </c>
      <c r="G158" s="53">
        <f t="shared" si="113"/>
        <v>0</v>
      </c>
      <c r="H158" s="54">
        <f t="shared" si="113"/>
        <v>0</v>
      </c>
      <c r="I158" s="53">
        <f t="shared" si="113"/>
        <v>0</v>
      </c>
      <c r="J158" s="54">
        <f t="shared" si="113"/>
        <v>0</v>
      </c>
      <c r="K158" s="53">
        <f t="shared" si="113"/>
        <v>0</v>
      </c>
      <c r="L158" s="54">
        <f t="shared" si="113"/>
        <v>0</v>
      </c>
      <c r="M158" s="53">
        <f t="shared" si="113"/>
        <v>0</v>
      </c>
      <c r="N158" s="54">
        <f t="shared" si="113"/>
        <v>0</v>
      </c>
      <c r="O158" s="55">
        <f t="shared" si="113"/>
        <v>0</v>
      </c>
      <c r="P158" s="8"/>
      <c r="S158" s="41"/>
    </row>
    <row r="159" spans="1:19">
      <c r="A159" s="28" t="s">
        <v>72</v>
      </c>
      <c r="B159" s="29" t="s">
        <v>55</v>
      </c>
      <c r="C159" s="30">
        <f>AVERAGE('Lex WTPs 2007-2010'!G54,'2011 Actual Costs'!C159)</f>
        <v>3.8344488258634928</v>
      </c>
      <c r="D159" s="31">
        <f>AVERAGE('Lex WTPs 2007-2010'!L54,'2011 Actual Costs'!D159)</f>
        <v>4.0953803390688375</v>
      </c>
      <c r="E159" s="30">
        <f>AVERAGE('Lex WTPs 2007-2010'!Q54,'2011 Actual Costs'!E159)</f>
        <v>5.3207782897368716</v>
      </c>
      <c r="F159" s="31">
        <f>AVERAGE('Lex WTPs 2007-2010'!V54,'2011 Actual Costs'!F159)</f>
        <v>3.8225956387773969</v>
      </c>
      <c r="G159" s="30">
        <f>AVERAGE('Lex WTPs 2007-2010'!AA54,'2011 Actual Costs'!G159)</f>
        <v>2.6449965154907682</v>
      </c>
      <c r="H159" s="31">
        <f>AVERAGE('Lex WTPs 2007-2010'!AF54,'2011 Actual Costs'!H159)</f>
        <v>3.4440593797743775</v>
      </c>
      <c r="I159" s="30">
        <f>AVERAGE('Lex WTPs 2007-2010'!AK54,'2011 Actual Costs'!I159)</f>
        <v>3.1902332430371079</v>
      </c>
      <c r="J159" s="31">
        <f>AVERAGE('Lex WTPs 2007-2010'!AP54,'2011 Actual Costs'!J159)</f>
        <v>2.8848134679454618</v>
      </c>
      <c r="K159" s="30">
        <f>AVERAGE('Lex WTPs 2007-2010'!AU54,'2011 Actual Costs'!K159)</f>
        <v>3.4077321599157262</v>
      </c>
      <c r="L159" s="31">
        <f>AVERAGE('Lex WTPs 2007-2010'!AZ54,'2011 Actual Costs'!L159)</f>
        <v>3.1160118777733583</v>
      </c>
      <c r="M159" s="30">
        <f>AVERAGE('Lex WTPs 2007-2010'!BE54,'2011 Actual Costs'!M159)</f>
        <v>7.1178154811962022</v>
      </c>
      <c r="N159" s="31">
        <f>AVERAGE('Lex WTPs 2007-2010'!BJ54,'2011 Actual Costs'!N159)</f>
        <v>3.60071943481997</v>
      </c>
      <c r="O159" s="32">
        <f>O160/O$103</f>
        <v>3.7564108233668954</v>
      </c>
    </row>
    <row r="160" spans="1:19">
      <c r="A160" s="34" t="s">
        <v>56</v>
      </c>
      <c r="B160" s="35" t="s">
        <v>57</v>
      </c>
      <c r="C160" s="36">
        <f t="shared" ref="C160:N160" si="114">C$103*C159</f>
        <v>1502.0706680735418</v>
      </c>
      <c r="D160" s="37">
        <f t="shared" si="114"/>
        <v>1726.87659574281</v>
      </c>
      <c r="E160" s="36">
        <f t="shared" si="114"/>
        <v>2312.3573562303336</v>
      </c>
      <c r="F160" s="37">
        <f t="shared" si="114"/>
        <v>1658.6191584233577</v>
      </c>
      <c r="G160" s="36">
        <f t="shared" si="114"/>
        <v>1508.6859975632115</v>
      </c>
      <c r="H160" s="37">
        <f t="shared" si="114"/>
        <v>2657.1954974549208</v>
      </c>
      <c r="I160" s="36">
        <f t="shared" si="114"/>
        <v>2381.7478733029516</v>
      </c>
      <c r="J160" s="37">
        <f t="shared" si="114"/>
        <v>2311.2135363740158</v>
      </c>
      <c r="K160" s="36">
        <f t="shared" si="114"/>
        <v>2315.2744827616939</v>
      </c>
      <c r="L160" s="37">
        <f t="shared" si="114"/>
        <v>2169.1263433669928</v>
      </c>
      <c r="M160" s="36">
        <f t="shared" si="114"/>
        <v>3954.4510903269338</v>
      </c>
      <c r="N160" s="37">
        <f t="shared" si="114"/>
        <v>1641.1702439968669</v>
      </c>
      <c r="O160" s="38">
        <f>SUM(C160:N160)</f>
        <v>26138.788843617629</v>
      </c>
      <c r="P160" s="57"/>
      <c r="Q160" s="57"/>
      <c r="R160" s="60"/>
      <c r="S160" s="41"/>
    </row>
    <row r="161" spans="1:20" ht="15.75">
      <c r="A161" s="42"/>
      <c r="B161" s="35" t="s">
        <v>58</v>
      </c>
      <c r="C161" s="43">
        <f>'Price Changes'!F32</f>
        <v>0.16644799999999998</v>
      </c>
      <c r="D161" s="44">
        <f t="shared" ref="D161:N161" si="115">C161</f>
        <v>0.16644799999999998</v>
      </c>
      <c r="E161" s="43">
        <f t="shared" si="115"/>
        <v>0.16644799999999998</v>
      </c>
      <c r="F161" s="44">
        <f t="shared" si="115"/>
        <v>0.16644799999999998</v>
      </c>
      <c r="G161" s="43">
        <f t="shared" si="115"/>
        <v>0.16644799999999998</v>
      </c>
      <c r="H161" s="44">
        <f t="shared" si="115"/>
        <v>0.16644799999999998</v>
      </c>
      <c r="I161" s="43">
        <f t="shared" si="115"/>
        <v>0.16644799999999998</v>
      </c>
      <c r="J161" s="44">
        <f t="shared" si="115"/>
        <v>0.16644799999999998</v>
      </c>
      <c r="K161" s="43">
        <f t="shared" si="115"/>
        <v>0.16644799999999998</v>
      </c>
      <c r="L161" s="44">
        <f t="shared" si="115"/>
        <v>0.16644799999999998</v>
      </c>
      <c r="M161" s="43">
        <f t="shared" si="115"/>
        <v>0.16644799999999998</v>
      </c>
      <c r="N161" s="44">
        <f t="shared" si="115"/>
        <v>0.16644799999999998</v>
      </c>
      <c r="O161" s="45">
        <f>IF(O160=0,0,+O162/O160)</f>
        <v>0.16644799999999998</v>
      </c>
      <c r="P161" s="46"/>
      <c r="Q161" s="47"/>
      <c r="R161" s="47"/>
      <c r="S161" s="41"/>
    </row>
    <row r="162" spans="1:20">
      <c r="A162" s="42"/>
      <c r="B162" s="35" t="s">
        <v>15</v>
      </c>
      <c r="C162" s="48">
        <f t="shared" ref="C162:N162" si="116">C160*C161</f>
        <v>250.01665855950486</v>
      </c>
      <c r="D162" s="49">
        <f t="shared" si="116"/>
        <v>287.43515560819918</v>
      </c>
      <c r="E162" s="48">
        <f t="shared" si="116"/>
        <v>384.88725722982656</v>
      </c>
      <c r="F162" s="49">
        <f t="shared" si="116"/>
        <v>276.073841681251</v>
      </c>
      <c r="G162" s="48">
        <f t="shared" si="116"/>
        <v>251.11776692240139</v>
      </c>
      <c r="H162" s="49">
        <f t="shared" si="116"/>
        <v>442.2848761603766</v>
      </c>
      <c r="I162" s="48">
        <f t="shared" si="116"/>
        <v>396.43717001552966</v>
      </c>
      <c r="J162" s="49">
        <f t="shared" si="116"/>
        <v>384.69687070238217</v>
      </c>
      <c r="K162" s="48">
        <f t="shared" si="116"/>
        <v>385.37280710671837</v>
      </c>
      <c r="L162" s="49">
        <f t="shared" si="116"/>
        <v>361.04674160074921</v>
      </c>
      <c r="M162" s="48">
        <f t="shared" si="116"/>
        <v>658.21047508273739</v>
      </c>
      <c r="N162" s="49">
        <f t="shared" si="116"/>
        <v>273.1695047727905</v>
      </c>
      <c r="O162" s="50">
        <f>SUM(C162:N162)</f>
        <v>4350.7491254424667</v>
      </c>
      <c r="P162" s="40"/>
      <c r="Q162" s="40"/>
      <c r="R162" s="40"/>
      <c r="S162" s="41"/>
    </row>
    <row r="163" spans="1:20" ht="16.5" thickBot="1">
      <c r="A163" s="51"/>
      <c r="B163" s="52" t="s">
        <v>59</v>
      </c>
      <c r="C163" s="53">
        <f t="shared" ref="C163:O163" si="117">C162/C$103</f>
        <v>0.63823633816732661</v>
      </c>
      <c r="D163" s="54">
        <f t="shared" si="117"/>
        <v>0.6816678666773297</v>
      </c>
      <c r="E163" s="53">
        <f t="shared" si="117"/>
        <v>0.8856329047701228</v>
      </c>
      <c r="F163" s="54">
        <f t="shared" si="117"/>
        <v>0.63626339888322014</v>
      </c>
      <c r="G163" s="53">
        <f t="shared" si="117"/>
        <v>0.44025438001040734</v>
      </c>
      <c r="H163" s="54">
        <f t="shared" si="117"/>
        <v>0.57325679564468546</v>
      </c>
      <c r="I163" s="53">
        <f t="shared" si="117"/>
        <v>0.53100794283704045</v>
      </c>
      <c r="J163" s="54">
        <f t="shared" si="117"/>
        <v>0.48017143211258623</v>
      </c>
      <c r="K163" s="53">
        <f t="shared" si="117"/>
        <v>0.56721020255365262</v>
      </c>
      <c r="L163" s="54">
        <f t="shared" si="117"/>
        <v>0.51865394503161988</v>
      </c>
      <c r="M163" s="53">
        <f t="shared" si="117"/>
        <v>1.1847461512141453</v>
      </c>
      <c r="N163" s="54">
        <f t="shared" si="117"/>
        <v>0.59933254848691442</v>
      </c>
      <c r="O163" s="55">
        <f t="shared" si="117"/>
        <v>0.62524706872777291</v>
      </c>
      <c r="P163" s="56"/>
      <c r="Q163" s="57"/>
      <c r="R163" s="57"/>
      <c r="S163" s="41"/>
    </row>
    <row r="164" spans="1:20">
      <c r="A164" s="181" t="s">
        <v>73</v>
      </c>
      <c r="B164" s="29" t="s">
        <v>55</v>
      </c>
      <c r="C164" s="30">
        <v>0</v>
      </c>
      <c r="D164" s="31">
        <v>0</v>
      </c>
      <c r="E164" s="30">
        <v>0</v>
      </c>
      <c r="F164" s="31">
        <v>0</v>
      </c>
      <c r="G164" s="30">
        <v>0</v>
      </c>
      <c r="H164" s="31">
        <v>0</v>
      </c>
      <c r="I164" s="30">
        <v>0</v>
      </c>
      <c r="J164" s="31">
        <v>0</v>
      </c>
      <c r="K164" s="30">
        <v>0</v>
      </c>
      <c r="L164" s="31">
        <v>0</v>
      </c>
      <c r="M164" s="30">
        <v>0</v>
      </c>
      <c r="N164" s="31">
        <v>0</v>
      </c>
      <c r="O164" s="32">
        <f>O165/O$103</f>
        <v>0</v>
      </c>
    </row>
    <row r="165" spans="1:20">
      <c r="A165" s="103" t="s">
        <v>64</v>
      </c>
      <c r="B165" s="35" t="s">
        <v>57</v>
      </c>
      <c r="C165" s="65">
        <f t="shared" ref="C165:N165" si="118">C$103*C164</f>
        <v>0</v>
      </c>
      <c r="D165" s="66">
        <f t="shared" si="118"/>
        <v>0</v>
      </c>
      <c r="E165" s="65">
        <f t="shared" si="118"/>
        <v>0</v>
      </c>
      <c r="F165" s="66">
        <f t="shared" si="118"/>
        <v>0</v>
      </c>
      <c r="G165" s="65">
        <f t="shared" si="118"/>
        <v>0</v>
      </c>
      <c r="H165" s="66">
        <f t="shared" si="118"/>
        <v>0</v>
      </c>
      <c r="I165" s="65">
        <f t="shared" si="118"/>
        <v>0</v>
      </c>
      <c r="J165" s="66">
        <f t="shared" si="118"/>
        <v>0</v>
      </c>
      <c r="K165" s="65">
        <f t="shared" si="118"/>
        <v>0</v>
      </c>
      <c r="L165" s="66">
        <f t="shared" si="118"/>
        <v>0</v>
      </c>
      <c r="M165" s="65">
        <f t="shared" si="118"/>
        <v>0</v>
      </c>
      <c r="N165" s="66">
        <f t="shared" si="118"/>
        <v>0</v>
      </c>
      <c r="O165" s="67">
        <f>SUM(C165:N165)</f>
        <v>0</v>
      </c>
      <c r="P165" s="57"/>
      <c r="Q165" s="57"/>
      <c r="R165" s="60"/>
      <c r="S165" s="41"/>
      <c r="T165" s="8"/>
    </row>
    <row r="166" spans="1:20" ht="15.75">
      <c r="A166" s="42"/>
      <c r="B166" s="35" t="s">
        <v>58</v>
      </c>
      <c r="C166" s="43">
        <f>C70</f>
        <v>0</v>
      </c>
      <c r="D166" s="44">
        <f t="shared" ref="D166:N166" si="119">C166</f>
        <v>0</v>
      </c>
      <c r="E166" s="43">
        <f t="shared" si="119"/>
        <v>0</v>
      </c>
      <c r="F166" s="44">
        <f t="shared" si="119"/>
        <v>0</v>
      </c>
      <c r="G166" s="43">
        <f t="shared" si="119"/>
        <v>0</v>
      </c>
      <c r="H166" s="44">
        <f t="shared" si="119"/>
        <v>0</v>
      </c>
      <c r="I166" s="43">
        <f t="shared" si="119"/>
        <v>0</v>
      </c>
      <c r="J166" s="44">
        <f t="shared" si="119"/>
        <v>0</v>
      </c>
      <c r="K166" s="43">
        <f t="shared" si="119"/>
        <v>0</v>
      </c>
      <c r="L166" s="44">
        <f t="shared" si="119"/>
        <v>0</v>
      </c>
      <c r="M166" s="43">
        <f t="shared" si="119"/>
        <v>0</v>
      </c>
      <c r="N166" s="44">
        <f t="shared" si="119"/>
        <v>0</v>
      </c>
      <c r="O166" s="45">
        <f>IF(O165=0,0,+O167/O165)</f>
        <v>0</v>
      </c>
      <c r="P166" s="46"/>
      <c r="Q166" s="46"/>
      <c r="R166" s="47"/>
      <c r="S166" s="41"/>
      <c r="T166" s="8"/>
    </row>
    <row r="167" spans="1:20">
      <c r="A167" s="42"/>
      <c r="B167" s="35" t="s">
        <v>15</v>
      </c>
      <c r="C167" s="48">
        <f t="shared" ref="C167:N167" si="120">C165*C166</f>
        <v>0</v>
      </c>
      <c r="D167" s="49">
        <f t="shared" si="120"/>
        <v>0</v>
      </c>
      <c r="E167" s="48">
        <f t="shared" si="120"/>
        <v>0</v>
      </c>
      <c r="F167" s="49">
        <f t="shared" si="120"/>
        <v>0</v>
      </c>
      <c r="G167" s="48">
        <f t="shared" si="120"/>
        <v>0</v>
      </c>
      <c r="H167" s="49">
        <f t="shared" si="120"/>
        <v>0</v>
      </c>
      <c r="I167" s="48">
        <f t="shared" si="120"/>
        <v>0</v>
      </c>
      <c r="J167" s="49">
        <f t="shared" si="120"/>
        <v>0</v>
      </c>
      <c r="K167" s="48">
        <f t="shared" si="120"/>
        <v>0</v>
      </c>
      <c r="L167" s="49">
        <f t="shared" si="120"/>
        <v>0</v>
      </c>
      <c r="M167" s="48">
        <f t="shared" si="120"/>
        <v>0</v>
      </c>
      <c r="N167" s="49">
        <f t="shared" si="120"/>
        <v>0</v>
      </c>
      <c r="O167" s="50">
        <f>SUM(C167:N167)</f>
        <v>0</v>
      </c>
      <c r="P167" s="40"/>
      <c r="Q167" s="40"/>
      <c r="R167" s="40"/>
      <c r="S167" s="41"/>
      <c r="T167" s="8"/>
    </row>
    <row r="168" spans="1:20" ht="16.5" thickBot="1">
      <c r="A168" s="51"/>
      <c r="B168" s="52" t="s">
        <v>59</v>
      </c>
      <c r="C168" s="53">
        <f t="shared" ref="C168:O168" si="121">C167/C$103</f>
        <v>0</v>
      </c>
      <c r="D168" s="54">
        <f t="shared" si="121"/>
        <v>0</v>
      </c>
      <c r="E168" s="53">
        <f t="shared" si="121"/>
        <v>0</v>
      </c>
      <c r="F168" s="54">
        <f t="shared" si="121"/>
        <v>0</v>
      </c>
      <c r="G168" s="53">
        <f t="shared" si="121"/>
        <v>0</v>
      </c>
      <c r="H168" s="54">
        <f t="shared" si="121"/>
        <v>0</v>
      </c>
      <c r="I168" s="53">
        <f t="shared" si="121"/>
        <v>0</v>
      </c>
      <c r="J168" s="54">
        <f t="shared" si="121"/>
        <v>0</v>
      </c>
      <c r="K168" s="53">
        <f t="shared" si="121"/>
        <v>0</v>
      </c>
      <c r="L168" s="54">
        <f t="shared" si="121"/>
        <v>0</v>
      </c>
      <c r="M168" s="53">
        <f t="shared" si="121"/>
        <v>0</v>
      </c>
      <c r="N168" s="54">
        <f t="shared" si="121"/>
        <v>0</v>
      </c>
      <c r="O168" s="55">
        <f t="shared" si="121"/>
        <v>0</v>
      </c>
      <c r="P168" s="56"/>
      <c r="Q168" s="56"/>
      <c r="R168" s="57"/>
      <c r="S168" s="41"/>
      <c r="T168" s="8"/>
    </row>
    <row r="169" spans="1:20">
      <c r="A169" s="28" t="s">
        <v>74</v>
      </c>
      <c r="B169" s="29" t="s">
        <v>55</v>
      </c>
      <c r="C169" s="30">
        <f>AVERAGE('Lex WTPs 2007-2010'!G56,'2011 Actual Costs'!C169)</f>
        <v>10.474195216452829</v>
      </c>
      <c r="D169" s="31">
        <f>AVERAGE('Lex WTPs 2007-2010'!L56,'2011 Actual Costs'!D169)</f>
        <v>16.753778431624681</v>
      </c>
      <c r="E169" s="30">
        <f>AVERAGE('Lex WTPs 2007-2010'!Q56,'2011 Actual Costs'!E169)</f>
        <v>26.336949141045707</v>
      </c>
      <c r="F169" s="31">
        <f>AVERAGE('Lex WTPs 2007-2010'!V56,'2011 Actual Costs'!F169)</f>
        <v>39.958204688501645</v>
      </c>
      <c r="G169" s="30">
        <f>AVERAGE('Lex WTPs 2007-2010'!AA56,'2011 Actual Costs'!G169)</f>
        <v>43.393119398072571</v>
      </c>
      <c r="H169" s="31">
        <f>AVERAGE('Lex WTPs 2007-2010'!AF56,'2011 Actual Costs'!H169)</f>
        <v>25.113956325561603</v>
      </c>
      <c r="I169" s="30">
        <f>AVERAGE('Lex WTPs 2007-2010'!AK56,'2011 Actual Costs'!I169)</f>
        <v>32.355187180990669</v>
      </c>
      <c r="J169" s="31">
        <f>AVERAGE('Lex WTPs 2007-2010'!AP56,'2011 Actual Costs'!J169)</f>
        <v>57.74605140683947</v>
      </c>
      <c r="K169" s="30">
        <f>AVERAGE('Lex WTPs 2007-2010'!AU56,'2011 Actual Costs'!K169)</f>
        <v>40.322681950330235</v>
      </c>
      <c r="L169" s="31">
        <f>AVERAGE('Lex WTPs 2007-2010'!AZ56,'2011 Actual Costs'!L169)</f>
        <v>54.265918757229919</v>
      </c>
      <c r="M169" s="30">
        <f>AVERAGE('Lex WTPs 2007-2010'!BE56,'2011 Actual Costs'!M169)</f>
        <v>28.248465299940879</v>
      </c>
      <c r="N169" s="31">
        <f>AVERAGE('Lex WTPs 2007-2010'!BJ56,'2011 Actual Costs'!N169)</f>
        <v>19.116269612533635</v>
      </c>
      <c r="O169" s="32">
        <f>O170/O$103</f>
        <v>35.07633334223199</v>
      </c>
    </row>
    <row r="170" spans="1:20">
      <c r="A170" s="103" t="s">
        <v>64</v>
      </c>
      <c r="B170" s="35" t="s">
        <v>57</v>
      </c>
      <c r="C170" s="36">
        <f t="shared" ref="C170:N170" si="122">C$103*C169</f>
        <v>4103.0620359803688</v>
      </c>
      <c r="D170" s="37">
        <f t="shared" si="122"/>
        <v>7064.4739849514235</v>
      </c>
      <c r="E170" s="36">
        <f t="shared" si="122"/>
        <v>11445.776307656097</v>
      </c>
      <c r="F170" s="37">
        <f t="shared" si="122"/>
        <v>17337.811815677192</v>
      </c>
      <c r="G170" s="36">
        <f t="shared" si="122"/>
        <v>24751.106945905976</v>
      </c>
      <c r="H170" s="37">
        <f t="shared" si="122"/>
        <v>19376.173379430387</v>
      </c>
      <c r="I170" s="36">
        <f t="shared" si="122"/>
        <v>24155.568696061979</v>
      </c>
      <c r="J170" s="37">
        <f t="shared" si="122"/>
        <v>46264.154395635371</v>
      </c>
      <c r="K170" s="36">
        <f t="shared" si="122"/>
        <v>27395.954909327116</v>
      </c>
      <c r="L170" s="37">
        <f t="shared" si="122"/>
        <v>37775.733386303225</v>
      </c>
      <c r="M170" s="36">
        <f t="shared" si="122"/>
        <v>15694.025041885538</v>
      </c>
      <c r="N170" s="37">
        <f t="shared" si="122"/>
        <v>8712.9956755101412</v>
      </c>
      <c r="O170" s="38">
        <f>SUM(C170:N170)</f>
        <v>244076.83657432479</v>
      </c>
      <c r="P170" s="57"/>
      <c r="Q170" s="57"/>
      <c r="R170" s="60"/>
      <c r="S170" s="41"/>
      <c r="T170" s="8"/>
    </row>
    <row r="171" spans="1:20" ht="15.75">
      <c r="A171" s="42"/>
      <c r="B171" s="35" t="s">
        <v>58</v>
      </c>
      <c r="C171" s="43">
        <f>'Price Changes'!F34</f>
        <v>0.17640000000000003</v>
      </c>
      <c r="D171" s="44">
        <f t="shared" ref="D171:N171" si="123">C171</f>
        <v>0.17640000000000003</v>
      </c>
      <c r="E171" s="43">
        <f t="shared" si="123"/>
        <v>0.17640000000000003</v>
      </c>
      <c r="F171" s="44">
        <f t="shared" si="123"/>
        <v>0.17640000000000003</v>
      </c>
      <c r="G171" s="43">
        <f t="shared" si="123"/>
        <v>0.17640000000000003</v>
      </c>
      <c r="H171" s="44">
        <f t="shared" si="123"/>
        <v>0.17640000000000003</v>
      </c>
      <c r="I171" s="43">
        <f t="shared" si="123"/>
        <v>0.17640000000000003</v>
      </c>
      <c r="J171" s="44">
        <f t="shared" si="123"/>
        <v>0.17640000000000003</v>
      </c>
      <c r="K171" s="43">
        <f t="shared" si="123"/>
        <v>0.17640000000000003</v>
      </c>
      <c r="L171" s="44">
        <f t="shared" si="123"/>
        <v>0.17640000000000003</v>
      </c>
      <c r="M171" s="43">
        <f t="shared" si="123"/>
        <v>0.17640000000000003</v>
      </c>
      <c r="N171" s="44">
        <f t="shared" si="123"/>
        <v>0.17640000000000003</v>
      </c>
      <c r="O171" s="45">
        <f>IF(O170=0,0,+O172/O170)</f>
        <v>0.17640000000000003</v>
      </c>
      <c r="P171" s="46"/>
      <c r="Q171" s="46"/>
      <c r="R171" s="47"/>
      <c r="S171" s="41"/>
      <c r="T171" s="8"/>
    </row>
    <row r="172" spans="1:20">
      <c r="A172" s="42"/>
      <c r="B172" s="35" t="s">
        <v>15</v>
      </c>
      <c r="C172" s="48">
        <f t="shared" ref="C172:N172" si="124">C170*C171</f>
        <v>723.78014314693723</v>
      </c>
      <c r="D172" s="49">
        <f t="shared" si="124"/>
        <v>1246.1732109454313</v>
      </c>
      <c r="E172" s="48">
        <f t="shared" si="124"/>
        <v>2019.0349406705359</v>
      </c>
      <c r="F172" s="49">
        <f t="shared" si="124"/>
        <v>3058.3900042854571</v>
      </c>
      <c r="G172" s="48">
        <f t="shared" si="124"/>
        <v>4366.0952652578153</v>
      </c>
      <c r="H172" s="49">
        <f t="shared" si="124"/>
        <v>3417.956984131521</v>
      </c>
      <c r="I172" s="48">
        <f t="shared" si="124"/>
        <v>4261.0423179853342</v>
      </c>
      <c r="J172" s="49">
        <f t="shared" si="124"/>
        <v>8160.9968353900804</v>
      </c>
      <c r="K172" s="48">
        <f t="shared" si="124"/>
        <v>4832.6464460053039</v>
      </c>
      <c r="L172" s="49">
        <f t="shared" si="124"/>
        <v>6663.6393693438904</v>
      </c>
      <c r="M172" s="48">
        <f t="shared" si="124"/>
        <v>2768.4260173886091</v>
      </c>
      <c r="N172" s="49">
        <f t="shared" si="124"/>
        <v>1536.9724371599891</v>
      </c>
      <c r="O172" s="50">
        <f>SUM(C172:N172)</f>
        <v>43055.153971710897</v>
      </c>
      <c r="P172" s="40"/>
      <c r="Q172" s="40"/>
      <c r="R172" s="40"/>
      <c r="S172" s="41"/>
      <c r="T172" s="8"/>
    </row>
    <row r="173" spans="1:20" ht="16.5" thickBot="1">
      <c r="A173" s="51"/>
      <c r="B173" s="52" t="s">
        <v>59</v>
      </c>
      <c r="C173" s="53">
        <f t="shared" ref="C173:O173" si="125">C172/C$103</f>
        <v>1.8476480361822796</v>
      </c>
      <c r="D173" s="54">
        <f t="shared" si="125"/>
        <v>2.9553665153385942</v>
      </c>
      <c r="E173" s="53">
        <f t="shared" si="125"/>
        <v>4.645837828480464</v>
      </c>
      <c r="F173" s="54">
        <f t="shared" si="125"/>
        <v>7.0486273070516905</v>
      </c>
      <c r="G173" s="53">
        <f t="shared" si="125"/>
        <v>7.6545462618200029</v>
      </c>
      <c r="H173" s="54">
        <f t="shared" si="125"/>
        <v>4.4301018958290674</v>
      </c>
      <c r="I173" s="53">
        <f t="shared" si="125"/>
        <v>5.7074550187267556</v>
      </c>
      <c r="J173" s="54">
        <f t="shared" si="125"/>
        <v>10.186403468166484</v>
      </c>
      <c r="K173" s="53">
        <f t="shared" si="125"/>
        <v>7.1129210960382547</v>
      </c>
      <c r="L173" s="54">
        <f t="shared" si="125"/>
        <v>9.5725080687753596</v>
      </c>
      <c r="M173" s="53">
        <f t="shared" si="125"/>
        <v>4.9830292789095711</v>
      </c>
      <c r="N173" s="54">
        <f t="shared" si="125"/>
        <v>3.3721099596509339</v>
      </c>
      <c r="O173" s="55">
        <f t="shared" si="125"/>
        <v>6.1874652015697231</v>
      </c>
      <c r="P173" s="56"/>
      <c r="Q173" s="56"/>
      <c r="R173" s="57"/>
      <c r="S173" s="41"/>
      <c r="T173" s="8"/>
    </row>
    <row r="174" spans="1:20">
      <c r="A174" s="181" t="s">
        <v>75</v>
      </c>
      <c r="B174" s="29" t="s">
        <v>55</v>
      </c>
      <c r="C174" s="30">
        <v>0</v>
      </c>
      <c r="D174" s="31">
        <v>0</v>
      </c>
      <c r="E174" s="30">
        <v>0</v>
      </c>
      <c r="F174" s="31">
        <v>0</v>
      </c>
      <c r="G174" s="30">
        <v>0</v>
      </c>
      <c r="H174" s="31">
        <v>0</v>
      </c>
      <c r="I174" s="30">
        <v>0</v>
      </c>
      <c r="J174" s="31">
        <v>0</v>
      </c>
      <c r="K174" s="30">
        <v>0</v>
      </c>
      <c r="L174" s="31">
        <v>0</v>
      </c>
      <c r="M174" s="30">
        <v>0</v>
      </c>
      <c r="N174" s="31">
        <v>0</v>
      </c>
      <c r="O174" s="32">
        <f>O175/O$103</f>
        <v>0</v>
      </c>
      <c r="P174" s="9"/>
      <c r="Q174" s="9"/>
      <c r="R174" s="9"/>
      <c r="S174" s="70"/>
    </row>
    <row r="175" spans="1:20">
      <c r="A175" s="34" t="s">
        <v>71</v>
      </c>
      <c r="B175" s="35" t="s">
        <v>57</v>
      </c>
      <c r="C175" s="65">
        <f t="shared" ref="C175:N175" si="126">C$103*C174</f>
        <v>0</v>
      </c>
      <c r="D175" s="66">
        <f t="shared" si="126"/>
        <v>0</v>
      </c>
      <c r="E175" s="65">
        <f t="shared" si="126"/>
        <v>0</v>
      </c>
      <c r="F175" s="66">
        <f t="shared" si="126"/>
        <v>0</v>
      </c>
      <c r="G175" s="65">
        <f t="shared" si="126"/>
        <v>0</v>
      </c>
      <c r="H175" s="66">
        <f t="shared" si="126"/>
        <v>0</v>
      </c>
      <c r="I175" s="65">
        <f t="shared" si="126"/>
        <v>0</v>
      </c>
      <c r="J175" s="66">
        <f t="shared" si="126"/>
        <v>0</v>
      </c>
      <c r="K175" s="65">
        <f t="shared" si="126"/>
        <v>0</v>
      </c>
      <c r="L175" s="66">
        <f t="shared" si="126"/>
        <v>0</v>
      </c>
      <c r="M175" s="65">
        <f t="shared" si="126"/>
        <v>0</v>
      </c>
      <c r="N175" s="66">
        <f t="shared" si="126"/>
        <v>0</v>
      </c>
      <c r="O175" s="67">
        <f>SUM(C175:N175)</f>
        <v>0</v>
      </c>
      <c r="P175" s="15"/>
      <c r="Q175" s="15"/>
      <c r="R175" s="15"/>
      <c r="S175" s="71"/>
    </row>
    <row r="176" spans="1:20" ht="15.75">
      <c r="A176" s="182" t="s">
        <v>64</v>
      </c>
      <c r="B176" s="35" t="s">
        <v>58</v>
      </c>
      <c r="C176" s="43">
        <f>'Price Changes'!F35</f>
        <v>0</v>
      </c>
      <c r="D176" s="44">
        <f t="shared" ref="D176:N176" si="127">C176</f>
        <v>0</v>
      </c>
      <c r="E176" s="43">
        <f t="shared" si="127"/>
        <v>0</v>
      </c>
      <c r="F176" s="44">
        <f t="shared" si="127"/>
        <v>0</v>
      </c>
      <c r="G176" s="43">
        <f t="shared" si="127"/>
        <v>0</v>
      </c>
      <c r="H176" s="44">
        <f t="shared" si="127"/>
        <v>0</v>
      </c>
      <c r="I176" s="43">
        <f t="shared" si="127"/>
        <v>0</v>
      </c>
      <c r="J176" s="44">
        <f t="shared" si="127"/>
        <v>0</v>
      </c>
      <c r="K176" s="43">
        <f t="shared" si="127"/>
        <v>0</v>
      </c>
      <c r="L176" s="44">
        <f t="shared" si="127"/>
        <v>0</v>
      </c>
      <c r="M176" s="43">
        <f t="shared" si="127"/>
        <v>0</v>
      </c>
      <c r="N176" s="44">
        <f t="shared" si="127"/>
        <v>0</v>
      </c>
      <c r="O176" s="45">
        <f>IF(O175=0,0,+O177/O175)</f>
        <v>0</v>
      </c>
      <c r="P176" s="15"/>
      <c r="Q176" s="72"/>
      <c r="R176" s="15"/>
      <c r="S176" s="15"/>
    </row>
    <row r="177" spans="1:19">
      <c r="A177" s="42"/>
      <c r="B177" s="35" t="s">
        <v>15</v>
      </c>
      <c r="C177" s="48">
        <f t="shared" ref="C177:N177" si="128">C175*C176</f>
        <v>0</v>
      </c>
      <c r="D177" s="49">
        <f t="shared" si="128"/>
        <v>0</v>
      </c>
      <c r="E177" s="48">
        <f t="shared" si="128"/>
        <v>0</v>
      </c>
      <c r="F177" s="49">
        <f t="shared" si="128"/>
        <v>0</v>
      </c>
      <c r="G177" s="48">
        <f t="shared" si="128"/>
        <v>0</v>
      </c>
      <c r="H177" s="49">
        <f t="shared" si="128"/>
        <v>0</v>
      </c>
      <c r="I177" s="48">
        <f t="shared" si="128"/>
        <v>0</v>
      </c>
      <c r="J177" s="49">
        <f t="shared" si="128"/>
        <v>0</v>
      </c>
      <c r="K177" s="48">
        <f t="shared" si="128"/>
        <v>0</v>
      </c>
      <c r="L177" s="49">
        <f t="shared" si="128"/>
        <v>0</v>
      </c>
      <c r="M177" s="48">
        <f t="shared" si="128"/>
        <v>0</v>
      </c>
      <c r="N177" s="49">
        <f t="shared" si="128"/>
        <v>0</v>
      </c>
      <c r="O177" s="50">
        <f>SUM(C177:N177)</f>
        <v>0</v>
      </c>
      <c r="P177" s="15"/>
      <c r="Q177" s="15"/>
      <c r="R177" s="15"/>
      <c r="S177" s="15"/>
    </row>
    <row r="178" spans="1:19" ht="13.5" thickBot="1">
      <c r="A178" s="51"/>
      <c r="B178" s="52" t="s">
        <v>59</v>
      </c>
      <c r="C178" s="53">
        <f t="shared" ref="C178:O178" si="129">C177/C$103</f>
        <v>0</v>
      </c>
      <c r="D178" s="54">
        <f t="shared" si="129"/>
        <v>0</v>
      </c>
      <c r="E178" s="53">
        <f t="shared" si="129"/>
        <v>0</v>
      </c>
      <c r="F178" s="54">
        <f t="shared" si="129"/>
        <v>0</v>
      </c>
      <c r="G178" s="53">
        <f t="shared" si="129"/>
        <v>0</v>
      </c>
      <c r="H178" s="54">
        <f t="shared" si="129"/>
        <v>0</v>
      </c>
      <c r="I178" s="53">
        <f t="shared" si="129"/>
        <v>0</v>
      </c>
      <c r="J178" s="54">
        <f t="shared" si="129"/>
        <v>0</v>
      </c>
      <c r="K178" s="53">
        <f t="shared" si="129"/>
        <v>0</v>
      </c>
      <c r="L178" s="54">
        <f t="shared" si="129"/>
        <v>0</v>
      </c>
      <c r="M178" s="53">
        <f t="shared" si="129"/>
        <v>0</v>
      </c>
      <c r="N178" s="54">
        <f t="shared" si="129"/>
        <v>0</v>
      </c>
      <c r="O178" s="55">
        <f t="shared" si="129"/>
        <v>0</v>
      </c>
      <c r="P178" s="8"/>
      <c r="S178" s="41"/>
    </row>
    <row r="179" spans="1:19">
      <c r="A179" s="181" t="s">
        <v>76</v>
      </c>
      <c r="B179" s="29" t="s">
        <v>55</v>
      </c>
      <c r="C179" s="30">
        <v>0</v>
      </c>
      <c r="D179" s="31">
        <v>0</v>
      </c>
      <c r="E179" s="30">
        <v>0</v>
      </c>
      <c r="F179" s="31">
        <v>0</v>
      </c>
      <c r="G179" s="30">
        <v>0</v>
      </c>
      <c r="H179" s="31">
        <v>0</v>
      </c>
      <c r="I179" s="30">
        <v>0</v>
      </c>
      <c r="J179" s="31">
        <v>0</v>
      </c>
      <c r="K179" s="30">
        <v>0</v>
      </c>
      <c r="L179" s="31">
        <v>0</v>
      </c>
      <c r="M179" s="30">
        <v>0</v>
      </c>
      <c r="N179" s="31">
        <v>0</v>
      </c>
      <c r="O179" s="32">
        <f>O180/O$103</f>
        <v>0</v>
      </c>
    </row>
    <row r="180" spans="1:19">
      <c r="A180" s="34" t="s">
        <v>64</v>
      </c>
      <c r="B180" s="35" t="s">
        <v>57</v>
      </c>
      <c r="C180" s="65">
        <f t="shared" ref="C180:N180" si="130">C$103*C179</f>
        <v>0</v>
      </c>
      <c r="D180" s="66">
        <f t="shared" si="130"/>
        <v>0</v>
      </c>
      <c r="E180" s="65">
        <f t="shared" si="130"/>
        <v>0</v>
      </c>
      <c r="F180" s="66">
        <f t="shared" si="130"/>
        <v>0</v>
      </c>
      <c r="G180" s="65">
        <f t="shared" si="130"/>
        <v>0</v>
      </c>
      <c r="H180" s="66">
        <f t="shared" si="130"/>
        <v>0</v>
      </c>
      <c r="I180" s="65">
        <f t="shared" si="130"/>
        <v>0</v>
      </c>
      <c r="J180" s="66">
        <f t="shared" si="130"/>
        <v>0</v>
      </c>
      <c r="K180" s="65">
        <f t="shared" si="130"/>
        <v>0</v>
      </c>
      <c r="L180" s="66">
        <f t="shared" si="130"/>
        <v>0</v>
      </c>
      <c r="M180" s="65">
        <f t="shared" si="130"/>
        <v>0</v>
      </c>
      <c r="N180" s="66">
        <f t="shared" si="130"/>
        <v>0</v>
      </c>
      <c r="O180" s="67">
        <f>SUM(C180:N180)</f>
        <v>0</v>
      </c>
    </row>
    <row r="181" spans="1:19">
      <c r="A181" s="34"/>
      <c r="B181" s="35" t="s">
        <v>58</v>
      </c>
      <c r="C181" s="43">
        <f>'Price Changes'!F36</f>
        <v>0</v>
      </c>
      <c r="D181" s="44">
        <f t="shared" ref="D181:N181" si="131">C181</f>
        <v>0</v>
      </c>
      <c r="E181" s="43">
        <f t="shared" si="131"/>
        <v>0</v>
      </c>
      <c r="F181" s="44">
        <f t="shared" si="131"/>
        <v>0</v>
      </c>
      <c r="G181" s="43">
        <f t="shared" si="131"/>
        <v>0</v>
      </c>
      <c r="H181" s="44">
        <f t="shared" si="131"/>
        <v>0</v>
      </c>
      <c r="I181" s="43">
        <f t="shared" si="131"/>
        <v>0</v>
      </c>
      <c r="J181" s="44">
        <f t="shared" si="131"/>
        <v>0</v>
      </c>
      <c r="K181" s="43">
        <f t="shared" si="131"/>
        <v>0</v>
      </c>
      <c r="L181" s="44">
        <f t="shared" si="131"/>
        <v>0</v>
      </c>
      <c r="M181" s="43">
        <f t="shared" si="131"/>
        <v>0</v>
      </c>
      <c r="N181" s="44">
        <f t="shared" si="131"/>
        <v>0</v>
      </c>
      <c r="O181" s="45">
        <f>IF(O180=0,0,+O182/O180)</f>
        <v>0</v>
      </c>
    </row>
    <row r="182" spans="1:19">
      <c r="A182" s="42"/>
      <c r="B182" s="35" t="s">
        <v>15</v>
      </c>
      <c r="C182" s="48">
        <f t="shared" ref="C182:N182" si="132">C180*C181</f>
        <v>0</v>
      </c>
      <c r="D182" s="49">
        <f t="shared" si="132"/>
        <v>0</v>
      </c>
      <c r="E182" s="48">
        <f t="shared" si="132"/>
        <v>0</v>
      </c>
      <c r="F182" s="49">
        <f t="shared" si="132"/>
        <v>0</v>
      </c>
      <c r="G182" s="48">
        <f t="shared" si="132"/>
        <v>0</v>
      </c>
      <c r="H182" s="49">
        <f t="shared" si="132"/>
        <v>0</v>
      </c>
      <c r="I182" s="48">
        <f t="shared" si="132"/>
        <v>0</v>
      </c>
      <c r="J182" s="49">
        <f t="shared" si="132"/>
        <v>0</v>
      </c>
      <c r="K182" s="48">
        <f t="shared" si="132"/>
        <v>0</v>
      </c>
      <c r="L182" s="49">
        <f t="shared" si="132"/>
        <v>0</v>
      </c>
      <c r="M182" s="48">
        <f t="shared" si="132"/>
        <v>0</v>
      </c>
      <c r="N182" s="49">
        <f t="shared" si="132"/>
        <v>0</v>
      </c>
      <c r="O182" s="50">
        <f>SUM(C182:N182)</f>
        <v>0</v>
      </c>
    </row>
    <row r="183" spans="1:19" ht="13.5" thickBot="1">
      <c r="A183" s="51"/>
      <c r="B183" s="52" t="s">
        <v>59</v>
      </c>
      <c r="C183" s="53">
        <f t="shared" ref="C183:O183" si="133">C182/C$103</f>
        <v>0</v>
      </c>
      <c r="D183" s="54">
        <f t="shared" si="133"/>
        <v>0</v>
      </c>
      <c r="E183" s="53">
        <f t="shared" si="133"/>
        <v>0</v>
      </c>
      <c r="F183" s="54">
        <f t="shared" si="133"/>
        <v>0</v>
      </c>
      <c r="G183" s="53">
        <f t="shared" si="133"/>
        <v>0</v>
      </c>
      <c r="H183" s="54">
        <f t="shared" si="133"/>
        <v>0</v>
      </c>
      <c r="I183" s="53">
        <f t="shared" si="133"/>
        <v>0</v>
      </c>
      <c r="J183" s="54">
        <f t="shared" si="133"/>
        <v>0</v>
      </c>
      <c r="K183" s="53">
        <f t="shared" si="133"/>
        <v>0</v>
      </c>
      <c r="L183" s="54">
        <f t="shared" si="133"/>
        <v>0</v>
      </c>
      <c r="M183" s="53">
        <f t="shared" si="133"/>
        <v>0</v>
      </c>
      <c r="N183" s="54">
        <f t="shared" si="133"/>
        <v>0</v>
      </c>
      <c r="O183" s="55">
        <f t="shared" si="133"/>
        <v>0</v>
      </c>
    </row>
    <row r="184" spans="1:19" ht="13.5" thickBot="1">
      <c r="A184" s="10" t="s">
        <v>1</v>
      </c>
      <c r="B184" s="73" t="s">
        <v>1</v>
      </c>
      <c r="C184" s="74" t="s">
        <v>1</v>
      </c>
      <c r="D184" s="75" t="s">
        <v>1</v>
      </c>
      <c r="E184" s="74" t="s">
        <v>1</v>
      </c>
      <c r="F184" s="75" t="s">
        <v>1</v>
      </c>
      <c r="G184" s="74" t="s">
        <v>1</v>
      </c>
      <c r="H184" s="75" t="s">
        <v>1</v>
      </c>
      <c r="I184" s="74" t="s">
        <v>1</v>
      </c>
      <c r="J184" s="75" t="s">
        <v>1</v>
      </c>
      <c r="K184" s="74" t="s">
        <v>1</v>
      </c>
      <c r="L184" s="75" t="s">
        <v>1</v>
      </c>
      <c r="M184" s="74" t="s">
        <v>1</v>
      </c>
      <c r="N184" s="75" t="s">
        <v>1</v>
      </c>
      <c r="O184" s="6" t="s">
        <v>1</v>
      </c>
      <c r="P184" s="9"/>
      <c r="Q184" s="9"/>
      <c r="R184" s="9"/>
      <c r="S184" s="70"/>
    </row>
    <row r="185" spans="1:19" ht="16.5" thickBot="1">
      <c r="A185" s="104" t="s">
        <v>81</v>
      </c>
      <c r="B185" s="105"/>
      <c r="C185" s="106">
        <v>0</v>
      </c>
      <c r="D185" s="107">
        <v>0</v>
      </c>
      <c r="E185" s="106">
        <v>0</v>
      </c>
      <c r="F185" s="107">
        <v>0</v>
      </c>
      <c r="G185" s="106">
        <v>0</v>
      </c>
      <c r="H185" s="107">
        <v>0</v>
      </c>
      <c r="I185" s="106">
        <v>0</v>
      </c>
      <c r="J185" s="107">
        <v>0</v>
      </c>
      <c r="K185" s="106">
        <v>0</v>
      </c>
      <c r="L185" s="107">
        <v>0</v>
      </c>
      <c r="M185" s="106">
        <v>0</v>
      </c>
      <c r="N185" s="107">
        <v>0</v>
      </c>
      <c r="O185" s="108">
        <f>SUM(C185:N185)</f>
        <v>0</v>
      </c>
      <c r="P185" s="9"/>
      <c r="Q185" s="9"/>
      <c r="R185" s="9"/>
      <c r="S185" s="70"/>
    </row>
    <row r="186" spans="1:19">
      <c r="A186" s="77" t="s">
        <v>82</v>
      </c>
      <c r="B186" s="29" t="s">
        <v>55</v>
      </c>
      <c r="C186" s="78">
        <f t="shared" ref="C186:N186" si="134">C187/C103</f>
        <v>485.14931162442934</v>
      </c>
      <c r="D186" s="79">
        <f t="shared" si="134"/>
        <v>508.6711885692277</v>
      </c>
      <c r="E186" s="78">
        <f t="shared" si="134"/>
        <v>520.73924481207564</v>
      </c>
      <c r="F186" s="79">
        <f t="shared" si="134"/>
        <v>518.2774773486567</v>
      </c>
      <c r="G186" s="78">
        <f t="shared" si="134"/>
        <v>520.92431051128676</v>
      </c>
      <c r="H186" s="79">
        <f t="shared" si="134"/>
        <v>532.54593679228424</v>
      </c>
      <c r="I186" s="78">
        <f t="shared" si="134"/>
        <v>521.07774597984269</v>
      </c>
      <c r="J186" s="79">
        <f t="shared" si="134"/>
        <v>622.57803027825605</v>
      </c>
      <c r="K186" s="78">
        <f t="shared" si="134"/>
        <v>609.71593849899079</v>
      </c>
      <c r="L186" s="79">
        <f t="shared" si="134"/>
        <v>638.50290421887382</v>
      </c>
      <c r="M186" s="78">
        <f t="shared" si="134"/>
        <v>590.66941130772534</v>
      </c>
      <c r="N186" s="79">
        <f t="shared" si="134"/>
        <v>588.52535268946951</v>
      </c>
      <c r="O186" s="32">
        <f>O187/O$103</f>
        <v>561.42883874326787</v>
      </c>
      <c r="P186" s="57"/>
      <c r="Q186" s="57"/>
      <c r="R186" s="57"/>
      <c r="S186" s="41"/>
    </row>
    <row r="187" spans="1:19" ht="15.75">
      <c r="A187" s="34"/>
      <c r="B187" s="35" t="s">
        <v>57</v>
      </c>
      <c r="C187" s="36">
        <f t="shared" ref="C187:N187" si="135">C105+C110+C115+C130+C135+C140+C145+C150+C155+C160+C170+C180+C165+C125+C120+C175</f>
        <v>190047.79662511745</v>
      </c>
      <c r="D187" s="37">
        <f t="shared" si="135"/>
        <v>214488.59391374639</v>
      </c>
      <c r="E187" s="36">
        <f t="shared" si="135"/>
        <v>226308.09965182364</v>
      </c>
      <c r="F187" s="37">
        <f t="shared" si="135"/>
        <v>224879.90740886959</v>
      </c>
      <c r="G187" s="36">
        <f t="shared" si="135"/>
        <v>297131.28484512435</v>
      </c>
      <c r="H187" s="37">
        <f t="shared" si="135"/>
        <v>410875.22292518464</v>
      </c>
      <c r="I187" s="36">
        <f t="shared" si="135"/>
        <v>389023.53488470317</v>
      </c>
      <c r="J187" s="37">
        <f t="shared" si="135"/>
        <v>498788.1493956545</v>
      </c>
      <c r="K187" s="36">
        <f t="shared" si="135"/>
        <v>414251.9681402198</v>
      </c>
      <c r="L187" s="37">
        <f t="shared" si="135"/>
        <v>444476.31273061148</v>
      </c>
      <c r="M187" s="36">
        <f t="shared" si="135"/>
        <v>328158.73124826472</v>
      </c>
      <c r="N187" s="37">
        <f t="shared" si="135"/>
        <v>268243.69800420472</v>
      </c>
      <c r="O187" s="38">
        <f>SUM(C187:N187)</f>
        <v>3906673.2997735245</v>
      </c>
      <c r="P187" s="56"/>
      <c r="Q187" s="47"/>
      <c r="R187" s="47"/>
      <c r="S187" s="41"/>
    </row>
    <row r="188" spans="1:19">
      <c r="A188" s="42"/>
      <c r="B188" s="35" t="s">
        <v>58</v>
      </c>
      <c r="C188" s="81">
        <f t="shared" ref="C188:N188" si="136">C189/C187</f>
        <v>0.20315382604057047</v>
      </c>
      <c r="D188" s="82">
        <f t="shared" si="136"/>
        <v>0.20299918741002984</v>
      </c>
      <c r="E188" s="81">
        <f t="shared" si="136"/>
        <v>0.19824353616455703</v>
      </c>
      <c r="F188" s="82">
        <f t="shared" si="136"/>
        <v>0.19474572662756642</v>
      </c>
      <c r="G188" s="81">
        <f t="shared" si="136"/>
        <v>0.19806027800562545</v>
      </c>
      <c r="H188" s="82">
        <f t="shared" si="136"/>
        <v>0.19633509123602993</v>
      </c>
      <c r="I188" s="81">
        <f t="shared" si="136"/>
        <v>0.19730154984172368</v>
      </c>
      <c r="J188" s="82">
        <f t="shared" si="136"/>
        <v>0.18304959767847251</v>
      </c>
      <c r="K188" s="81">
        <f t="shared" si="136"/>
        <v>0.18258761607105517</v>
      </c>
      <c r="L188" s="82">
        <f t="shared" si="136"/>
        <v>0.17715030200257659</v>
      </c>
      <c r="M188" s="81">
        <f t="shared" si="136"/>
        <v>0.18846785225400806</v>
      </c>
      <c r="N188" s="82">
        <f t="shared" si="136"/>
        <v>0.1958831270211541</v>
      </c>
      <c r="O188" s="45">
        <f>IF(O187=0,0,+O189/O187)</f>
        <v>0.19125061978620514</v>
      </c>
      <c r="P188" s="40"/>
      <c r="Q188" s="40"/>
      <c r="R188" s="40"/>
      <c r="S188" s="41"/>
    </row>
    <row r="189" spans="1:19" ht="15.75">
      <c r="A189" s="83" t="s">
        <v>465</v>
      </c>
      <c r="B189" s="35" t="s">
        <v>15</v>
      </c>
      <c r="C189" s="48">
        <f t="shared" ref="C189:N189" si="137">C107+C112+C122+C117+C132+C137+C142+C147+C152+C157+C162+C172+C182+C185+C167+C127+C177</f>
        <v>38608.937014972827</v>
      </c>
      <c r="D189" s="49">
        <f t="shared" si="137"/>
        <v>43541.010273210391</v>
      </c>
      <c r="E189" s="48">
        <f t="shared" si="137"/>
        <v>44864.117937658477</v>
      </c>
      <c r="F189" s="49">
        <f t="shared" si="137"/>
        <v>43794.400972280164</v>
      </c>
      <c r="G189" s="48">
        <f t="shared" si="137"/>
        <v>58849.904880594011</v>
      </c>
      <c r="H189" s="49">
        <f t="shared" si="137"/>
        <v>80669.224379640262</v>
      </c>
      <c r="I189" s="48">
        <f t="shared" si="137"/>
        <v>76754.946357657798</v>
      </c>
      <c r="J189" s="49">
        <f t="shared" si="137"/>
        <v>91302.970073664401</v>
      </c>
      <c r="K189" s="48">
        <f t="shared" si="137"/>
        <v>75637.279315465436</v>
      </c>
      <c r="L189" s="49">
        <f t="shared" si="137"/>
        <v>78739.113033219503</v>
      </c>
      <c r="M189" s="48">
        <f t="shared" si="137"/>
        <v>61847.371276760692</v>
      </c>
      <c r="N189" s="49">
        <f t="shared" si="137"/>
        <v>52544.414368781734</v>
      </c>
      <c r="O189" s="50">
        <f>SUM(C189:N189)</f>
        <v>747153.6898839057</v>
      </c>
      <c r="P189" s="80"/>
      <c r="Q189" s="57"/>
      <c r="R189" s="57"/>
      <c r="S189" s="41"/>
    </row>
    <row r="190" spans="1:19" ht="13.5" thickBot="1">
      <c r="A190" s="51"/>
      <c r="B190" s="52" t="s">
        <v>59</v>
      </c>
      <c r="C190" s="53">
        <f t="shared" ref="C190:N190" si="138">C189/C103</f>
        <v>98.559938857451826</v>
      </c>
      <c r="D190" s="54">
        <f t="shared" si="138"/>
        <v>103.25983793844729</v>
      </c>
      <c r="E190" s="53">
        <f t="shared" si="138"/>
        <v>103.23318931120683</v>
      </c>
      <c r="F190" s="54">
        <f t="shared" si="138"/>
        <v>100.93232392096624</v>
      </c>
      <c r="G190" s="53">
        <f t="shared" si="138"/>
        <v>103.1744137597542</v>
      </c>
      <c r="H190" s="54">
        <f t="shared" si="138"/>
        <v>104.55745508749014</v>
      </c>
      <c r="I190" s="53">
        <f t="shared" si="138"/>
        <v>102.80944686985498</v>
      </c>
      <c r="J190" s="54">
        <f t="shared" si="138"/>
        <v>113.96265796589064</v>
      </c>
      <c r="K190" s="53">
        <f t="shared" si="138"/>
        <v>111.32657969105682</v>
      </c>
      <c r="L190" s="54">
        <f t="shared" si="138"/>
        <v>113.11098231189574</v>
      </c>
      <c r="M190" s="53">
        <f t="shared" si="138"/>
        <v>111.3221953413063</v>
      </c>
      <c r="N190" s="54">
        <f t="shared" si="138"/>
        <v>115.28218641604087</v>
      </c>
      <c r="O190" s="55">
        <f>O189/O$103</f>
        <v>107.3736133754994</v>
      </c>
      <c r="P190" s="9"/>
      <c r="Q190" s="9"/>
      <c r="R190" s="9"/>
      <c r="S190" s="70"/>
    </row>
    <row r="191" spans="1:19" ht="13.5" thickBot="1">
      <c r="A191" s="10" t="s">
        <v>1</v>
      </c>
      <c r="B191" s="73" t="s">
        <v>1</v>
      </c>
      <c r="C191" s="74" t="s">
        <v>1</v>
      </c>
      <c r="D191" s="75" t="s">
        <v>1</v>
      </c>
      <c r="E191" s="74" t="s">
        <v>1</v>
      </c>
      <c r="F191" s="75" t="s">
        <v>1</v>
      </c>
      <c r="G191" s="74" t="s">
        <v>1</v>
      </c>
      <c r="H191" s="75" t="s">
        <v>1</v>
      </c>
      <c r="I191" s="74" t="s">
        <v>1</v>
      </c>
      <c r="J191" s="75" t="s">
        <v>1</v>
      </c>
      <c r="K191" s="74" t="s">
        <v>1</v>
      </c>
      <c r="L191" s="75" t="s">
        <v>1</v>
      </c>
      <c r="M191" s="74" t="s">
        <v>1</v>
      </c>
      <c r="N191" s="75" t="s">
        <v>1</v>
      </c>
      <c r="O191" s="6" t="s">
        <v>1</v>
      </c>
      <c r="P191" s="39"/>
      <c r="Q191" s="39"/>
      <c r="R191" s="39"/>
      <c r="S191" s="41"/>
    </row>
    <row r="192" spans="1:19" ht="62.25" customHeight="1" thickBot="1">
      <c r="A192" s="580" t="s">
        <v>83</v>
      </c>
      <c r="B192" s="659"/>
      <c r="C192" s="659"/>
      <c r="D192" s="659"/>
      <c r="E192" s="659"/>
      <c r="F192" s="659"/>
      <c r="G192" s="659"/>
      <c r="H192" s="659"/>
      <c r="I192" s="659"/>
      <c r="J192" s="659"/>
      <c r="K192" s="659"/>
      <c r="L192" s="659"/>
      <c r="M192" s="659"/>
      <c r="N192" s="659"/>
      <c r="O192" s="657"/>
    </row>
    <row r="193" spans="1:20">
      <c r="A193" s="10" t="s">
        <v>1</v>
      </c>
      <c r="B193" s="11" t="s">
        <v>0</v>
      </c>
      <c r="C193" s="96"/>
      <c r="D193" s="97"/>
      <c r="E193" s="96"/>
      <c r="F193" s="97"/>
      <c r="G193" s="96"/>
      <c r="H193" s="97"/>
      <c r="I193" s="96"/>
      <c r="O193" s="2"/>
      <c r="S193" s="15"/>
    </row>
    <row r="194" spans="1:20" ht="15.75">
      <c r="A194" s="98" t="str">
        <f>A100</f>
        <v>2014 BUDGET</v>
      </c>
      <c r="B194" s="3"/>
      <c r="O194" s="2"/>
    </row>
    <row r="195" spans="1:20">
      <c r="A195" s="99" t="str">
        <f>A101</f>
        <v>Bid Dollars</v>
      </c>
      <c r="B195" s="3"/>
      <c r="O195" s="2"/>
      <c r="P195" s="9"/>
      <c r="Q195" s="9"/>
      <c r="R195" s="9"/>
      <c r="S195" s="9"/>
    </row>
    <row r="196" spans="1:20">
      <c r="A196" s="4"/>
      <c r="B196" s="3"/>
      <c r="C196" s="22" t="str">
        <f t="shared" ref="C196:N196" si="139">C102</f>
        <v>JAN</v>
      </c>
      <c r="D196" s="23" t="str">
        <f t="shared" si="139"/>
        <v>FEB</v>
      </c>
      <c r="E196" s="22" t="str">
        <f t="shared" si="139"/>
        <v>MAR</v>
      </c>
      <c r="F196" s="23" t="str">
        <f t="shared" si="139"/>
        <v>APR</v>
      </c>
      <c r="G196" s="22" t="str">
        <f t="shared" si="139"/>
        <v>MAY</v>
      </c>
      <c r="H196" s="23" t="str">
        <f t="shared" si="139"/>
        <v>JUNE</v>
      </c>
      <c r="I196" s="22" t="str">
        <f t="shared" si="139"/>
        <v>JULY</v>
      </c>
      <c r="J196" s="23" t="str">
        <f t="shared" si="139"/>
        <v>AUG</v>
      </c>
      <c r="K196" s="22" t="str">
        <f t="shared" si="139"/>
        <v>SEPT</v>
      </c>
      <c r="L196" s="23" t="str">
        <f t="shared" si="139"/>
        <v>OCT</v>
      </c>
      <c r="M196" s="22" t="str">
        <f t="shared" si="139"/>
        <v>NOV</v>
      </c>
      <c r="N196" s="23" t="str">
        <f t="shared" si="139"/>
        <v>DEC</v>
      </c>
      <c r="O196" s="24" t="s">
        <v>13</v>
      </c>
      <c r="P196" s="15"/>
      <c r="Q196" s="15"/>
      <c r="R196" s="15"/>
      <c r="S196" s="15"/>
    </row>
    <row r="197" spans="1:20" ht="16.5" thickBot="1">
      <c r="A197" s="19" t="s">
        <v>53</v>
      </c>
      <c r="B197" s="3"/>
      <c r="C197" s="110">
        <f>'Pumpage 2014'!G51</f>
        <v>0</v>
      </c>
      <c r="D197" s="111">
        <f>'Pumpage 2014'!H51</f>
        <v>0</v>
      </c>
      <c r="E197" s="112">
        <f>'Pumpage 2014'!I51</f>
        <v>0</v>
      </c>
      <c r="F197" s="111">
        <f>'Pumpage 2014'!J51</f>
        <v>0</v>
      </c>
      <c r="G197" s="112">
        <f>'Pumpage 2014'!K51</f>
        <v>0</v>
      </c>
      <c r="H197" s="111">
        <f>'Pumpage 2014'!L51</f>
        <v>0</v>
      </c>
      <c r="I197" s="112">
        <f>'Pumpage 2014'!M51</f>
        <v>0</v>
      </c>
      <c r="J197" s="111">
        <f>'Pumpage 2014'!N51</f>
        <v>0</v>
      </c>
      <c r="K197" s="112">
        <f>'Pumpage 2014'!O51</f>
        <v>0</v>
      </c>
      <c r="L197" s="111">
        <f>'Pumpage 2014'!P51</f>
        <v>0</v>
      </c>
      <c r="M197" s="112">
        <f>'Pumpage 2014'!Q51</f>
        <v>0</v>
      </c>
      <c r="N197" s="111">
        <f>'Pumpage 2014'!R51</f>
        <v>0</v>
      </c>
      <c r="O197" s="27">
        <f>SUM(C197:N197)</f>
        <v>0</v>
      </c>
      <c r="P197" s="15"/>
      <c r="Q197" s="72"/>
      <c r="R197" s="15"/>
      <c r="S197" s="15"/>
    </row>
    <row r="198" spans="1:20">
      <c r="A198" s="28" t="s">
        <v>54</v>
      </c>
      <c r="B198" s="29" t="s">
        <v>55</v>
      </c>
      <c r="C198" s="30">
        <f>'2012 Actual Costs'!C198</f>
        <v>0</v>
      </c>
      <c r="D198" s="31">
        <f>'2012 Actual Costs'!D198</f>
        <v>0</v>
      </c>
      <c r="E198" s="30">
        <f>'2012 Actual Costs'!E198</f>
        <v>0</v>
      </c>
      <c r="F198" s="31">
        <f>'2012 Actual Costs'!F198</f>
        <v>0</v>
      </c>
      <c r="G198" s="30">
        <f>'2011 Actual Costs'!G198</f>
        <v>0</v>
      </c>
      <c r="H198" s="31">
        <f>'2011 Actual Costs'!H198</f>
        <v>0</v>
      </c>
      <c r="I198" s="30">
        <f>'2011 Actual Costs'!I198</f>
        <v>0</v>
      </c>
      <c r="J198" s="31">
        <f>'2011 Actual Costs'!J198</f>
        <v>0</v>
      </c>
      <c r="K198" s="30">
        <f>'2011 Actual Costs'!K198</f>
        <v>0</v>
      </c>
      <c r="L198" s="31">
        <f>'2011 Actual Costs'!L198</f>
        <v>0</v>
      </c>
      <c r="M198" s="30">
        <f>'2011 Actual Costs'!M198</f>
        <v>0</v>
      </c>
      <c r="N198" s="31">
        <f>'2011 Actual Costs'!N198</f>
        <v>0</v>
      </c>
      <c r="O198" s="32" t="e">
        <f>O199/O$197</f>
        <v>#DIV/0!</v>
      </c>
    </row>
    <row r="199" spans="1:20">
      <c r="A199" s="34" t="s">
        <v>56</v>
      </c>
      <c r="B199" s="35" t="s">
        <v>57</v>
      </c>
      <c r="C199" s="65">
        <f t="shared" ref="C199:N199" si="140">C$197*C198</f>
        <v>0</v>
      </c>
      <c r="D199" s="66">
        <f t="shared" si="140"/>
        <v>0</v>
      </c>
      <c r="E199" s="65">
        <f t="shared" si="140"/>
        <v>0</v>
      </c>
      <c r="F199" s="66">
        <f t="shared" si="140"/>
        <v>0</v>
      </c>
      <c r="G199" s="65">
        <f t="shared" si="140"/>
        <v>0</v>
      </c>
      <c r="H199" s="66">
        <f t="shared" si="140"/>
        <v>0</v>
      </c>
      <c r="I199" s="65">
        <f t="shared" si="140"/>
        <v>0</v>
      </c>
      <c r="J199" s="66">
        <f t="shared" si="140"/>
        <v>0</v>
      </c>
      <c r="K199" s="65">
        <f t="shared" si="140"/>
        <v>0</v>
      </c>
      <c r="L199" s="66">
        <f t="shared" si="140"/>
        <v>0</v>
      </c>
      <c r="M199" s="65">
        <f t="shared" si="140"/>
        <v>0</v>
      </c>
      <c r="N199" s="66">
        <f t="shared" si="140"/>
        <v>0</v>
      </c>
      <c r="O199" s="67">
        <f>SUM(C199:N199)</f>
        <v>0</v>
      </c>
      <c r="P199" s="57"/>
      <c r="Q199" s="57"/>
      <c r="R199" s="57"/>
      <c r="S199" s="41"/>
    </row>
    <row r="200" spans="1:20" ht="15.75">
      <c r="A200" s="42"/>
      <c r="B200" s="35" t="s">
        <v>58</v>
      </c>
      <c r="C200" s="43">
        <f>'Price Changes'!F39</f>
        <v>0</v>
      </c>
      <c r="D200" s="44">
        <f t="shared" ref="D200:N200" si="141">C200</f>
        <v>0</v>
      </c>
      <c r="E200" s="43">
        <f t="shared" si="141"/>
        <v>0</v>
      </c>
      <c r="F200" s="44">
        <f t="shared" si="141"/>
        <v>0</v>
      </c>
      <c r="G200" s="43">
        <f t="shared" si="141"/>
        <v>0</v>
      </c>
      <c r="H200" s="44">
        <f t="shared" si="141"/>
        <v>0</v>
      </c>
      <c r="I200" s="43">
        <f t="shared" si="141"/>
        <v>0</v>
      </c>
      <c r="J200" s="44">
        <f t="shared" si="141"/>
        <v>0</v>
      </c>
      <c r="K200" s="43">
        <f t="shared" si="141"/>
        <v>0</v>
      </c>
      <c r="L200" s="44">
        <f t="shared" si="141"/>
        <v>0</v>
      </c>
      <c r="M200" s="43">
        <f t="shared" si="141"/>
        <v>0</v>
      </c>
      <c r="N200" s="44">
        <f t="shared" si="141"/>
        <v>0</v>
      </c>
      <c r="O200" s="45">
        <f>IF(O199=0,0,+O201/O199)</f>
        <v>0</v>
      </c>
      <c r="P200" s="80"/>
      <c r="Q200" s="68"/>
      <c r="R200" s="47"/>
      <c r="S200" s="41"/>
    </row>
    <row r="201" spans="1:20">
      <c r="A201" s="42"/>
      <c r="B201" s="35" t="s">
        <v>15</v>
      </c>
      <c r="C201" s="48">
        <f t="shared" ref="C201:N201" si="142">C199*C200</f>
        <v>0</v>
      </c>
      <c r="D201" s="49">
        <f t="shared" si="142"/>
        <v>0</v>
      </c>
      <c r="E201" s="48">
        <f t="shared" si="142"/>
        <v>0</v>
      </c>
      <c r="F201" s="49">
        <f t="shared" si="142"/>
        <v>0</v>
      </c>
      <c r="G201" s="48">
        <f t="shared" si="142"/>
        <v>0</v>
      </c>
      <c r="H201" s="49">
        <f t="shared" si="142"/>
        <v>0</v>
      </c>
      <c r="I201" s="48">
        <f t="shared" si="142"/>
        <v>0</v>
      </c>
      <c r="J201" s="49">
        <f t="shared" si="142"/>
        <v>0</v>
      </c>
      <c r="K201" s="48">
        <f t="shared" si="142"/>
        <v>0</v>
      </c>
      <c r="L201" s="49">
        <f t="shared" si="142"/>
        <v>0</v>
      </c>
      <c r="M201" s="48">
        <f t="shared" si="142"/>
        <v>0</v>
      </c>
      <c r="N201" s="49">
        <f t="shared" si="142"/>
        <v>0</v>
      </c>
      <c r="O201" s="50">
        <f>SUM(C201:N201)</f>
        <v>0</v>
      </c>
      <c r="P201" s="40"/>
      <c r="Q201" s="40"/>
      <c r="R201" s="40"/>
      <c r="S201" s="41"/>
    </row>
    <row r="202" spans="1:20" ht="16.5" thickBot="1">
      <c r="A202" s="51"/>
      <c r="B202" s="52" t="s">
        <v>59</v>
      </c>
      <c r="C202" s="53" t="e">
        <f t="shared" ref="C202:O202" si="143">C201/C$197</f>
        <v>#DIV/0!</v>
      </c>
      <c r="D202" s="54" t="e">
        <f t="shared" si="143"/>
        <v>#DIV/0!</v>
      </c>
      <c r="E202" s="53" t="e">
        <f t="shared" si="143"/>
        <v>#DIV/0!</v>
      </c>
      <c r="F202" s="54" t="e">
        <f t="shared" si="143"/>
        <v>#DIV/0!</v>
      </c>
      <c r="G202" s="53" t="e">
        <f t="shared" si="143"/>
        <v>#DIV/0!</v>
      </c>
      <c r="H202" s="54" t="e">
        <f t="shared" si="143"/>
        <v>#DIV/0!</v>
      </c>
      <c r="I202" s="53" t="e">
        <f t="shared" si="143"/>
        <v>#DIV/0!</v>
      </c>
      <c r="J202" s="54" t="e">
        <f t="shared" si="143"/>
        <v>#DIV/0!</v>
      </c>
      <c r="K202" s="53" t="e">
        <f t="shared" si="143"/>
        <v>#DIV/0!</v>
      </c>
      <c r="L202" s="54" t="e">
        <f t="shared" si="143"/>
        <v>#DIV/0!</v>
      </c>
      <c r="M202" s="53" t="e">
        <f t="shared" si="143"/>
        <v>#DIV/0!</v>
      </c>
      <c r="N202" s="54" t="e">
        <f t="shared" si="143"/>
        <v>#DIV/0!</v>
      </c>
      <c r="O202" s="55" t="e">
        <f t="shared" si="143"/>
        <v>#DIV/0!</v>
      </c>
      <c r="P202" s="80"/>
      <c r="Q202" s="57"/>
      <c r="R202" s="57"/>
      <c r="S202" s="41"/>
    </row>
    <row r="203" spans="1:20">
      <c r="A203" s="28" t="s">
        <v>60</v>
      </c>
      <c r="B203" s="29" t="s">
        <v>55</v>
      </c>
      <c r="C203" s="30">
        <f>'2012 Actual Costs'!C203</f>
        <v>133.29574413683648</v>
      </c>
      <c r="D203" s="31">
        <f>'2012 Actual Costs'!D203</f>
        <v>135.15491644647645</v>
      </c>
      <c r="E203" s="30">
        <f>'2012 Actual Costs'!E203</f>
        <v>139.28951849124434</v>
      </c>
      <c r="F203" s="31">
        <f>'2012 Actual Costs'!F203</f>
        <v>148.46178525404071</v>
      </c>
      <c r="G203" s="30">
        <f>'2011 Actual Costs'!G203</f>
        <v>114.80284421460891</v>
      </c>
      <c r="H203" s="31">
        <f>'2011 Actual Costs'!H203</f>
        <v>132.12945889235073</v>
      </c>
      <c r="I203" s="30">
        <f>'2011 Actual Costs'!I203</f>
        <v>117.34179467409999</v>
      </c>
      <c r="J203" s="31">
        <f>'2011 Actual Costs'!J203</f>
        <v>111.50409530900968</v>
      </c>
      <c r="K203" s="30">
        <f>'2011 Actual Costs'!K203</f>
        <v>116.03978113493237</v>
      </c>
      <c r="L203" s="31">
        <f>'2011 Actual Costs'!L203</f>
        <v>118.47146271980091</v>
      </c>
      <c r="M203" s="30">
        <f>'2011 Actual Costs'!M203</f>
        <v>129.83268066927732</v>
      </c>
      <c r="N203" s="31">
        <f>'2011 Actual Costs'!N203</f>
        <v>132.15796395691893</v>
      </c>
      <c r="O203" s="32" t="e">
        <f>O204/O$197</f>
        <v>#DIV/0!</v>
      </c>
      <c r="P203" s="58"/>
      <c r="Q203" s="58"/>
      <c r="R203" s="58"/>
      <c r="S203" s="41"/>
      <c r="T203" s="8"/>
    </row>
    <row r="204" spans="1:20">
      <c r="A204" s="34" t="s">
        <v>56</v>
      </c>
      <c r="B204" s="35" t="s">
        <v>57</v>
      </c>
      <c r="C204" s="36">
        <f>C203*C$197</f>
        <v>0</v>
      </c>
      <c r="D204" s="37">
        <f t="shared" ref="D204:N204" si="144">D203*D$197</f>
        <v>0</v>
      </c>
      <c r="E204" s="36">
        <f t="shared" si="144"/>
        <v>0</v>
      </c>
      <c r="F204" s="37">
        <f t="shared" si="144"/>
        <v>0</v>
      </c>
      <c r="G204" s="36">
        <f t="shared" si="144"/>
        <v>0</v>
      </c>
      <c r="H204" s="37">
        <f t="shared" si="144"/>
        <v>0</v>
      </c>
      <c r="I204" s="36">
        <f t="shared" si="144"/>
        <v>0</v>
      </c>
      <c r="J204" s="37">
        <f t="shared" si="144"/>
        <v>0</v>
      </c>
      <c r="K204" s="36">
        <f t="shared" si="144"/>
        <v>0</v>
      </c>
      <c r="L204" s="37">
        <f t="shared" si="144"/>
        <v>0</v>
      </c>
      <c r="M204" s="36">
        <f t="shared" si="144"/>
        <v>0</v>
      </c>
      <c r="N204" s="37">
        <f t="shared" si="144"/>
        <v>0</v>
      </c>
      <c r="O204" s="38">
        <f>SUM(C204:N204)</f>
        <v>0</v>
      </c>
      <c r="P204" s="57"/>
      <c r="Q204" s="57"/>
      <c r="R204" s="57"/>
      <c r="S204" s="41"/>
      <c r="T204" s="8"/>
    </row>
    <row r="205" spans="1:20" ht="15.75">
      <c r="A205" s="42"/>
      <c r="B205" s="35" t="s">
        <v>58</v>
      </c>
      <c r="C205" s="43">
        <f>'Price Changes'!F40</f>
        <v>0.89465800000000006</v>
      </c>
      <c r="D205" s="44">
        <f t="shared" ref="D205:N205" si="145">C205</f>
        <v>0.89465800000000006</v>
      </c>
      <c r="E205" s="43">
        <f t="shared" si="145"/>
        <v>0.89465800000000006</v>
      </c>
      <c r="F205" s="44">
        <f t="shared" si="145"/>
        <v>0.89465800000000006</v>
      </c>
      <c r="G205" s="43">
        <f t="shared" si="145"/>
        <v>0.89465800000000006</v>
      </c>
      <c r="H205" s="44">
        <f t="shared" si="145"/>
        <v>0.89465800000000006</v>
      </c>
      <c r="I205" s="43">
        <f t="shared" si="145"/>
        <v>0.89465800000000006</v>
      </c>
      <c r="J205" s="44">
        <f t="shared" si="145"/>
        <v>0.89465800000000006</v>
      </c>
      <c r="K205" s="43">
        <f t="shared" si="145"/>
        <v>0.89465800000000006</v>
      </c>
      <c r="L205" s="44">
        <f t="shared" si="145"/>
        <v>0.89465800000000006</v>
      </c>
      <c r="M205" s="43">
        <f t="shared" si="145"/>
        <v>0.89465800000000006</v>
      </c>
      <c r="N205" s="44">
        <f t="shared" si="145"/>
        <v>0.89465800000000006</v>
      </c>
      <c r="O205" s="45">
        <f>IF(O204=0,0,+O206/O204)</f>
        <v>0</v>
      </c>
      <c r="P205" s="46"/>
      <c r="Q205" s="47"/>
      <c r="R205" s="47"/>
      <c r="S205" s="41"/>
      <c r="T205" s="8"/>
    </row>
    <row r="206" spans="1:20">
      <c r="A206" s="42"/>
      <c r="B206" s="35" t="s">
        <v>15</v>
      </c>
      <c r="C206" s="48">
        <f t="shared" ref="C206:N206" si="146">C204*C205</f>
        <v>0</v>
      </c>
      <c r="D206" s="49">
        <f t="shared" si="146"/>
        <v>0</v>
      </c>
      <c r="E206" s="48">
        <f t="shared" si="146"/>
        <v>0</v>
      </c>
      <c r="F206" s="49">
        <f t="shared" si="146"/>
        <v>0</v>
      </c>
      <c r="G206" s="48">
        <f t="shared" si="146"/>
        <v>0</v>
      </c>
      <c r="H206" s="49">
        <f t="shared" si="146"/>
        <v>0</v>
      </c>
      <c r="I206" s="48">
        <f t="shared" si="146"/>
        <v>0</v>
      </c>
      <c r="J206" s="49">
        <f t="shared" si="146"/>
        <v>0</v>
      </c>
      <c r="K206" s="48">
        <f t="shared" si="146"/>
        <v>0</v>
      </c>
      <c r="L206" s="49">
        <f t="shared" si="146"/>
        <v>0</v>
      </c>
      <c r="M206" s="48">
        <f t="shared" si="146"/>
        <v>0</v>
      </c>
      <c r="N206" s="49">
        <f t="shared" si="146"/>
        <v>0</v>
      </c>
      <c r="O206" s="50">
        <f>SUM(C206:N206)</f>
        <v>0</v>
      </c>
      <c r="P206" s="40"/>
      <c r="Q206" s="40"/>
      <c r="R206" s="40"/>
      <c r="S206" s="41"/>
      <c r="T206" s="8"/>
    </row>
    <row r="207" spans="1:20" ht="16.5" thickBot="1">
      <c r="A207" s="51"/>
      <c r="B207" s="52" t="s">
        <v>59</v>
      </c>
      <c r="C207" s="53" t="e">
        <f t="shared" ref="C207:O207" si="147">C206/C$197</f>
        <v>#DIV/0!</v>
      </c>
      <c r="D207" s="54" t="e">
        <f t="shared" si="147"/>
        <v>#DIV/0!</v>
      </c>
      <c r="E207" s="53" t="e">
        <f t="shared" si="147"/>
        <v>#DIV/0!</v>
      </c>
      <c r="F207" s="54" t="e">
        <f t="shared" si="147"/>
        <v>#DIV/0!</v>
      </c>
      <c r="G207" s="53" t="e">
        <f t="shared" si="147"/>
        <v>#DIV/0!</v>
      </c>
      <c r="H207" s="54" t="e">
        <f t="shared" si="147"/>
        <v>#DIV/0!</v>
      </c>
      <c r="I207" s="53" t="e">
        <f t="shared" si="147"/>
        <v>#DIV/0!</v>
      </c>
      <c r="J207" s="54" t="e">
        <f t="shared" si="147"/>
        <v>#DIV/0!</v>
      </c>
      <c r="K207" s="53" t="e">
        <f t="shared" si="147"/>
        <v>#DIV/0!</v>
      </c>
      <c r="L207" s="54" t="e">
        <f t="shared" si="147"/>
        <v>#DIV/0!</v>
      </c>
      <c r="M207" s="53" t="e">
        <f t="shared" si="147"/>
        <v>#DIV/0!</v>
      </c>
      <c r="N207" s="54" t="e">
        <f t="shared" si="147"/>
        <v>#DIV/0!</v>
      </c>
      <c r="O207" s="55" t="e">
        <f t="shared" si="147"/>
        <v>#DIV/0!</v>
      </c>
      <c r="P207" s="56"/>
      <c r="Q207" s="57"/>
      <c r="R207" s="57"/>
      <c r="S207" s="41"/>
      <c r="T207" s="8"/>
    </row>
    <row r="208" spans="1:20">
      <c r="A208" s="28" t="s">
        <v>61</v>
      </c>
      <c r="B208" s="29" t="s">
        <v>55</v>
      </c>
      <c r="C208" s="30">
        <f>'2012 Actual Costs'!C208</f>
        <v>28.176646143341575</v>
      </c>
      <c r="D208" s="31">
        <f>'2012 Actual Costs'!D208</f>
        <v>17.121934572276523</v>
      </c>
      <c r="E208" s="30">
        <f>'2012 Actual Costs'!E208</f>
        <v>33.139985712137438</v>
      </c>
      <c r="F208" s="31">
        <f>'2012 Actual Costs'!F208</f>
        <v>28.885452869606649</v>
      </c>
      <c r="G208" s="30">
        <f>'2011 Actual Costs'!G208</f>
        <v>25.048480930833872</v>
      </c>
      <c r="H208" s="31">
        <f>'2011 Actual Costs'!H208</f>
        <v>29.9484962166974</v>
      </c>
      <c r="I208" s="30">
        <f>'2011 Actual Costs'!I208</f>
        <v>30.336278987011447</v>
      </c>
      <c r="J208" s="31">
        <f>'2011 Actual Costs'!J208</f>
        <v>29.970215934475057</v>
      </c>
      <c r="K208" s="30">
        <f>'2011 Actual Costs'!K208</f>
        <v>27.220482466705668</v>
      </c>
      <c r="L208" s="31">
        <f>'2011 Actual Costs'!L208</f>
        <v>35.823045941255444</v>
      </c>
      <c r="M208" s="30">
        <f>'2011 Actual Costs'!M208</f>
        <v>33.392666429334284</v>
      </c>
      <c r="N208" s="31">
        <f>'2011 Actual Costs'!N208</f>
        <v>30.711264351473361</v>
      </c>
      <c r="O208" s="32" t="e">
        <f>O209/O$197</f>
        <v>#DIV/0!</v>
      </c>
    </row>
    <row r="209" spans="1:20">
      <c r="A209" s="34" t="s">
        <v>56</v>
      </c>
      <c r="B209" s="35" t="s">
        <v>57</v>
      </c>
      <c r="C209" s="36">
        <f>C208*C$197</f>
        <v>0</v>
      </c>
      <c r="D209" s="37">
        <f t="shared" ref="D209:N209" si="148">D208*D$197</f>
        <v>0</v>
      </c>
      <c r="E209" s="36">
        <f t="shared" si="148"/>
        <v>0</v>
      </c>
      <c r="F209" s="37">
        <f t="shared" si="148"/>
        <v>0</v>
      </c>
      <c r="G209" s="36">
        <f t="shared" si="148"/>
        <v>0</v>
      </c>
      <c r="H209" s="37">
        <f t="shared" si="148"/>
        <v>0</v>
      </c>
      <c r="I209" s="36">
        <f t="shared" si="148"/>
        <v>0</v>
      </c>
      <c r="J209" s="37">
        <f t="shared" si="148"/>
        <v>0</v>
      </c>
      <c r="K209" s="36">
        <f t="shared" si="148"/>
        <v>0</v>
      </c>
      <c r="L209" s="37">
        <f t="shared" si="148"/>
        <v>0</v>
      </c>
      <c r="M209" s="36">
        <f t="shared" si="148"/>
        <v>0</v>
      </c>
      <c r="N209" s="37">
        <f t="shared" si="148"/>
        <v>0</v>
      </c>
      <c r="O209" s="38">
        <f>SUM(C209:N209)</f>
        <v>0</v>
      </c>
      <c r="P209" s="57"/>
      <c r="Q209" s="47"/>
      <c r="R209" s="57"/>
      <c r="S209" s="41"/>
      <c r="T209" s="8"/>
    </row>
    <row r="210" spans="1:20" ht="15.75">
      <c r="A210" s="42"/>
      <c r="B210" s="35" t="s">
        <v>58</v>
      </c>
      <c r="C210" s="43">
        <f>'Price Changes'!F41</f>
        <v>0.443415</v>
      </c>
      <c r="D210" s="44">
        <f t="shared" ref="D210:N210" si="149">C210</f>
        <v>0.443415</v>
      </c>
      <c r="E210" s="43">
        <f t="shared" si="149"/>
        <v>0.443415</v>
      </c>
      <c r="F210" s="44">
        <f t="shared" si="149"/>
        <v>0.443415</v>
      </c>
      <c r="G210" s="43">
        <f t="shared" si="149"/>
        <v>0.443415</v>
      </c>
      <c r="H210" s="44">
        <f t="shared" si="149"/>
        <v>0.443415</v>
      </c>
      <c r="I210" s="43">
        <f t="shared" si="149"/>
        <v>0.443415</v>
      </c>
      <c r="J210" s="44">
        <f t="shared" si="149"/>
        <v>0.443415</v>
      </c>
      <c r="K210" s="43">
        <f t="shared" si="149"/>
        <v>0.443415</v>
      </c>
      <c r="L210" s="44">
        <f t="shared" si="149"/>
        <v>0.443415</v>
      </c>
      <c r="M210" s="43">
        <f t="shared" si="149"/>
        <v>0.443415</v>
      </c>
      <c r="N210" s="44">
        <f t="shared" si="149"/>
        <v>0.443415</v>
      </c>
      <c r="O210" s="45">
        <f>IF(O209=0,0,+O211/O209)</f>
        <v>0</v>
      </c>
      <c r="P210" s="46"/>
      <c r="Q210" s="47"/>
      <c r="R210" s="47"/>
      <c r="S210" s="41"/>
      <c r="T210" s="8"/>
    </row>
    <row r="211" spans="1:20">
      <c r="A211" s="42"/>
      <c r="B211" s="35" t="s">
        <v>15</v>
      </c>
      <c r="C211" s="48">
        <f t="shared" ref="C211:N211" si="150">C209*C210</f>
        <v>0</v>
      </c>
      <c r="D211" s="49">
        <f t="shared" si="150"/>
        <v>0</v>
      </c>
      <c r="E211" s="48">
        <f t="shared" si="150"/>
        <v>0</v>
      </c>
      <c r="F211" s="49">
        <f t="shared" si="150"/>
        <v>0</v>
      </c>
      <c r="G211" s="48">
        <f t="shared" si="150"/>
        <v>0</v>
      </c>
      <c r="H211" s="49">
        <f t="shared" si="150"/>
        <v>0</v>
      </c>
      <c r="I211" s="48">
        <f t="shared" si="150"/>
        <v>0</v>
      </c>
      <c r="J211" s="49">
        <f t="shared" si="150"/>
        <v>0</v>
      </c>
      <c r="K211" s="48">
        <f t="shared" si="150"/>
        <v>0</v>
      </c>
      <c r="L211" s="49">
        <f t="shared" si="150"/>
        <v>0</v>
      </c>
      <c r="M211" s="48">
        <f t="shared" si="150"/>
        <v>0</v>
      </c>
      <c r="N211" s="49">
        <f t="shared" si="150"/>
        <v>0</v>
      </c>
      <c r="O211" s="50">
        <f>SUM(C211:N211)</f>
        <v>0</v>
      </c>
      <c r="P211" s="40"/>
      <c r="Q211" s="40"/>
      <c r="R211" s="40"/>
      <c r="S211" s="41"/>
    </row>
    <row r="212" spans="1:20" ht="16.5" thickBot="1">
      <c r="A212" s="51"/>
      <c r="B212" s="52" t="s">
        <v>59</v>
      </c>
      <c r="C212" s="53" t="e">
        <f t="shared" ref="C212:O212" si="151">C211/C$197</f>
        <v>#DIV/0!</v>
      </c>
      <c r="D212" s="54" t="e">
        <f t="shared" si="151"/>
        <v>#DIV/0!</v>
      </c>
      <c r="E212" s="53" t="e">
        <f t="shared" si="151"/>
        <v>#DIV/0!</v>
      </c>
      <c r="F212" s="54" t="e">
        <f t="shared" si="151"/>
        <v>#DIV/0!</v>
      </c>
      <c r="G212" s="53" t="e">
        <f t="shared" si="151"/>
        <v>#DIV/0!</v>
      </c>
      <c r="H212" s="54" t="e">
        <f t="shared" si="151"/>
        <v>#DIV/0!</v>
      </c>
      <c r="I212" s="53" t="e">
        <f t="shared" si="151"/>
        <v>#DIV/0!</v>
      </c>
      <c r="J212" s="54" t="e">
        <f t="shared" si="151"/>
        <v>#DIV/0!</v>
      </c>
      <c r="K212" s="53" t="e">
        <f t="shared" si="151"/>
        <v>#DIV/0!</v>
      </c>
      <c r="L212" s="54" t="e">
        <f t="shared" si="151"/>
        <v>#DIV/0!</v>
      </c>
      <c r="M212" s="53" t="e">
        <f t="shared" si="151"/>
        <v>#DIV/0!</v>
      </c>
      <c r="N212" s="54" t="e">
        <f t="shared" si="151"/>
        <v>#DIV/0!</v>
      </c>
      <c r="O212" s="55" t="e">
        <f t="shared" si="151"/>
        <v>#DIV/0!</v>
      </c>
      <c r="P212" s="56"/>
      <c r="Q212" s="57"/>
      <c r="R212" s="57"/>
      <c r="S212" s="41"/>
    </row>
    <row r="213" spans="1:20">
      <c r="A213" s="28" t="s">
        <v>62</v>
      </c>
      <c r="B213" s="29" t="s">
        <v>55</v>
      </c>
      <c r="C213" s="30">
        <f>'2012 Actual Costs'!C213</f>
        <v>0</v>
      </c>
      <c r="D213" s="31">
        <f>'2012 Actual Costs'!D213</f>
        <v>0</v>
      </c>
      <c r="E213" s="30">
        <f>'2012 Actual Costs'!E213</f>
        <v>0</v>
      </c>
      <c r="F213" s="31">
        <f>'2012 Actual Costs'!F213</f>
        <v>2.1889421936849018</v>
      </c>
      <c r="G213" s="30">
        <f>'2011 Actual Costs'!G213</f>
        <v>0</v>
      </c>
      <c r="H213" s="31">
        <f>'2011 Actual Costs'!H213</f>
        <v>1.5896229414382907</v>
      </c>
      <c r="I213" s="30">
        <f>'2011 Actual Costs'!I213</f>
        <v>3.9100684261974585</v>
      </c>
      <c r="J213" s="31">
        <f>'2011 Actual Costs'!J213</f>
        <v>0</v>
      </c>
      <c r="K213" s="30">
        <f>'2011 Actual Costs'!K213</f>
        <v>3.4412746481296672</v>
      </c>
      <c r="L213" s="31">
        <f>'2011 Actual Costs'!L213</f>
        <v>0</v>
      </c>
      <c r="M213" s="30">
        <f>'2011 Actual Costs'!M213</f>
        <v>0</v>
      </c>
      <c r="N213" s="31">
        <f>'2011 Actual Costs'!N213</f>
        <v>0</v>
      </c>
      <c r="O213" s="32" t="e">
        <f>O214/O$197</f>
        <v>#DIV/0!</v>
      </c>
    </row>
    <row r="214" spans="1:20">
      <c r="A214" s="34" t="s">
        <v>56</v>
      </c>
      <c r="B214" s="35" t="s">
        <v>57</v>
      </c>
      <c r="C214" s="36">
        <f>C213*C$197</f>
        <v>0</v>
      </c>
      <c r="D214" s="37">
        <f t="shared" ref="D214:N214" si="152">D213*D$197</f>
        <v>0</v>
      </c>
      <c r="E214" s="36">
        <f t="shared" si="152"/>
        <v>0</v>
      </c>
      <c r="F214" s="37">
        <f t="shared" si="152"/>
        <v>0</v>
      </c>
      <c r="G214" s="36">
        <f t="shared" si="152"/>
        <v>0</v>
      </c>
      <c r="H214" s="37">
        <f t="shared" si="152"/>
        <v>0</v>
      </c>
      <c r="I214" s="36">
        <f t="shared" si="152"/>
        <v>0</v>
      </c>
      <c r="J214" s="37">
        <f t="shared" si="152"/>
        <v>0</v>
      </c>
      <c r="K214" s="36">
        <f t="shared" si="152"/>
        <v>0</v>
      </c>
      <c r="L214" s="37">
        <f t="shared" si="152"/>
        <v>0</v>
      </c>
      <c r="M214" s="36">
        <f t="shared" si="152"/>
        <v>0</v>
      </c>
      <c r="N214" s="37">
        <f t="shared" si="152"/>
        <v>0</v>
      </c>
      <c r="O214" s="67">
        <f>SUM(C214:N214)</f>
        <v>0</v>
      </c>
      <c r="P214" s="60"/>
      <c r="Q214" s="57"/>
      <c r="R214" s="57"/>
      <c r="S214" s="41"/>
      <c r="T214" s="8"/>
    </row>
    <row r="215" spans="1:20" ht="15.75">
      <c r="A215" s="42"/>
      <c r="B215" s="35" t="s">
        <v>58</v>
      </c>
      <c r="C215" s="43">
        <f>'Price Changes'!F42</f>
        <v>1.8731641800000001</v>
      </c>
      <c r="D215" s="44">
        <f t="shared" ref="D215:N215" si="153">C215</f>
        <v>1.8731641800000001</v>
      </c>
      <c r="E215" s="43">
        <f t="shared" si="153"/>
        <v>1.8731641800000001</v>
      </c>
      <c r="F215" s="44">
        <f t="shared" si="153"/>
        <v>1.8731641800000001</v>
      </c>
      <c r="G215" s="43">
        <f t="shared" si="153"/>
        <v>1.8731641800000001</v>
      </c>
      <c r="H215" s="44">
        <f t="shared" si="153"/>
        <v>1.8731641800000001</v>
      </c>
      <c r="I215" s="43">
        <f t="shared" si="153"/>
        <v>1.8731641800000001</v>
      </c>
      <c r="J215" s="44">
        <f t="shared" si="153"/>
        <v>1.8731641800000001</v>
      </c>
      <c r="K215" s="43">
        <f t="shared" si="153"/>
        <v>1.8731641800000001</v>
      </c>
      <c r="L215" s="44">
        <f t="shared" si="153"/>
        <v>1.8731641800000001</v>
      </c>
      <c r="M215" s="43">
        <f t="shared" si="153"/>
        <v>1.8731641800000001</v>
      </c>
      <c r="N215" s="44">
        <f t="shared" si="153"/>
        <v>1.8731641800000001</v>
      </c>
      <c r="O215" s="45">
        <f>IF(O214=0,0,+O216/O214)</f>
        <v>0</v>
      </c>
      <c r="P215" s="46"/>
      <c r="Q215" s="47"/>
      <c r="R215" s="47"/>
      <c r="S215" s="41"/>
      <c r="T215" s="8"/>
    </row>
    <row r="216" spans="1:20">
      <c r="A216" s="42"/>
      <c r="B216" s="35" t="s">
        <v>15</v>
      </c>
      <c r="C216" s="48">
        <f t="shared" ref="C216:N216" si="154">C214*C215</f>
        <v>0</v>
      </c>
      <c r="D216" s="49">
        <f t="shared" si="154"/>
        <v>0</v>
      </c>
      <c r="E216" s="48">
        <f t="shared" si="154"/>
        <v>0</v>
      </c>
      <c r="F216" s="49">
        <f t="shared" si="154"/>
        <v>0</v>
      </c>
      <c r="G216" s="48">
        <f t="shared" si="154"/>
        <v>0</v>
      </c>
      <c r="H216" s="49">
        <f t="shared" si="154"/>
        <v>0</v>
      </c>
      <c r="I216" s="48">
        <f t="shared" si="154"/>
        <v>0</v>
      </c>
      <c r="J216" s="49">
        <f t="shared" si="154"/>
        <v>0</v>
      </c>
      <c r="K216" s="48">
        <f t="shared" si="154"/>
        <v>0</v>
      </c>
      <c r="L216" s="49">
        <f t="shared" si="154"/>
        <v>0</v>
      </c>
      <c r="M216" s="48">
        <f t="shared" si="154"/>
        <v>0</v>
      </c>
      <c r="N216" s="49">
        <f t="shared" si="154"/>
        <v>0</v>
      </c>
      <c r="O216" s="50">
        <f>SUM(C216:N216)</f>
        <v>0</v>
      </c>
      <c r="P216" s="40"/>
      <c r="Q216" s="40"/>
      <c r="R216" s="40"/>
      <c r="S216" s="41"/>
      <c r="T216" s="8"/>
    </row>
    <row r="217" spans="1:20" ht="16.5" thickBot="1">
      <c r="A217" s="51"/>
      <c r="B217" s="52" t="s">
        <v>59</v>
      </c>
      <c r="C217" s="53" t="e">
        <f t="shared" ref="C217:O217" si="155">C216/C$197</f>
        <v>#DIV/0!</v>
      </c>
      <c r="D217" s="54" t="e">
        <f t="shared" si="155"/>
        <v>#DIV/0!</v>
      </c>
      <c r="E217" s="53" t="e">
        <f t="shared" si="155"/>
        <v>#DIV/0!</v>
      </c>
      <c r="F217" s="54" t="e">
        <f t="shared" si="155"/>
        <v>#DIV/0!</v>
      </c>
      <c r="G217" s="53" t="e">
        <f t="shared" si="155"/>
        <v>#DIV/0!</v>
      </c>
      <c r="H217" s="54" t="e">
        <f t="shared" si="155"/>
        <v>#DIV/0!</v>
      </c>
      <c r="I217" s="53" t="e">
        <f t="shared" si="155"/>
        <v>#DIV/0!</v>
      </c>
      <c r="J217" s="54" t="e">
        <f t="shared" si="155"/>
        <v>#DIV/0!</v>
      </c>
      <c r="K217" s="53" t="e">
        <f t="shared" si="155"/>
        <v>#DIV/0!</v>
      </c>
      <c r="L217" s="54" t="e">
        <f t="shared" si="155"/>
        <v>#DIV/0!</v>
      </c>
      <c r="M217" s="53" t="e">
        <f t="shared" si="155"/>
        <v>#DIV/0!</v>
      </c>
      <c r="N217" s="54" t="e">
        <f t="shared" si="155"/>
        <v>#DIV/0!</v>
      </c>
      <c r="O217" s="55" t="e">
        <f t="shared" si="155"/>
        <v>#DIV/0!</v>
      </c>
      <c r="P217" s="56"/>
      <c r="Q217" s="57"/>
      <c r="R217" s="57"/>
      <c r="S217" s="41"/>
    </row>
    <row r="218" spans="1:20">
      <c r="A218" s="181" t="s">
        <v>63</v>
      </c>
      <c r="B218" s="29" t="s">
        <v>55</v>
      </c>
      <c r="C218" s="30">
        <f>'2012 Actual Costs'!C218</f>
        <v>0</v>
      </c>
      <c r="D218" s="31">
        <f>'2012 Actual Costs'!D218</f>
        <v>0</v>
      </c>
      <c r="E218" s="30">
        <f>'2012 Actual Costs'!E218</f>
        <v>0</v>
      </c>
      <c r="F218" s="31">
        <f>'2012 Actual Costs'!F218</f>
        <v>0</v>
      </c>
      <c r="G218" s="30">
        <f>'2011 Actual Costs'!G218</f>
        <v>0</v>
      </c>
      <c r="H218" s="31">
        <f>'2011 Actual Costs'!H218</f>
        <v>0</v>
      </c>
      <c r="I218" s="30">
        <f>'2011 Actual Costs'!I218</f>
        <v>0</v>
      </c>
      <c r="J218" s="31">
        <f>'2011 Actual Costs'!J218</f>
        <v>0</v>
      </c>
      <c r="K218" s="30">
        <f>'2011 Actual Costs'!K218</f>
        <v>0</v>
      </c>
      <c r="L218" s="31">
        <f>'2011 Actual Costs'!L218</f>
        <v>0</v>
      </c>
      <c r="M218" s="30">
        <f>'2011 Actual Costs'!M218</f>
        <v>0</v>
      </c>
      <c r="N218" s="31">
        <f>'2011 Actual Costs'!N218</f>
        <v>0</v>
      </c>
      <c r="O218" s="32" t="e">
        <f>O219/O$197</f>
        <v>#DIV/0!</v>
      </c>
    </row>
    <row r="219" spans="1:20">
      <c r="A219" s="34" t="s">
        <v>64</v>
      </c>
      <c r="B219" s="35" t="s">
        <v>57</v>
      </c>
      <c r="C219" s="36">
        <f t="shared" ref="C219:N219" si="156">C218*C$197</f>
        <v>0</v>
      </c>
      <c r="D219" s="37">
        <f t="shared" si="156"/>
        <v>0</v>
      </c>
      <c r="E219" s="36">
        <f t="shared" si="156"/>
        <v>0</v>
      </c>
      <c r="F219" s="37">
        <f t="shared" si="156"/>
        <v>0</v>
      </c>
      <c r="G219" s="36">
        <f t="shared" si="156"/>
        <v>0</v>
      </c>
      <c r="H219" s="37">
        <f t="shared" si="156"/>
        <v>0</v>
      </c>
      <c r="I219" s="36">
        <f t="shared" si="156"/>
        <v>0</v>
      </c>
      <c r="J219" s="37">
        <f t="shared" si="156"/>
        <v>0</v>
      </c>
      <c r="K219" s="36">
        <f t="shared" si="156"/>
        <v>0</v>
      </c>
      <c r="L219" s="37">
        <f t="shared" si="156"/>
        <v>0</v>
      </c>
      <c r="M219" s="36">
        <f t="shared" si="156"/>
        <v>0</v>
      </c>
      <c r="N219" s="37">
        <f t="shared" si="156"/>
        <v>0</v>
      </c>
      <c r="O219" s="67">
        <f>SUM(C219:N219)</f>
        <v>0</v>
      </c>
    </row>
    <row r="220" spans="1:20">
      <c r="A220" s="34"/>
      <c r="B220" s="35" t="s">
        <v>58</v>
      </c>
      <c r="C220" s="43">
        <f>'Price Changes'!F43</f>
        <v>0</v>
      </c>
      <c r="D220" s="44">
        <f t="shared" ref="D220:N220" si="157">C220</f>
        <v>0</v>
      </c>
      <c r="E220" s="43">
        <f t="shared" si="157"/>
        <v>0</v>
      </c>
      <c r="F220" s="44">
        <f t="shared" si="157"/>
        <v>0</v>
      </c>
      <c r="G220" s="43">
        <f t="shared" si="157"/>
        <v>0</v>
      </c>
      <c r="H220" s="44">
        <f t="shared" si="157"/>
        <v>0</v>
      </c>
      <c r="I220" s="43">
        <f t="shared" si="157"/>
        <v>0</v>
      </c>
      <c r="J220" s="44">
        <f t="shared" si="157"/>
        <v>0</v>
      </c>
      <c r="K220" s="43">
        <f t="shared" si="157"/>
        <v>0</v>
      </c>
      <c r="L220" s="44">
        <f t="shared" si="157"/>
        <v>0</v>
      </c>
      <c r="M220" s="43">
        <f t="shared" si="157"/>
        <v>0</v>
      </c>
      <c r="N220" s="44">
        <f t="shared" si="157"/>
        <v>0</v>
      </c>
      <c r="O220" s="45">
        <f>IF(O219=0,0,+O221/O219)</f>
        <v>0</v>
      </c>
    </row>
    <row r="221" spans="1:20">
      <c r="A221" s="42"/>
      <c r="B221" s="35" t="s">
        <v>15</v>
      </c>
      <c r="C221" s="48">
        <f t="shared" ref="C221:N221" si="158">C219*C220</f>
        <v>0</v>
      </c>
      <c r="D221" s="49">
        <f t="shared" si="158"/>
        <v>0</v>
      </c>
      <c r="E221" s="48">
        <f t="shared" si="158"/>
        <v>0</v>
      </c>
      <c r="F221" s="49">
        <f t="shared" si="158"/>
        <v>0</v>
      </c>
      <c r="G221" s="48">
        <f t="shared" si="158"/>
        <v>0</v>
      </c>
      <c r="H221" s="49">
        <f t="shared" si="158"/>
        <v>0</v>
      </c>
      <c r="I221" s="48">
        <f t="shared" si="158"/>
        <v>0</v>
      </c>
      <c r="J221" s="49">
        <f t="shared" si="158"/>
        <v>0</v>
      </c>
      <c r="K221" s="48">
        <f t="shared" si="158"/>
        <v>0</v>
      </c>
      <c r="L221" s="49">
        <f t="shared" si="158"/>
        <v>0</v>
      </c>
      <c r="M221" s="48">
        <f t="shared" si="158"/>
        <v>0</v>
      </c>
      <c r="N221" s="49">
        <f t="shared" si="158"/>
        <v>0</v>
      </c>
      <c r="O221" s="50">
        <f>SUM(C221:N221)</f>
        <v>0</v>
      </c>
    </row>
    <row r="222" spans="1:20" ht="13.5" thickBot="1">
      <c r="A222" s="51"/>
      <c r="B222" s="52" t="s">
        <v>59</v>
      </c>
      <c r="C222" s="53" t="e">
        <f t="shared" ref="C222:O222" si="159">C221/C$197</f>
        <v>#DIV/0!</v>
      </c>
      <c r="D222" s="54" t="e">
        <f t="shared" si="159"/>
        <v>#DIV/0!</v>
      </c>
      <c r="E222" s="53" t="e">
        <f t="shared" si="159"/>
        <v>#DIV/0!</v>
      </c>
      <c r="F222" s="54" t="e">
        <f t="shared" si="159"/>
        <v>#DIV/0!</v>
      </c>
      <c r="G222" s="53" t="e">
        <f t="shared" si="159"/>
        <v>#DIV/0!</v>
      </c>
      <c r="H222" s="54" t="e">
        <f t="shared" si="159"/>
        <v>#DIV/0!</v>
      </c>
      <c r="I222" s="53" t="e">
        <f t="shared" si="159"/>
        <v>#DIV/0!</v>
      </c>
      <c r="J222" s="54" t="e">
        <f t="shared" si="159"/>
        <v>#DIV/0!</v>
      </c>
      <c r="K222" s="53" t="e">
        <f t="shared" si="159"/>
        <v>#DIV/0!</v>
      </c>
      <c r="L222" s="54" t="e">
        <f t="shared" si="159"/>
        <v>#DIV/0!</v>
      </c>
      <c r="M222" s="53" t="e">
        <f t="shared" si="159"/>
        <v>#DIV/0!</v>
      </c>
      <c r="N222" s="54" t="e">
        <f t="shared" si="159"/>
        <v>#DIV/0!</v>
      </c>
      <c r="O222" s="55" t="e">
        <f t="shared" si="159"/>
        <v>#DIV/0!</v>
      </c>
    </row>
    <row r="223" spans="1:20">
      <c r="A223" s="28" t="s">
        <v>65</v>
      </c>
      <c r="B223" s="29" t="s">
        <v>55</v>
      </c>
      <c r="C223" s="30">
        <f>'2012 Actual Costs'!C223</f>
        <v>1322.0528124143786</v>
      </c>
      <c r="D223" s="31">
        <f>'2012 Actual Costs'!D223</f>
        <v>1607.4679029830445</v>
      </c>
      <c r="E223" s="30">
        <f>'2012 Actual Costs'!E223</f>
        <v>1385.9539873941924</v>
      </c>
      <c r="F223" s="31">
        <f>'2012 Actual Costs'!F223</f>
        <v>1510.7993179942853</v>
      </c>
      <c r="G223" s="30">
        <f>'2011 Actual Costs'!G223</f>
        <v>1115.8371040723982</v>
      </c>
      <c r="H223" s="31">
        <f>'2011 Actual Costs'!H223</f>
        <v>1053.4431232911554</v>
      </c>
      <c r="I223" s="30">
        <f>'2011 Actual Costs'!I223</f>
        <v>1000.3261965482474</v>
      </c>
      <c r="J223" s="31">
        <f>'2011 Actual Costs'!J223</f>
        <v>1067.8518242740133</v>
      </c>
      <c r="K223" s="30">
        <f>'2011 Actual Costs'!K223</f>
        <v>1059.5684641591245</v>
      </c>
      <c r="L223" s="31">
        <f>'2011 Actual Costs'!L223</f>
        <v>822.29280592029863</v>
      </c>
      <c r="M223" s="30">
        <f>'2011 Actual Costs'!M223</f>
        <v>1449.9466002135991</v>
      </c>
      <c r="N223" s="31">
        <f>'2011 Actual Costs'!N223</f>
        <v>1233.2492091138522</v>
      </c>
      <c r="O223" s="32" t="e">
        <f>O224/O$197</f>
        <v>#DIV/0!</v>
      </c>
    </row>
    <row r="224" spans="1:20">
      <c r="A224" s="182" t="s">
        <v>64</v>
      </c>
      <c r="B224" s="35" t="s">
        <v>57</v>
      </c>
      <c r="C224" s="36">
        <f>C223*C$197</f>
        <v>0</v>
      </c>
      <c r="D224" s="37">
        <f t="shared" ref="D224:N224" si="160">D223*D$197</f>
        <v>0</v>
      </c>
      <c r="E224" s="36">
        <f t="shared" si="160"/>
        <v>0</v>
      </c>
      <c r="F224" s="37">
        <f t="shared" si="160"/>
        <v>0</v>
      </c>
      <c r="G224" s="36">
        <f t="shared" si="160"/>
        <v>0</v>
      </c>
      <c r="H224" s="37">
        <f t="shared" si="160"/>
        <v>0</v>
      </c>
      <c r="I224" s="36">
        <f t="shared" si="160"/>
        <v>0</v>
      </c>
      <c r="J224" s="37">
        <f t="shared" si="160"/>
        <v>0</v>
      </c>
      <c r="K224" s="36">
        <f t="shared" si="160"/>
        <v>0</v>
      </c>
      <c r="L224" s="37">
        <f t="shared" si="160"/>
        <v>0</v>
      </c>
      <c r="M224" s="36">
        <f t="shared" si="160"/>
        <v>0</v>
      </c>
      <c r="N224" s="37">
        <f t="shared" si="160"/>
        <v>0</v>
      </c>
      <c r="O224" s="38">
        <f>SUM(C224:N224)</f>
        <v>0</v>
      </c>
      <c r="P224" s="57"/>
      <c r="Q224" s="57"/>
      <c r="R224" s="57"/>
      <c r="S224" s="41"/>
      <c r="T224" s="8"/>
    </row>
    <row r="225" spans="1:20" ht="15.75">
      <c r="A225" s="42"/>
      <c r="B225" s="35" t="s">
        <v>58</v>
      </c>
      <c r="C225" s="43">
        <f>'Price Changes'!F44</f>
        <v>0.22664400000000001</v>
      </c>
      <c r="D225" s="44">
        <f t="shared" ref="D225:N225" si="161">C225</f>
        <v>0.22664400000000001</v>
      </c>
      <c r="E225" s="43">
        <f t="shared" si="161"/>
        <v>0.22664400000000001</v>
      </c>
      <c r="F225" s="44">
        <f t="shared" si="161"/>
        <v>0.22664400000000001</v>
      </c>
      <c r="G225" s="43">
        <f t="shared" si="161"/>
        <v>0.22664400000000001</v>
      </c>
      <c r="H225" s="44">
        <f t="shared" si="161"/>
        <v>0.22664400000000001</v>
      </c>
      <c r="I225" s="43">
        <f t="shared" si="161"/>
        <v>0.22664400000000001</v>
      </c>
      <c r="J225" s="44">
        <f t="shared" si="161"/>
        <v>0.22664400000000001</v>
      </c>
      <c r="K225" s="43">
        <f t="shared" si="161"/>
        <v>0.22664400000000001</v>
      </c>
      <c r="L225" s="44">
        <f t="shared" si="161"/>
        <v>0.22664400000000001</v>
      </c>
      <c r="M225" s="43">
        <f t="shared" si="161"/>
        <v>0.22664400000000001</v>
      </c>
      <c r="N225" s="44">
        <f t="shared" si="161"/>
        <v>0.22664400000000001</v>
      </c>
      <c r="O225" s="45">
        <f>IF(O224=0,0,+O226/O224)</f>
        <v>0</v>
      </c>
      <c r="P225" s="46"/>
      <c r="Q225" s="47"/>
      <c r="R225" s="47"/>
      <c r="S225" s="41"/>
      <c r="T225" s="8"/>
    </row>
    <row r="226" spans="1:20">
      <c r="A226" s="42"/>
      <c r="B226" s="35" t="s">
        <v>15</v>
      </c>
      <c r="C226" s="48">
        <f t="shared" ref="C226:N226" si="162">C224*C225</f>
        <v>0</v>
      </c>
      <c r="D226" s="49">
        <f t="shared" si="162"/>
        <v>0</v>
      </c>
      <c r="E226" s="48">
        <f t="shared" si="162"/>
        <v>0</v>
      </c>
      <c r="F226" s="49">
        <f t="shared" si="162"/>
        <v>0</v>
      </c>
      <c r="G226" s="48">
        <f t="shared" si="162"/>
        <v>0</v>
      </c>
      <c r="H226" s="49">
        <f t="shared" si="162"/>
        <v>0</v>
      </c>
      <c r="I226" s="48">
        <f t="shared" si="162"/>
        <v>0</v>
      </c>
      <c r="J226" s="49">
        <f t="shared" si="162"/>
        <v>0</v>
      </c>
      <c r="K226" s="48">
        <f t="shared" si="162"/>
        <v>0</v>
      </c>
      <c r="L226" s="49">
        <f t="shared" si="162"/>
        <v>0</v>
      </c>
      <c r="M226" s="48">
        <f t="shared" si="162"/>
        <v>0</v>
      </c>
      <c r="N226" s="49">
        <f t="shared" si="162"/>
        <v>0</v>
      </c>
      <c r="O226" s="50">
        <f>SUM(C226:N226)</f>
        <v>0</v>
      </c>
      <c r="P226" s="40"/>
      <c r="Q226" s="40"/>
      <c r="R226" s="40"/>
      <c r="S226" s="41"/>
    </row>
    <row r="227" spans="1:20" ht="16.5" thickBot="1">
      <c r="A227" s="51"/>
      <c r="B227" s="52" t="s">
        <v>59</v>
      </c>
      <c r="C227" s="53" t="e">
        <f t="shared" ref="C227:O227" si="163">C226/C$197</f>
        <v>#DIV/0!</v>
      </c>
      <c r="D227" s="54" t="e">
        <f t="shared" si="163"/>
        <v>#DIV/0!</v>
      </c>
      <c r="E227" s="53" t="e">
        <f t="shared" si="163"/>
        <v>#DIV/0!</v>
      </c>
      <c r="F227" s="54" t="e">
        <f t="shared" si="163"/>
        <v>#DIV/0!</v>
      </c>
      <c r="G227" s="53" t="e">
        <f t="shared" si="163"/>
        <v>#DIV/0!</v>
      </c>
      <c r="H227" s="54" t="e">
        <f t="shared" si="163"/>
        <v>#DIV/0!</v>
      </c>
      <c r="I227" s="53" t="e">
        <f t="shared" si="163"/>
        <v>#DIV/0!</v>
      </c>
      <c r="J227" s="54" t="e">
        <f t="shared" si="163"/>
        <v>#DIV/0!</v>
      </c>
      <c r="K227" s="53" t="e">
        <f t="shared" si="163"/>
        <v>#DIV/0!</v>
      </c>
      <c r="L227" s="54" t="e">
        <f t="shared" si="163"/>
        <v>#DIV/0!</v>
      </c>
      <c r="M227" s="53" t="e">
        <f t="shared" si="163"/>
        <v>#DIV/0!</v>
      </c>
      <c r="N227" s="54" t="e">
        <f t="shared" si="163"/>
        <v>#DIV/0!</v>
      </c>
      <c r="O227" s="55" t="e">
        <f t="shared" si="163"/>
        <v>#DIV/0!</v>
      </c>
      <c r="P227" s="56"/>
      <c r="Q227" s="57"/>
      <c r="R227" s="57"/>
      <c r="S227" s="41"/>
    </row>
    <row r="228" spans="1:20">
      <c r="A228" s="28" t="s">
        <v>66</v>
      </c>
      <c r="B228" s="29" t="s">
        <v>55</v>
      </c>
      <c r="C228" s="30">
        <f>'2012 Actual Costs'!C228</f>
        <v>23.753789644522058</v>
      </c>
      <c r="D228" s="31">
        <f>'2012 Actual Costs'!D228</f>
        <v>22.887041656106337</v>
      </c>
      <c r="E228" s="30">
        <f>'2012 Actual Costs'!E228</f>
        <v>37.541720723711251</v>
      </c>
      <c r="F228" s="31">
        <f>'2012 Actual Costs'!F228</f>
        <v>31.503599414994472</v>
      </c>
      <c r="G228" s="30">
        <f>'2011 Actual Costs'!G228</f>
        <v>31.027795733678087</v>
      </c>
      <c r="H228" s="31">
        <f>'2011 Actual Costs'!H228</f>
        <v>37.642271253258727</v>
      </c>
      <c r="I228" s="30">
        <f>'2011 Actual Costs'!I228</f>
        <v>19.660755589822667</v>
      </c>
      <c r="J228" s="31">
        <f>'2011 Actual Costs'!J228</f>
        <v>36.361379995035989</v>
      </c>
      <c r="K228" s="30">
        <f>'2011 Actual Costs'!K228</f>
        <v>30.007914931690696</v>
      </c>
      <c r="L228" s="31">
        <f>'2011 Actual Costs'!L228</f>
        <v>31.926389207243197</v>
      </c>
      <c r="M228" s="30">
        <f>'2011 Actual Costs'!M228</f>
        <v>24.314702741189034</v>
      </c>
      <c r="N228" s="31">
        <f>'2011 Actual Costs'!N228</f>
        <v>37.109444424696974</v>
      </c>
      <c r="O228" s="32" t="e">
        <f>O229/O$197</f>
        <v>#DIV/0!</v>
      </c>
    </row>
    <row r="229" spans="1:20">
      <c r="A229" s="34" t="s">
        <v>64</v>
      </c>
      <c r="B229" s="35" t="s">
        <v>57</v>
      </c>
      <c r="C229" s="36">
        <f>C228*C$197</f>
        <v>0</v>
      </c>
      <c r="D229" s="37">
        <f t="shared" ref="D229:N229" si="164">D228*D$197</f>
        <v>0</v>
      </c>
      <c r="E229" s="36">
        <f t="shared" si="164"/>
        <v>0</v>
      </c>
      <c r="F229" s="37">
        <f t="shared" si="164"/>
        <v>0</v>
      </c>
      <c r="G229" s="36">
        <f t="shared" si="164"/>
        <v>0</v>
      </c>
      <c r="H229" s="37">
        <f t="shared" si="164"/>
        <v>0</v>
      </c>
      <c r="I229" s="36">
        <f t="shared" si="164"/>
        <v>0</v>
      </c>
      <c r="J229" s="37">
        <f t="shared" si="164"/>
        <v>0</v>
      </c>
      <c r="K229" s="36">
        <f t="shared" si="164"/>
        <v>0</v>
      </c>
      <c r="L229" s="37">
        <f t="shared" si="164"/>
        <v>0</v>
      </c>
      <c r="M229" s="36">
        <f t="shared" si="164"/>
        <v>0</v>
      </c>
      <c r="N229" s="37">
        <f t="shared" si="164"/>
        <v>0</v>
      </c>
      <c r="O229" s="38">
        <f>SUM(C229:N229)</f>
        <v>0</v>
      </c>
      <c r="P229" s="57"/>
      <c r="Q229" s="57"/>
      <c r="R229" s="57"/>
      <c r="S229" s="41"/>
      <c r="T229" s="8"/>
    </row>
    <row r="230" spans="1:20" ht="15.75">
      <c r="A230" s="42"/>
      <c r="B230" s="35" t="s">
        <v>58</v>
      </c>
      <c r="C230" s="43">
        <f>'Price Changes'!F45</f>
        <v>0.39899999999999997</v>
      </c>
      <c r="D230" s="44">
        <f t="shared" ref="D230:N230" si="165">C230</f>
        <v>0.39899999999999997</v>
      </c>
      <c r="E230" s="43">
        <f t="shared" si="165"/>
        <v>0.39899999999999997</v>
      </c>
      <c r="F230" s="44">
        <f t="shared" si="165"/>
        <v>0.39899999999999997</v>
      </c>
      <c r="G230" s="43">
        <f t="shared" si="165"/>
        <v>0.39899999999999997</v>
      </c>
      <c r="H230" s="44">
        <f t="shared" si="165"/>
        <v>0.39899999999999997</v>
      </c>
      <c r="I230" s="43">
        <f t="shared" si="165"/>
        <v>0.39899999999999997</v>
      </c>
      <c r="J230" s="44">
        <f t="shared" si="165"/>
        <v>0.39899999999999997</v>
      </c>
      <c r="K230" s="43">
        <f t="shared" si="165"/>
        <v>0.39899999999999997</v>
      </c>
      <c r="L230" s="44">
        <f t="shared" si="165"/>
        <v>0.39899999999999997</v>
      </c>
      <c r="M230" s="43">
        <f t="shared" si="165"/>
        <v>0.39899999999999997</v>
      </c>
      <c r="N230" s="44">
        <f t="shared" si="165"/>
        <v>0.39899999999999997</v>
      </c>
      <c r="O230" s="45">
        <f>IF(O229=0,0,+O231/O229)</f>
        <v>0</v>
      </c>
      <c r="P230" s="46"/>
      <c r="Q230" s="47"/>
      <c r="R230" s="47"/>
      <c r="S230" s="41"/>
      <c r="T230" s="8"/>
    </row>
    <row r="231" spans="1:20">
      <c r="A231" s="42"/>
      <c r="B231" s="35" t="s">
        <v>15</v>
      </c>
      <c r="C231" s="48">
        <f t="shared" ref="C231:N231" si="166">C229*C230</f>
        <v>0</v>
      </c>
      <c r="D231" s="49">
        <f t="shared" si="166"/>
        <v>0</v>
      </c>
      <c r="E231" s="48">
        <f t="shared" si="166"/>
        <v>0</v>
      </c>
      <c r="F231" s="49">
        <f t="shared" si="166"/>
        <v>0</v>
      </c>
      <c r="G231" s="48">
        <f t="shared" si="166"/>
        <v>0</v>
      </c>
      <c r="H231" s="49">
        <f t="shared" si="166"/>
        <v>0</v>
      </c>
      <c r="I231" s="48">
        <f t="shared" si="166"/>
        <v>0</v>
      </c>
      <c r="J231" s="49">
        <f t="shared" si="166"/>
        <v>0</v>
      </c>
      <c r="K231" s="48">
        <f t="shared" si="166"/>
        <v>0</v>
      </c>
      <c r="L231" s="49">
        <f t="shared" si="166"/>
        <v>0</v>
      </c>
      <c r="M231" s="48">
        <f t="shared" si="166"/>
        <v>0</v>
      </c>
      <c r="N231" s="49">
        <f t="shared" si="166"/>
        <v>0</v>
      </c>
      <c r="O231" s="50">
        <f>SUM(C231:N231)</f>
        <v>0</v>
      </c>
      <c r="P231" s="40"/>
      <c r="Q231" s="40"/>
      <c r="R231" s="40"/>
      <c r="S231" s="41"/>
    </row>
    <row r="232" spans="1:20" ht="16.5" thickBot="1">
      <c r="A232" s="51"/>
      <c r="B232" s="52" t="s">
        <v>59</v>
      </c>
      <c r="C232" s="53" t="e">
        <f t="shared" ref="C232:O232" si="167">C231/C$197</f>
        <v>#DIV/0!</v>
      </c>
      <c r="D232" s="54" t="e">
        <f t="shared" si="167"/>
        <v>#DIV/0!</v>
      </c>
      <c r="E232" s="53" t="e">
        <f t="shared" si="167"/>
        <v>#DIV/0!</v>
      </c>
      <c r="F232" s="54" t="e">
        <f t="shared" si="167"/>
        <v>#DIV/0!</v>
      </c>
      <c r="G232" s="53" t="e">
        <f t="shared" si="167"/>
        <v>#DIV/0!</v>
      </c>
      <c r="H232" s="54" t="e">
        <f t="shared" si="167"/>
        <v>#DIV/0!</v>
      </c>
      <c r="I232" s="53" t="e">
        <f t="shared" si="167"/>
        <v>#DIV/0!</v>
      </c>
      <c r="J232" s="54" t="e">
        <f t="shared" si="167"/>
        <v>#DIV/0!</v>
      </c>
      <c r="K232" s="53" t="e">
        <f t="shared" si="167"/>
        <v>#DIV/0!</v>
      </c>
      <c r="L232" s="54" t="e">
        <f t="shared" si="167"/>
        <v>#DIV/0!</v>
      </c>
      <c r="M232" s="53" t="e">
        <f t="shared" si="167"/>
        <v>#DIV/0!</v>
      </c>
      <c r="N232" s="54" t="e">
        <f t="shared" si="167"/>
        <v>#DIV/0!</v>
      </c>
      <c r="O232" s="55" t="e">
        <f t="shared" si="167"/>
        <v>#DIV/0!</v>
      </c>
      <c r="P232" s="56"/>
      <c r="Q232" s="57"/>
      <c r="R232" s="57"/>
      <c r="S232" s="41"/>
    </row>
    <row r="233" spans="1:20">
      <c r="A233" s="69" t="s">
        <v>67</v>
      </c>
      <c r="B233" s="29" t="s">
        <v>55</v>
      </c>
      <c r="C233" s="30">
        <f>'2012 Actual Costs'!C233</f>
        <v>0</v>
      </c>
      <c r="D233" s="31">
        <f>'2012 Actual Costs'!D233</f>
        <v>0</v>
      </c>
      <c r="E233" s="30">
        <f>'2012 Actual Costs'!E233</f>
        <v>0</v>
      </c>
      <c r="F233" s="31">
        <f>'2012 Actual Costs'!F233</f>
        <v>0</v>
      </c>
      <c r="G233" s="30">
        <f>'2011 Actual Costs'!G233</f>
        <v>0</v>
      </c>
      <c r="H233" s="31">
        <f>'2011 Actual Costs'!H233</f>
        <v>0</v>
      </c>
      <c r="I233" s="30">
        <f>'2011 Actual Costs'!I233</f>
        <v>0</v>
      </c>
      <c r="J233" s="31">
        <f>'2011 Actual Costs'!J233</f>
        <v>0</v>
      </c>
      <c r="K233" s="30">
        <f>'2011 Actual Costs'!K233</f>
        <v>0</v>
      </c>
      <c r="L233" s="31">
        <f>'2011 Actual Costs'!L233</f>
        <v>0</v>
      </c>
      <c r="M233" s="30">
        <f>'2011 Actual Costs'!M233</f>
        <v>0</v>
      </c>
      <c r="N233" s="31">
        <f>'2011 Actual Costs'!N233</f>
        <v>0</v>
      </c>
      <c r="O233" s="32" t="e">
        <f>O234/O$197</f>
        <v>#DIV/0!</v>
      </c>
    </row>
    <row r="234" spans="1:20">
      <c r="A234" s="34" t="s">
        <v>64</v>
      </c>
      <c r="B234" s="35" t="s">
        <v>57</v>
      </c>
      <c r="C234" s="65">
        <f t="shared" ref="C234:N234" si="168">C$197*C233</f>
        <v>0</v>
      </c>
      <c r="D234" s="66">
        <f t="shared" si="168"/>
        <v>0</v>
      </c>
      <c r="E234" s="65">
        <f t="shared" si="168"/>
        <v>0</v>
      </c>
      <c r="F234" s="66">
        <f t="shared" si="168"/>
        <v>0</v>
      </c>
      <c r="G234" s="65">
        <f t="shared" si="168"/>
        <v>0</v>
      </c>
      <c r="H234" s="66">
        <f t="shared" si="168"/>
        <v>0</v>
      </c>
      <c r="I234" s="65">
        <f t="shared" si="168"/>
        <v>0</v>
      </c>
      <c r="J234" s="66">
        <f t="shared" si="168"/>
        <v>0</v>
      </c>
      <c r="K234" s="65">
        <f t="shared" si="168"/>
        <v>0</v>
      </c>
      <c r="L234" s="66">
        <f t="shared" si="168"/>
        <v>0</v>
      </c>
      <c r="M234" s="65">
        <f t="shared" si="168"/>
        <v>0</v>
      </c>
      <c r="N234" s="66">
        <f t="shared" si="168"/>
        <v>0</v>
      </c>
      <c r="O234" s="67">
        <f>SUM(C234:N234)</f>
        <v>0</v>
      </c>
    </row>
    <row r="235" spans="1:20">
      <c r="A235" s="42"/>
      <c r="B235" s="35" t="s">
        <v>58</v>
      </c>
      <c r="C235" s="43">
        <f>'Price Changes'!F46</f>
        <v>0</v>
      </c>
      <c r="D235" s="44">
        <f t="shared" ref="D235:N235" si="169">C235</f>
        <v>0</v>
      </c>
      <c r="E235" s="43">
        <f t="shared" si="169"/>
        <v>0</v>
      </c>
      <c r="F235" s="44">
        <f t="shared" si="169"/>
        <v>0</v>
      </c>
      <c r="G235" s="43">
        <f t="shared" si="169"/>
        <v>0</v>
      </c>
      <c r="H235" s="44">
        <f t="shared" si="169"/>
        <v>0</v>
      </c>
      <c r="I235" s="43">
        <f t="shared" si="169"/>
        <v>0</v>
      </c>
      <c r="J235" s="44">
        <f t="shared" si="169"/>
        <v>0</v>
      </c>
      <c r="K235" s="43">
        <f t="shared" si="169"/>
        <v>0</v>
      </c>
      <c r="L235" s="44">
        <f t="shared" si="169"/>
        <v>0</v>
      </c>
      <c r="M235" s="43">
        <f t="shared" si="169"/>
        <v>0</v>
      </c>
      <c r="N235" s="44">
        <f t="shared" si="169"/>
        <v>0</v>
      </c>
      <c r="O235" s="45">
        <f>IF(O234=0,0,+O236/O234)</f>
        <v>0</v>
      </c>
    </row>
    <row r="236" spans="1:20">
      <c r="A236" s="42"/>
      <c r="B236" s="35" t="s">
        <v>15</v>
      </c>
      <c r="C236" s="48">
        <f t="shared" ref="C236:N236" si="170">C234*C235</f>
        <v>0</v>
      </c>
      <c r="D236" s="49">
        <f t="shared" si="170"/>
        <v>0</v>
      </c>
      <c r="E236" s="48">
        <f t="shared" si="170"/>
        <v>0</v>
      </c>
      <c r="F236" s="49">
        <f t="shared" si="170"/>
        <v>0</v>
      </c>
      <c r="G236" s="48">
        <f t="shared" si="170"/>
        <v>0</v>
      </c>
      <c r="H236" s="49">
        <f t="shared" si="170"/>
        <v>0</v>
      </c>
      <c r="I236" s="48">
        <f t="shared" si="170"/>
        <v>0</v>
      </c>
      <c r="J236" s="49">
        <f t="shared" si="170"/>
        <v>0</v>
      </c>
      <c r="K236" s="48">
        <f t="shared" si="170"/>
        <v>0</v>
      </c>
      <c r="L236" s="49">
        <f t="shared" si="170"/>
        <v>0</v>
      </c>
      <c r="M236" s="48">
        <f t="shared" si="170"/>
        <v>0</v>
      </c>
      <c r="N236" s="49">
        <f t="shared" si="170"/>
        <v>0</v>
      </c>
      <c r="O236" s="50">
        <f>SUM(C236:N236)</f>
        <v>0</v>
      </c>
    </row>
    <row r="237" spans="1:20" ht="13.5" thickBot="1">
      <c r="A237" s="51"/>
      <c r="B237" s="52" t="s">
        <v>59</v>
      </c>
      <c r="C237" s="53" t="e">
        <f t="shared" ref="C237:O237" si="171">C236/C$197</f>
        <v>#DIV/0!</v>
      </c>
      <c r="D237" s="54" t="e">
        <f t="shared" si="171"/>
        <v>#DIV/0!</v>
      </c>
      <c r="E237" s="53" t="e">
        <f t="shared" si="171"/>
        <v>#DIV/0!</v>
      </c>
      <c r="F237" s="54" t="e">
        <f t="shared" si="171"/>
        <v>#DIV/0!</v>
      </c>
      <c r="G237" s="53" t="e">
        <f t="shared" si="171"/>
        <v>#DIV/0!</v>
      </c>
      <c r="H237" s="54" t="e">
        <f t="shared" si="171"/>
        <v>#DIV/0!</v>
      </c>
      <c r="I237" s="53" t="e">
        <f t="shared" si="171"/>
        <v>#DIV/0!</v>
      </c>
      <c r="J237" s="54" t="e">
        <f t="shared" si="171"/>
        <v>#DIV/0!</v>
      </c>
      <c r="K237" s="53" t="e">
        <f t="shared" si="171"/>
        <v>#DIV/0!</v>
      </c>
      <c r="L237" s="54" t="e">
        <f t="shared" si="171"/>
        <v>#DIV/0!</v>
      </c>
      <c r="M237" s="53" t="e">
        <f t="shared" si="171"/>
        <v>#DIV/0!</v>
      </c>
      <c r="N237" s="54" t="e">
        <f t="shared" si="171"/>
        <v>#DIV/0!</v>
      </c>
      <c r="O237" s="55" t="e">
        <f t="shared" si="171"/>
        <v>#DIV/0!</v>
      </c>
    </row>
    <row r="238" spans="1:20">
      <c r="A238" s="28" t="s">
        <v>68</v>
      </c>
      <c r="B238" s="29" t="s">
        <v>55</v>
      </c>
      <c r="C238" s="30">
        <f>'2012 Actual Costs'!C238</f>
        <v>8.9982252907017752</v>
      </c>
      <c r="D238" s="31">
        <f>'2012 Actual Costs'!D238</f>
        <v>0</v>
      </c>
      <c r="E238" s="30">
        <f>'2012 Actual Costs'!E238</f>
        <v>0</v>
      </c>
      <c r="F238" s="31">
        <f>'2012 Actual Costs'!F238</f>
        <v>9.6570979133157451</v>
      </c>
      <c r="G238" s="30">
        <f>'2011 Actual Costs'!G238</f>
        <v>3.1674208144796379</v>
      </c>
      <c r="H238" s="31">
        <f>'2011 Actual Costs'!H238</f>
        <v>8.7747186367393653</v>
      </c>
      <c r="I238" s="30">
        <f>'2011 Actual Costs'!I238</f>
        <v>5.337761698594389</v>
      </c>
      <c r="J238" s="31">
        <f>'2011 Actual Costs'!J238</f>
        <v>4.4055596922313232</v>
      </c>
      <c r="K238" s="30">
        <f>'2011 Actual Costs'!K238</f>
        <v>0</v>
      </c>
      <c r="L238" s="31">
        <f>'2011 Actual Costs'!L238</f>
        <v>1.2443105537181964</v>
      </c>
      <c r="M238" s="30">
        <f>'2011 Actual Costs'!M238</f>
        <v>0.96119615521537916</v>
      </c>
      <c r="N238" s="31">
        <f>'2011 Actual Costs'!N238</f>
        <v>7.5711797533146132</v>
      </c>
      <c r="O238" s="32" t="e">
        <f>O239/O$197</f>
        <v>#DIV/0!</v>
      </c>
    </row>
    <row r="239" spans="1:20">
      <c r="A239" s="34" t="s">
        <v>64</v>
      </c>
      <c r="B239" s="35" t="s">
        <v>57</v>
      </c>
      <c r="C239" s="36">
        <f>C238*C$197</f>
        <v>0</v>
      </c>
      <c r="D239" s="37">
        <f t="shared" ref="D239:N239" si="172">D238*D$197</f>
        <v>0</v>
      </c>
      <c r="E239" s="36">
        <f t="shared" si="172"/>
        <v>0</v>
      </c>
      <c r="F239" s="37">
        <f t="shared" si="172"/>
        <v>0</v>
      </c>
      <c r="G239" s="36">
        <f t="shared" si="172"/>
        <v>0</v>
      </c>
      <c r="H239" s="37">
        <f t="shared" si="172"/>
        <v>0</v>
      </c>
      <c r="I239" s="36">
        <f t="shared" si="172"/>
        <v>0</v>
      </c>
      <c r="J239" s="37">
        <f t="shared" si="172"/>
        <v>0</v>
      </c>
      <c r="K239" s="36">
        <f t="shared" si="172"/>
        <v>0</v>
      </c>
      <c r="L239" s="37">
        <f t="shared" si="172"/>
        <v>0</v>
      </c>
      <c r="M239" s="36">
        <f t="shared" si="172"/>
        <v>0</v>
      </c>
      <c r="N239" s="37">
        <f t="shared" si="172"/>
        <v>0</v>
      </c>
      <c r="O239" s="38">
        <f>SUM(C239:N239)</f>
        <v>0</v>
      </c>
      <c r="P239" s="68"/>
      <c r="Q239" s="68"/>
      <c r="R239" s="33"/>
      <c r="S239" s="41"/>
    </row>
    <row r="240" spans="1:20" ht="15.75">
      <c r="A240" s="42"/>
      <c r="B240" s="35" t="s">
        <v>58</v>
      </c>
      <c r="C240" s="43">
        <f>'Price Changes'!F47</f>
        <v>1.4850000000000001</v>
      </c>
      <c r="D240" s="44">
        <f t="shared" ref="D240:N240" si="173">C240</f>
        <v>1.4850000000000001</v>
      </c>
      <c r="E240" s="43">
        <f t="shared" si="173"/>
        <v>1.4850000000000001</v>
      </c>
      <c r="F240" s="44">
        <f t="shared" si="173"/>
        <v>1.4850000000000001</v>
      </c>
      <c r="G240" s="43">
        <f t="shared" si="173"/>
        <v>1.4850000000000001</v>
      </c>
      <c r="H240" s="44">
        <f t="shared" si="173"/>
        <v>1.4850000000000001</v>
      </c>
      <c r="I240" s="43">
        <f t="shared" si="173"/>
        <v>1.4850000000000001</v>
      </c>
      <c r="J240" s="44">
        <f t="shared" si="173"/>
        <v>1.4850000000000001</v>
      </c>
      <c r="K240" s="43">
        <f t="shared" si="173"/>
        <v>1.4850000000000001</v>
      </c>
      <c r="L240" s="44">
        <f t="shared" si="173"/>
        <v>1.4850000000000001</v>
      </c>
      <c r="M240" s="43">
        <f t="shared" si="173"/>
        <v>1.4850000000000001</v>
      </c>
      <c r="N240" s="44">
        <f t="shared" si="173"/>
        <v>1.4850000000000001</v>
      </c>
      <c r="O240" s="45">
        <f>IF(O239=0,0,+O241/O239)</f>
        <v>0</v>
      </c>
      <c r="P240" s="80"/>
      <c r="Q240" s="46"/>
      <c r="R240" s="47"/>
      <c r="S240" s="41"/>
    </row>
    <row r="241" spans="1:19">
      <c r="A241" s="42"/>
      <c r="B241" s="35" t="s">
        <v>15</v>
      </c>
      <c r="C241" s="48">
        <f t="shared" ref="C241:N241" si="174">C239*C240</f>
        <v>0</v>
      </c>
      <c r="D241" s="49">
        <f t="shared" si="174"/>
        <v>0</v>
      </c>
      <c r="E241" s="48">
        <f t="shared" si="174"/>
        <v>0</v>
      </c>
      <c r="F241" s="49">
        <f t="shared" si="174"/>
        <v>0</v>
      </c>
      <c r="G241" s="48">
        <f t="shared" si="174"/>
        <v>0</v>
      </c>
      <c r="H241" s="49">
        <f t="shared" si="174"/>
        <v>0</v>
      </c>
      <c r="I241" s="48">
        <f t="shared" si="174"/>
        <v>0</v>
      </c>
      <c r="J241" s="49">
        <f t="shared" si="174"/>
        <v>0</v>
      </c>
      <c r="K241" s="48">
        <f t="shared" si="174"/>
        <v>0</v>
      </c>
      <c r="L241" s="49">
        <f t="shared" si="174"/>
        <v>0</v>
      </c>
      <c r="M241" s="48">
        <f t="shared" si="174"/>
        <v>0</v>
      </c>
      <c r="N241" s="49">
        <f t="shared" si="174"/>
        <v>0</v>
      </c>
      <c r="O241" s="50">
        <f>SUM(C241:N241)</f>
        <v>0</v>
      </c>
      <c r="P241" s="40"/>
      <c r="Q241" s="40"/>
      <c r="R241" s="40"/>
      <c r="S241" s="41"/>
    </row>
    <row r="242" spans="1:19" ht="16.5" thickBot="1">
      <c r="A242" s="51"/>
      <c r="B242" s="52" t="s">
        <v>59</v>
      </c>
      <c r="C242" s="53" t="e">
        <f t="shared" ref="C242:O242" si="175">C241/C$197</f>
        <v>#DIV/0!</v>
      </c>
      <c r="D242" s="54" t="e">
        <f t="shared" si="175"/>
        <v>#DIV/0!</v>
      </c>
      <c r="E242" s="53" t="e">
        <f t="shared" si="175"/>
        <v>#DIV/0!</v>
      </c>
      <c r="F242" s="54" t="e">
        <f t="shared" si="175"/>
        <v>#DIV/0!</v>
      </c>
      <c r="G242" s="53" t="e">
        <f t="shared" si="175"/>
        <v>#DIV/0!</v>
      </c>
      <c r="H242" s="54" t="e">
        <f t="shared" si="175"/>
        <v>#DIV/0!</v>
      </c>
      <c r="I242" s="53" t="e">
        <f t="shared" si="175"/>
        <v>#DIV/0!</v>
      </c>
      <c r="J242" s="54" t="e">
        <f t="shared" si="175"/>
        <v>#DIV/0!</v>
      </c>
      <c r="K242" s="53" t="e">
        <f t="shared" si="175"/>
        <v>#DIV/0!</v>
      </c>
      <c r="L242" s="54" t="e">
        <f t="shared" si="175"/>
        <v>#DIV/0!</v>
      </c>
      <c r="M242" s="53" t="e">
        <f t="shared" si="175"/>
        <v>#DIV/0!</v>
      </c>
      <c r="N242" s="54" t="e">
        <f t="shared" si="175"/>
        <v>#DIV/0!</v>
      </c>
      <c r="O242" s="55" t="e">
        <f t="shared" si="175"/>
        <v>#DIV/0!</v>
      </c>
      <c r="P242" s="80"/>
      <c r="Q242" s="56"/>
      <c r="R242" s="57"/>
      <c r="S242" s="41"/>
    </row>
    <row r="243" spans="1:19">
      <c r="A243" s="28" t="s">
        <v>69</v>
      </c>
      <c r="B243" s="29" t="s">
        <v>55</v>
      </c>
      <c r="C243" s="30">
        <f>'2012 Actual Costs'!C243</f>
        <v>0</v>
      </c>
      <c r="D243" s="31">
        <f>'2012 Actual Costs'!D243</f>
        <v>0</v>
      </c>
      <c r="E243" s="30">
        <f>'2012 Actual Costs'!E243</f>
        <v>0</v>
      </c>
      <c r="F243" s="31">
        <f>'2012 Actual Costs'!F243</f>
        <v>0</v>
      </c>
      <c r="G243" s="30">
        <f>'2011 Actual Costs'!G243</f>
        <v>0</v>
      </c>
      <c r="H243" s="31">
        <f>'2011 Actual Costs'!H243</f>
        <v>0</v>
      </c>
      <c r="I243" s="30">
        <f>'2011 Actual Costs'!I243</f>
        <v>0</v>
      </c>
      <c r="J243" s="31">
        <f>'2011 Actual Costs'!J243</f>
        <v>0</v>
      </c>
      <c r="K243" s="30">
        <f>'2011 Actual Costs'!K243</f>
        <v>0</v>
      </c>
      <c r="L243" s="31">
        <f>'2011 Actual Costs'!L243</f>
        <v>0</v>
      </c>
      <c r="M243" s="30">
        <f>'2011 Actual Costs'!M243</f>
        <v>0</v>
      </c>
      <c r="N243" s="31">
        <f>'2011 Actual Costs'!N243</f>
        <v>0</v>
      </c>
      <c r="O243" s="32" t="e">
        <f>O244/O$197</f>
        <v>#DIV/0!</v>
      </c>
    </row>
    <row r="244" spans="1:19">
      <c r="A244" s="34" t="s">
        <v>64</v>
      </c>
      <c r="B244" s="35" t="s">
        <v>57</v>
      </c>
      <c r="C244" s="65">
        <f t="shared" ref="C244:N244" si="176">C$197*C243</f>
        <v>0</v>
      </c>
      <c r="D244" s="66">
        <f t="shared" si="176"/>
        <v>0</v>
      </c>
      <c r="E244" s="65">
        <f t="shared" si="176"/>
        <v>0</v>
      </c>
      <c r="F244" s="66">
        <f t="shared" si="176"/>
        <v>0</v>
      </c>
      <c r="G244" s="65">
        <f t="shared" si="176"/>
        <v>0</v>
      </c>
      <c r="H244" s="66">
        <f t="shared" si="176"/>
        <v>0</v>
      </c>
      <c r="I244" s="65">
        <f t="shared" si="176"/>
        <v>0</v>
      </c>
      <c r="J244" s="66">
        <f t="shared" si="176"/>
        <v>0</v>
      </c>
      <c r="K244" s="65">
        <f t="shared" si="176"/>
        <v>0</v>
      </c>
      <c r="L244" s="66">
        <f t="shared" si="176"/>
        <v>0</v>
      </c>
      <c r="M244" s="65">
        <f t="shared" si="176"/>
        <v>0</v>
      </c>
      <c r="N244" s="66">
        <f t="shared" si="176"/>
        <v>0</v>
      </c>
      <c r="O244" s="67">
        <f>SUM(C244:N244)</f>
        <v>0</v>
      </c>
      <c r="P244" s="39"/>
      <c r="Q244" s="39"/>
      <c r="R244" s="39"/>
      <c r="S244" s="41"/>
    </row>
    <row r="245" spans="1:19" ht="15.75">
      <c r="A245" s="42"/>
      <c r="B245" s="35" t="s">
        <v>58</v>
      </c>
      <c r="C245" s="43">
        <f>'Price Changes'!F48</f>
        <v>0</v>
      </c>
      <c r="D245" s="44">
        <f t="shared" ref="D245:N245" si="177">C245</f>
        <v>0</v>
      </c>
      <c r="E245" s="43">
        <f t="shared" si="177"/>
        <v>0</v>
      </c>
      <c r="F245" s="44">
        <f t="shared" si="177"/>
        <v>0</v>
      </c>
      <c r="G245" s="43">
        <f t="shared" si="177"/>
        <v>0</v>
      </c>
      <c r="H245" s="44">
        <f t="shared" si="177"/>
        <v>0</v>
      </c>
      <c r="I245" s="43">
        <f t="shared" si="177"/>
        <v>0</v>
      </c>
      <c r="J245" s="44">
        <f t="shared" si="177"/>
        <v>0</v>
      </c>
      <c r="K245" s="43">
        <f t="shared" si="177"/>
        <v>0</v>
      </c>
      <c r="L245" s="44">
        <f t="shared" si="177"/>
        <v>0</v>
      </c>
      <c r="M245" s="43">
        <f t="shared" si="177"/>
        <v>0</v>
      </c>
      <c r="N245" s="44">
        <f t="shared" si="177"/>
        <v>0</v>
      </c>
      <c r="O245" s="45">
        <f>IF(O244=0,0,+O246/O244)</f>
        <v>0</v>
      </c>
      <c r="P245" s="46"/>
      <c r="Q245" s="47"/>
      <c r="R245" s="47"/>
      <c r="S245" s="41"/>
    </row>
    <row r="246" spans="1:19">
      <c r="A246" s="42"/>
      <c r="B246" s="35" t="s">
        <v>15</v>
      </c>
      <c r="C246" s="48">
        <f t="shared" ref="C246:N246" si="178">C244*C245</f>
        <v>0</v>
      </c>
      <c r="D246" s="49">
        <f t="shared" si="178"/>
        <v>0</v>
      </c>
      <c r="E246" s="48">
        <f t="shared" si="178"/>
        <v>0</v>
      </c>
      <c r="F246" s="49">
        <f t="shared" si="178"/>
        <v>0</v>
      </c>
      <c r="G246" s="48">
        <f t="shared" si="178"/>
        <v>0</v>
      </c>
      <c r="H246" s="49">
        <f t="shared" si="178"/>
        <v>0</v>
      </c>
      <c r="I246" s="48">
        <f t="shared" si="178"/>
        <v>0</v>
      </c>
      <c r="J246" s="49">
        <f t="shared" si="178"/>
        <v>0</v>
      </c>
      <c r="K246" s="48">
        <f t="shared" si="178"/>
        <v>0</v>
      </c>
      <c r="L246" s="49">
        <f t="shared" si="178"/>
        <v>0</v>
      </c>
      <c r="M246" s="48">
        <f t="shared" si="178"/>
        <v>0</v>
      </c>
      <c r="N246" s="49">
        <f t="shared" si="178"/>
        <v>0</v>
      </c>
      <c r="O246" s="50">
        <f>SUM(C246:N246)</f>
        <v>0</v>
      </c>
      <c r="P246" s="40"/>
      <c r="Q246" s="40"/>
      <c r="R246" s="40"/>
      <c r="S246" s="41"/>
    </row>
    <row r="247" spans="1:19" ht="16.5" thickBot="1">
      <c r="A247" s="51"/>
      <c r="B247" s="52" t="s">
        <v>59</v>
      </c>
      <c r="C247" s="53" t="e">
        <f t="shared" ref="C247:O247" si="179">C246/C$197</f>
        <v>#DIV/0!</v>
      </c>
      <c r="D247" s="54" t="e">
        <f t="shared" si="179"/>
        <v>#DIV/0!</v>
      </c>
      <c r="E247" s="53" t="e">
        <f t="shared" si="179"/>
        <v>#DIV/0!</v>
      </c>
      <c r="F247" s="54" t="e">
        <f t="shared" si="179"/>
        <v>#DIV/0!</v>
      </c>
      <c r="G247" s="53" t="e">
        <f t="shared" si="179"/>
        <v>#DIV/0!</v>
      </c>
      <c r="H247" s="54" t="e">
        <f t="shared" si="179"/>
        <v>#DIV/0!</v>
      </c>
      <c r="I247" s="53" t="e">
        <f t="shared" si="179"/>
        <v>#DIV/0!</v>
      </c>
      <c r="J247" s="54" t="e">
        <f t="shared" si="179"/>
        <v>#DIV/0!</v>
      </c>
      <c r="K247" s="53" t="e">
        <f t="shared" si="179"/>
        <v>#DIV/0!</v>
      </c>
      <c r="L247" s="54" t="e">
        <f t="shared" si="179"/>
        <v>#DIV/0!</v>
      </c>
      <c r="M247" s="53" t="e">
        <f t="shared" si="179"/>
        <v>#DIV/0!</v>
      </c>
      <c r="N247" s="54" t="e">
        <f t="shared" si="179"/>
        <v>#DIV/0!</v>
      </c>
      <c r="O247" s="55" t="e">
        <f t="shared" si="179"/>
        <v>#DIV/0!</v>
      </c>
      <c r="P247" s="56"/>
      <c r="Q247" s="57"/>
      <c r="R247" s="57"/>
      <c r="S247" s="41"/>
    </row>
    <row r="248" spans="1:19">
      <c r="A248" s="28" t="s">
        <v>70</v>
      </c>
      <c r="B248" s="29" t="s">
        <v>55</v>
      </c>
      <c r="C248" s="30">
        <f>'2012 Actual Costs'!C248</f>
        <v>0</v>
      </c>
      <c r="D248" s="31">
        <f>'2012 Actual Costs'!D248</f>
        <v>0</v>
      </c>
      <c r="E248" s="30">
        <f>'2012 Actual Costs'!E248</f>
        <v>0</v>
      </c>
      <c r="F248" s="31">
        <f>'2012 Actual Costs'!F248</f>
        <v>0</v>
      </c>
      <c r="G248" s="30">
        <f>'2011 Actual Costs'!G248</f>
        <v>0</v>
      </c>
      <c r="H248" s="31">
        <f>'2011 Actual Costs'!H248</f>
        <v>15.260380237807592</v>
      </c>
      <c r="I248" s="30">
        <f>'2011 Actual Costs'!I248</f>
        <v>0.78201368523949166</v>
      </c>
      <c r="J248" s="31">
        <f>'2011 Actual Costs'!J248</f>
        <v>0</v>
      </c>
      <c r="K248" s="30">
        <f>'2011 Actual Costs'!K248</f>
        <v>0</v>
      </c>
      <c r="L248" s="31">
        <f>'2011 Actual Costs'!L248</f>
        <v>0</v>
      </c>
      <c r="M248" s="30">
        <f>'2011 Actual Costs'!M248</f>
        <v>0</v>
      </c>
      <c r="N248" s="31">
        <f>'2011 Actual Costs'!N248</f>
        <v>0.78201368523949166</v>
      </c>
      <c r="O248" s="32" t="e">
        <f>O249/O$197</f>
        <v>#DIV/0!</v>
      </c>
      <c r="P248" s="9"/>
      <c r="Q248" s="9"/>
      <c r="R248" s="9"/>
      <c r="S248" s="70"/>
    </row>
    <row r="249" spans="1:19">
      <c r="A249" s="34" t="s">
        <v>71</v>
      </c>
      <c r="B249" s="35" t="s">
        <v>57</v>
      </c>
      <c r="C249" s="36">
        <f>C248*C$197</f>
        <v>0</v>
      </c>
      <c r="D249" s="37">
        <f t="shared" ref="D249:N249" si="180">D248*D$197</f>
        <v>0</v>
      </c>
      <c r="E249" s="36">
        <f t="shared" si="180"/>
        <v>0</v>
      </c>
      <c r="F249" s="37">
        <f t="shared" si="180"/>
        <v>0</v>
      </c>
      <c r="G249" s="36">
        <f t="shared" si="180"/>
        <v>0</v>
      </c>
      <c r="H249" s="37">
        <f t="shared" si="180"/>
        <v>0</v>
      </c>
      <c r="I249" s="36">
        <f t="shared" si="180"/>
        <v>0</v>
      </c>
      <c r="J249" s="37">
        <f t="shared" si="180"/>
        <v>0</v>
      </c>
      <c r="K249" s="36">
        <f t="shared" si="180"/>
        <v>0</v>
      </c>
      <c r="L249" s="37">
        <f t="shared" si="180"/>
        <v>0</v>
      </c>
      <c r="M249" s="36">
        <f t="shared" si="180"/>
        <v>0</v>
      </c>
      <c r="N249" s="37">
        <f t="shared" si="180"/>
        <v>0</v>
      </c>
      <c r="O249" s="38">
        <f>SUM(C249:N249)</f>
        <v>0</v>
      </c>
      <c r="P249" s="15"/>
      <c r="Q249" s="15"/>
      <c r="R249" s="15"/>
      <c r="S249" s="71"/>
    </row>
    <row r="250" spans="1:19" ht="15.75">
      <c r="A250" s="34" t="s">
        <v>56</v>
      </c>
      <c r="B250" s="35" t="s">
        <v>58</v>
      </c>
      <c r="C250" s="43">
        <f>'Price Changes'!F49</f>
        <v>0</v>
      </c>
      <c r="D250" s="44">
        <f t="shared" ref="D250:N250" si="181">C250</f>
        <v>0</v>
      </c>
      <c r="E250" s="43">
        <f t="shared" si="181"/>
        <v>0</v>
      </c>
      <c r="F250" s="44">
        <f t="shared" si="181"/>
        <v>0</v>
      </c>
      <c r="G250" s="43">
        <f t="shared" si="181"/>
        <v>0</v>
      </c>
      <c r="H250" s="44">
        <f t="shared" si="181"/>
        <v>0</v>
      </c>
      <c r="I250" s="43">
        <f t="shared" si="181"/>
        <v>0</v>
      </c>
      <c r="J250" s="44">
        <f t="shared" si="181"/>
        <v>0</v>
      </c>
      <c r="K250" s="43">
        <f t="shared" si="181"/>
        <v>0</v>
      </c>
      <c r="L250" s="44">
        <f t="shared" si="181"/>
        <v>0</v>
      </c>
      <c r="M250" s="43">
        <f t="shared" si="181"/>
        <v>0</v>
      </c>
      <c r="N250" s="44">
        <f t="shared" si="181"/>
        <v>0</v>
      </c>
      <c r="O250" s="45">
        <f>IF(O249=0,0,+O251/O249)</f>
        <v>0</v>
      </c>
      <c r="P250" s="15"/>
      <c r="Q250" s="72"/>
      <c r="R250" s="15"/>
      <c r="S250" s="15"/>
    </row>
    <row r="251" spans="1:19">
      <c r="A251" s="42"/>
      <c r="B251" s="35" t="s">
        <v>15</v>
      </c>
      <c r="C251" s="48">
        <f t="shared" ref="C251:N251" si="182">C249*C250</f>
        <v>0</v>
      </c>
      <c r="D251" s="49">
        <f t="shared" si="182"/>
        <v>0</v>
      </c>
      <c r="E251" s="48">
        <f t="shared" si="182"/>
        <v>0</v>
      </c>
      <c r="F251" s="49">
        <f t="shared" si="182"/>
        <v>0</v>
      </c>
      <c r="G251" s="48">
        <f t="shared" si="182"/>
        <v>0</v>
      </c>
      <c r="H251" s="49">
        <f t="shared" si="182"/>
        <v>0</v>
      </c>
      <c r="I251" s="48">
        <f t="shared" si="182"/>
        <v>0</v>
      </c>
      <c r="J251" s="49">
        <f t="shared" si="182"/>
        <v>0</v>
      </c>
      <c r="K251" s="48">
        <f t="shared" si="182"/>
        <v>0</v>
      </c>
      <c r="L251" s="49">
        <f t="shared" si="182"/>
        <v>0</v>
      </c>
      <c r="M251" s="48">
        <f t="shared" si="182"/>
        <v>0</v>
      </c>
      <c r="N251" s="49">
        <f t="shared" si="182"/>
        <v>0</v>
      </c>
      <c r="O251" s="50">
        <f>SUM(C251:N251)</f>
        <v>0</v>
      </c>
      <c r="P251" s="15"/>
      <c r="Q251" s="15"/>
      <c r="R251" s="15"/>
      <c r="S251" s="15"/>
    </row>
    <row r="252" spans="1:19" ht="13.5" thickBot="1">
      <c r="A252" s="51"/>
      <c r="B252" s="52" t="s">
        <v>59</v>
      </c>
      <c r="C252" s="53" t="e">
        <f t="shared" ref="C252:O252" si="183">C251/C$197</f>
        <v>#DIV/0!</v>
      </c>
      <c r="D252" s="54" t="e">
        <f t="shared" si="183"/>
        <v>#DIV/0!</v>
      </c>
      <c r="E252" s="53" t="e">
        <f t="shared" si="183"/>
        <v>#DIV/0!</v>
      </c>
      <c r="F252" s="54" t="e">
        <f t="shared" si="183"/>
        <v>#DIV/0!</v>
      </c>
      <c r="G252" s="53" t="e">
        <f t="shared" si="183"/>
        <v>#DIV/0!</v>
      </c>
      <c r="H252" s="54" t="e">
        <f t="shared" si="183"/>
        <v>#DIV/0!</v>
      </c>
      <c r="I252" s="53" t="e">
        <f t="shared" si="183"/>
        <v>#DIV/0!</v>
      </c>
      <c r="J252" s="54" t="e">
        <f t="shared" si="183"/>
        <v>#DIV/0!</v>
      </c>
      <c r="K252" s="53" t="e">
        <f t="shared" si="183"/>
        <v>#DIV/0!</v>
      </c>
      <c r="L252" s="54" t="e">
        <f t="shared" si="183"/>
        <v>#DIV/0!</v>
      </c>
      <c r="M252" s="53" t="e">
        <f t="shared" si="183"/>
        <v>#DIV/0!</v>
      </c>
      <c r="N252" s="54" t="e">
        <f t="shared" si="183"/>
        <v>#DIV/0!</v>
      </c>
      <c r="O252" s="55" t="e">
        <f t="shared" si="183"/>
        <v>#DIV/0!</v>
      </c>
      <c r="P252" s="8"/>
      <c r="S252" s="41"/>
    </row>
    <row r="253" spans="1:19">
      <c r="A253" s="28" t="s">
        <v>72</v>
      </c>
      <c r="B253" s="29" t="s">
        <v>55</v>
      </c>
      <c r="C253" s="30">
        <f>'2012 Actual Costs'!C253</f>
        <v>0</v>
      </c>
      <c r="D253" s="31">
        <f>'2012 Actual Costs'!D253</f>
        <v>0</v>
      </c>
      <c r="E253" s="30">
        <f>'2012 Actual Costs'!E253</f>
        <v>0</v>
      </c>
      <c r="F253" s="31">
        <f>'2012 Actual Costs'!F253</f>
        <v>0</v>
      </c>
      <c r="G253" s="30">
        <f>'2011 Actual Costs'!G253</f>
        <v>0</v>
      </c>
      <c r="H253" s="31">
        <f>'2011 Actual Costs'!H253</f>
        <v>0</v>
      </c>
      <c r="I253" s="30">
        <f>'2011 Actual Costs'!I253</f>
        <v>0</v>
      </c>
      <c r="J253" s="31">
        <f>'2011 Actual Costs'!J253</f>
        <v>0</v>
      </c>
      <c r="K253" s="30">
        <f>'2011 Actual Costs'!K253</f>
        <v>0</v>
      </c>
      <c r="L253" s="31">
        <f>'2011 Actual Costs'!L253</f>
        <v>0</v>
      </c>
      <c r="M253" s="30">
        <f>'2011 Actual Costs'!M253</f>
        <v>0</v>
      </c>
      <c r="N253" s="31">
        <f>'2011 Actual Costs'!N253</f>
        <v>0</v>
      </c>
      <c r="O253" s="32" t="e">
        <f>O254/O$197</f>
        <v>#DIV/0!</v>
      </c>
    </row>
    <row r="254" spans="1:19">
      <c r="A254" s="34" t="s">
        <v>56</v>
      </c>
      <c r="B254" s="35" t="s">
        <v>57</v>
      </c>
      <c r="C254" s="65">
        <f t="shared" ref="C254:N254" si="184">C$197*C253</f>
        <v>0</v>
      </c>
      <c r="D254" s="66">
        <f t="shared" si="184"/>
        <v>0</v>
      </c>
      <c r="E254" s="65">
        <f t="shared" si="184"/>
        <v>0</v>
      </c>
      <c r="F254" s="66">
        <f t="shared" si="184"/>
        <v>0</v>
      </c>
      <c r="G254" s="65">
        <f t="shared" si="184"/>
        <v>0</v>
      </c>
      <c r="H254" s="66">
        <f t="shared" si="184"/>
        <v>0</v>
      </c>
      <c r="I254" s="65">
        <f t="shared" si="184"/>
        <v>0</v>
      </c>
      <c r="J254" s="66">
        <f t="shared" si="184"/>
        <v>0</v>
      </c>
      <c r="K254" s="65">
        <f t="shared" si="184"/>
        <v>0</v>
      </c>
      <c r="L254" s="66">
        <f t="shared" si="184"/>
        <v>0</v>
      </c>
      <c r="M254" s="65">
        <f t="shared" si="184"/>
        <v>0</v>
      </c>
      <c r="N254" s="66">
        <f t="shared" si="184"/>
        <v>0</v>
      </c>
      <c r="O254" s="67">
        <f>SUM(C254:N254)</f>
        <v>0</v>
      </c>
      <c r="P254" s="57"/>
      <c r="Q254" s="57"/>
      <c r="R254" s="60"/>
      <c r="S254" s="41"/>
    </row>
    <row r="255" spans="1:19" ht="15.75">
      <c r="A255" s="42"/>
      <c r="B255" s="35" t="s">
        <v>58</v>
      </c>
      <c r="C255" s="43">
        <f>'Price Changes'!F50</f>
        <v>0</v>
      </c>
      <c r="D255" s="44">
        <f t="shared" ref="D255:N255" si="185">C255</f>
        <v>0</v>
      </c>
      <c r="E255" s="43">
        <f t="shared" si="185"/>
        <v>0</v>
      </c>
      <c r="F255" s="44">
        <f t="shared" si="185"/>
        <v>0</v>
      </c>
      <c r="G255" s="43">
        <f t="shared" si="185"/>
        <v>0</v>
      </c>
      <c r="H255" s="44">
        <f t="shared" si="185"/>
        <v>0</v>
      </c>
      <c r="I255" s="43">
        <f t="shared" si="185"/>
        <v>0</v>
      </c>
      <c r="J255" s="44">
        <f t="shared" si="185"/>
        <v>0</v>
      </c>
      <c r="K255" s="43">
        <f t="shared" si="185"/>
        <v>0</v>
      </c>
      <c r="L255" s="44">
        <f t="shared" si="185"/>
        <v>0</v>
      </c>
      <c r="M255" s="43">
        <f t="shared" si="185"/>
        <v>0</v>
      </c>
      <c r="N255" s="44">
        <f t="shared" si="185"/>
        <v>0</v>
      </c>
      <c r="O255" s="45">
        <f>IF(O254=0,0,+O256/O254)</f>
        <v>0</v>
      </c>
      <c r="P255" s="46"/>
      <c r="Q255" s="47"/>
      <c r="R255" s="47"/>
      <c r="S255" s="41"/>
    </row>
    <row r="256" spans="1:19">
      <c r="A256" s="42"/>
      <c r="B256" s="35" t="s">
        <v>15</v>
      </c>
      <c r="C256" s="48">
        <f>C254*C255</f>
        <v>0</v>
      </c>
      <c r="D256" s="49">
        <f t="shared" ref="D256:N256" si="186">D254*D255</f>
        <v>0</v>
      </c>
      <c r="E256" s="48">
        <f t="shared" si="186"/>
        <v>0</v>
      </c>
      <c r="F256" s="49">
        <f t="shared" si="186"/>
        <v>0</v>
      </c>
      <c r="G256" s="48">
        <f t="shared" si="186"/>
        <v>0</v>
      </c>
      <c r="H256" s="49">
        <f t="shared" si="186"/>
        <v>0</v>
      </c>
      <c r="I256" s="48">
        <f t="shared" si="186"/>
        <v>0</v>
      </c>
      <c r="J256" s="49">
        <f t="shared" si="186"/>
        <v>0</v>
      </c>
      <c r="K256" s="48">
        <f t="shared" si="186"/>
        <v>0</v>
      </c>
      <c r="L256" s="49">
        <f t="shared" si="186"/>
        <v>0</v>
      </c>
      <c r="M256" s="48">
        <f t="shared" si="186"/>
        <v>0</v>
      </c>
      <c r="N256" s="49">
        <f t="shared" si="186"/>
        <v>0</v>
      </c>
      <c r="O256" s="50">
        <f>SUM(C256:N256)</f>
        <v>0</v>
      </c>
      <c r="P256" s="40"/>
      <c r="Q256" s="40"/>
      <c r="R256" s="40"/>
      <c r="S256" s="41"/>
    </row>
    <row r="257" spans="1:20" ht="16.5" thickBot="1">
      <c r="A257" s="51"/>
      <c r="B257" s="52" t="s">
        <v>59</v>
      </c>
      <c r="C257" s="53" t="e">
        <f t="shared" ref="C257:O257" si="187">C256/C$197</f>
        <v>#DIV/0!</v>
      </c>
      <c r="D257" s="54" t="e">
        <f t="shared" si="187"/>
        <v>#DIV/0!</v>
      </c>
      <c r="E257" s="53" t="e">
        <f t="shared" si="187"/>
        <v>#DIV/0!</v>
      </c>
      <c r="F257" s="54" t="e">
        <f t="shared" si="187"/>
        <v>#DIV/0!</v>
      </c>
      <c r="G257" s="53" t="e">
        <f t="shared" si="187"/>
        <v>#DIV/0!</v>
      </c>
      <c r="H257" s="54" t="e">
        <f t="shared" si="187"/>
        <v>#DIV/0!</v>
      </c>
      <c r="I257" s="53" t="e">
        <f t="shared" si="187"/>
        <v>#DIV/0!</v>
      </c>
      <c r="J257" s="54" t="e">
        <f t="shared" si="187"/>
        <v>#DIV/0!</v>
      </c>
      <c r="K257" s="53" t="e">
        <f t="shared" si="187"/>
        <v>#DIV/0!</v>
      </c>
      <c r="L257" s="54" t="e">
        <f t="shared" si="187"/>
        <v>#DIV/0!</v>
      </c>
      <c r="M257" s="53" t="e">
        <f t="shared" si="187"/>
        <v>#DIV/0!</v>
      </c>
      <c r="N257" s="54" t="e">
        <f t="shared" si="187"/>
        <v>#DIV/0!</v>
      </c>
      <c r="O257" s="55" t="e">
        <f t="shared" si="187"/>
        <v>#DIV/0!</v>
      </c>
      <c r="P257" s="56"/>
      <c r="Q257" s="57"/>
      <c r="R257" s="57"/>
      <c r="S257" s="41"/>
    </row>
    <row r="258" spans="1:20">
      <c r="A258" s="181" t="s">
        <v>73</v>
      </c>
      <c r="B258" s="29" t="s">
        <v>55</v>
      </c>
      <c r="C258" s="30">
        <f>'2012 Actual Costs'!C258</f>
        <v>576.99213272961845</v>
      </c>
      <c r="D258" s="31">
        <f>'2012 Actual Costs'!D258</f>
        <v>642.13756646507443</v>
      </c>
      <c r="E258" s="30">
        <f>'2012 Actual Costs'!E258</f>
        <v>669.31766800988692</v>
      </c>
      <c r="F258" s="31">
        <f>'2012 Actual Costs'!F258</f>
        <v>303.36163578362527</v>
      </c>
      <c r="G258" s="30">
        <f>'2011 Actual Costs'!G258</f>
        <v>57.466063348416284</v>
      </c>
      <c r="H258" s="31">
        <f>'2011 Actual Costs'!H258</f>
        <v>11.445285178355693</v>
      </c>
      <c r="I258" s="30">
        <f>'2011 Actual Costs'!I258</f>
        <v>0</v>
      </c>
      <c r="J258" s="31">
        <f>'2011 Actual Costs'!J258</f>
        <v>0</v>
      </c>
      <c r="K258" s="30">
        <f>'2011 Actual Costs'!K258</f>
        <v>0</v>
      </c>
      <c r="L258" s="31">
        <f>'2011 Actual Costs'!L258</f>
        <v>0</v>
      </c>
      <c r="M258" s="30">
        <f>'2011 Actual Costs'!M258</f>
        <v>325.3826984692061</v>
      </c>
      <c r="N258" s="31">
        <f>'2011 Actual Costs'!N258</f>
        <v>644.61664237727939</v>
      </c>
      <c r="O258" s="32" t="e">
        <f>O259/O$197</f>
        <v>#DIV/0!</v>
      </c>
    </row>
    <row r="259" spans="1:20">
      <c r="A259" s="103" t="s">
        <v>64</v>
      </c>
      <c r="B259" s="35" t="s">
        <v>57</v>
      </c>
      <c r="C259" s="36">
        <f>C258*C$197</f>
        <v>0</v>
      </c>
      <c r="D259" s="37">
        <f t="shared" ref="D259:N259" si="188">D258*D$197</f>
        <v>0</v>
      </c>
      <c r="E259" s="36">
        <f t="shared" si="188"/>
        <v>0</v>
      </c>
      <c r="F259" s="37">
        <f t="shared" si="188"/>
        <v>0</v>
      </c>
      <c r="G259" s="36">
        <f t="shared" si="188"/>
        <v>0</v>
      </c>
      <c r="H259" s="37">
        <f t="shared" si="188"/>
        <v>0</v>
      </c>
      <c r="I259" s="36">
        <f t="shared" si="188"/>
        <v>0</v>
      </c>
      <c r="J259" s="37">
        <f t="shared" si="188"/>
        <v>0</v>
      </c>
      <c r="K259" s="36">
        <f t="shared" si="188"/>
        <v>0</v>
      </c>
      <c r="L259" s="37">
        <f t="shared" si="188"/>
        <v>0</v>
      </c>
      <c r="M259" s="36">
        <f t="shared" si="188"/>
        <v>0</v>
      </c>
      <c r="N259" s="37">
        <f t="shared" si="188"/>
        <v>0</v>
      </c>
      <c r="O259" s="38">
        <f>SUM(C259:N259)</f>
        <v>0</v>
      </c>
      <c r="P259" s="57"/>
      <c r="Q259" s="57"/>
      <c r="R259" s="60"/>
      <c r="S259" s="41"/>
      <c r="T259" s="8"/>
    </row>
    <row r="260" spans="1:20" ht="15.75">
      <c r="A260" s="42"/>
      <c r="B260" s="35" t="s">
        <v>58</v>
      </c>
      <c r="C260" s="43">
        <f>'Price Changes'!F51</f>
        <v>0.22050000000000003</v>
      </c>
      <c r="D260" s="44">
        <f t="shared" ref="D260:N260" si="189">C260</f>
        <v>0.22050000000000003</v>
      </c>
      <c r="E260" s="43">
        <f t="shared" si="189"/>
        <v>0.22050000000000003</v>
      </c>
      <c r="F260" s="44">
        <f t="shared" si="189"/>
        <v>0.22050000000000003</v>
      </c>
      <c r="G260" s="43">
        <f t="shared" si="189"/>
        <v>0.22050000000000003</v>
      </c>
      <c r="H260" s="44">
        <f t="shared" si="189"/>
        <v>0.22050000000000003</v>
      </c>
      <c r="I260" s="43">
        <f t="shared" si="189"/>
        <v>0.22050000000000003</v>
      </c>
      <c r="J260" s="44">
        <f t="shared" si="189"/>
        <v>0.22050000000000003</v>
      </c>
      <c r="K260" s="43">
        <f t="shared" si="189"/>
        <v>0.22050000000000003</v>
      </c>
      <c r="L260" s="44">
        <f t="shared" si="189"/>
        <v>0.22050000000000003</v>
      </c>
      <c r="M260" s="43">
        <f t="shared" si="189"/>
        <v>0.22050000000000003</v>
      </c>
      <c r="N260" s="44">
        <f t="shared" si="189"/>
        <v>0.22050000000000003</v>
      </c>
      <c r="O260" s="45">
        <f>IF(O259=0,0,+O261/O259)</f>
        <v>0</v>
      </c>
      <c r="P260" s="46"/>
      <c r="Q260" s="46"/>
      <c r="R260" s="47"/>
      <c r="S260" s="41"/>
      <c r="T260" s="8"/>
    </row>
    <row r="261" spans="1:20">
      <c r="A261" s="42"/>
      <c r="B261" s="35" t="s">
        <v>15</v>
      </c>
      <c r="C261" s="48">
        <f t="shared" ref="C261:N261" si="190">C259*C260</f>
        <v>0</v>
      </c>
      <c r="D261" s="49">
        <f t="shared" si="190"/>
        <v>0</v>
      </c>
      <c r="E261" s="48">
        <f t="shared" si="190"/>
        <v>0</v>
      </c>
      <c r="F261" s="49">
        <f t="shared" si="190"/>
        <v>0</v>
      </c>
      <c r="G261" s="48">
        <f t="shared" si="190"/>
        <v>0</v>
      </c>
      <c r="H261" s="49">
        <f t="shared" si="190"/>
        <v>0</v>
      </c>
      <c r="I261" s="48">
        <f t="shared" si="190"/>
        <v>0</v>
      </c>
      <c r="J261" s="49">
        <f t="shared" si="190"/>
        <v>0</v>
      </c>
      <c r="K261" s="48">
        <f t="shared" si="190"/>
        <v>0</v>
      </c>
      <c r="L261" s="49">
        <f t="shared" si="190"/>
        <v>0</v>
      </c>
      <c r="M261" s="48">
        <f t="shared" si="190"/>
        <v>0</v>
      </c>
      <c r="N261" s="49">
        <f t="shared" si="190"/>
        <v>0</v>
      </c>
      <c r="O261" s="50">
        <f>SUM(C261:N261)</f>
        <v>0</v>
      </c>
      <c r="P261" s="40"/>
      <c r="Q261" s="40"/>
      <c r="R261" s="40"/>
      <c r="S261" s="41"/>
      <c r="T261" s="8"/>
    </row>
    <row r="262" spans="1:20" ht="16.5" thickBot="1">
      <c r="A262" s="51"/>
      <c r="B262" s="52" t="s">
        <v>59</v>
      </c>
      <c r="C262" s="53" t="e">
        <f t="shared" ref="C262:O262" si="191">C261/C$197</f>
        <v>#DIV/0!</v>
      </c>
      <c r="D262" s="54" t="e">
        <f t="shared" si="191"/>
        <v>#DIV/0!</v>
      </c>
      <c r="E262" s="53" t="e">
        <f t="shared" si="191"/>
        <v>#DIV/0!</v>
      </c>
      <c r="F262" s="54" t="e">
        <f t="shared" si="191"/>
        <v>#DIV/0!</v>
      </c>
      <c r="G262" s="53" t="e">
        <f t="shared" si="191"/>
        <v>#DIV/0!</v>
      </c>
      <c r="H262" s="54" t="e">
        <f t="shared" si="191"/>
        <v>#DIV/0!</v>
      </c>
      <c r="I262" s="53" t="e">
        <f t="shared" si="191"/>
        <v>#DIV/0!</v>
      </c>
      <c r="J262" s="54" t="e">
        <f t="shared" si="191"/>
        <v>#DIV/0!</v>
      </c>
      <c r="K262" s="53" t="e">
        <f t="shared" si="191"/>
        <v>#DIV/0!</v>
      </c>
      <c r="L262" s="54" t="e">
        <f t="shared" si="191"/>
        <v>#DIV/0!</v>
      </c>
      <c r="M262" s="53" t="e">
        <f t="shared" si="191"/>
        <v>#DIV/0!</v>
      </c>
      <c r="N262" s="54" t="e">
        <f t="shared" si="191"/>
        <v>#DIV/0!</v>
      </c>
      <c r="O262" s="55" t="e">
        <f t="shared" si="191"/>
        <v>#DIV/0!</v>
      </c>
      <c r="P262" s="56"/>
      <c r="Q262" s="56"/>
      <c r="R262" s="57"/>
      <c r="S262" s="41"/>
      <c r="T262" s="8"/>
    </row>
    <row r="263" spans="1:20">
      <c r="A263" s="28" t="s">
        <v>74</v>
      </c>
      <c r="B263" s="29" t="s">
        <v>55</v>
      </c>
      <c r="C263" s="30">
        <f>'2012 Actual Costs'!C263</f>
        <v>0</v>
      </c>
      <c r="D263" s="31">
        <f>'2012 Actual Costs'!D263</f>
        <v>0</v>
      </c>
      <c r="E263" s="30">
        <f>'2012 Actual Costs'!E263</f>
        <v>0</v>
      </c>
      <c r="F263" s="31">
        <f>'2012 Actual Costs'!F263</f>
        <v>198.29241048674996</v>
      </c>
      <c r="G263" s="30">
        <f>'2011 Actual Costs'!G263</f>
        <v>306.14091790562378</v>
      </c>
      <c r="H263" s="31">
        <f>'2011 Actual Costs'!H263</f>
        <v>367.39365422521774</v>
      </c>
      <c r="I263" s="30">
        <f>'2011 Actual Costs'!I263</f>
        <v>305.14204376964591</v>
      </c>
      <c r="J263" s="31">
        <f>'2011 Actual Costs'!J263</f>
        <v>323.59146190121618</v>
      </c>
      <c r="K263" s="30">
        <f>'2011 Actual Costs'!K263</f>
        <v>384.08066347775213</v>
      </c>
      <c r="L263" s="31">
        <f>'2011 Actual Costs'!L263</f>
        <v>310.84842332754835</v>
      </c>
      <c r="M263" s="30">
        <f>'2011 Actual Costs'!M263</f>
        <v>128.08828764684941</v>
      </c>
      <c r="N263" s="31">
        <f>'2011 Actual Costs'!N263</f>
        <v>0</v>
      </c>
      <c r="O263" s="32" t="e">
        <f>O264/O$197</f>
        <v>#DIV/0!</v>
      </c>
    </row>
    <row r="264" spans="1:20">
      <c r="A264" s="103" t="s">
        <v>64</v>
      </c>
      <c r="B264" s="35" t="s">
        <v>57</v>
      </c>
      <c r="C264" s="36">
        <f>C263*C$197</f>
        <v>0</v>
      </c>
      <c r="D264" s="37">
        <f t="shared" ref="D264:N264" si="192">D263*D$197</f>
        <v>0</v>
      </c>
      <c r="E264" s="36">
        <f t="shared" si="192"/>
        <v>0</v>
      </c>
      <c r="F264" s="37">
        <f t="shared" si="192"/>
        <v>0</v>
      </c>
      <c r="G264" s="36">
        <f t="shared" si="192"/>
        <v>0</v>
      </c>
      <c r="H264" s="37">
        <f t="shared" si="192"/>
        <v>0</v>
      </c>
      <c r="I264" s="36">
        <f t="shared" si="192"/>
        <v>0</v>
      </c>
      <c r="J264" s="37">
        <f t="shared" si="192"/>
        <v>0</v>
      </c>
      <c r="K264" s="36">
        <f t="shared" si="192"/>
        <v>0</v>
      </c>
      <c r="L264" s="37">
        <f t="shared" si="192"/>
        <v>0</v>
      </c>
      <c r="M264" s="36">
        <f t="shared" si="192"/>
        <v>0</v>
      </c>
      <c r="N264" s="37">
        <f t="shared" si="192"/>
        <v>0</v>
      </c>
      <c r="O264" s="38">
        <f>SUM(C264:N264)</f>
        <v>0</v>
      </c>
      <c r="P264" s="57"/>
      <c r="Q264" s="57"/>
      <c r="R264" s="60"/>
      <c r="S264" s="41"/>
      <c r="T264" s="8"/>
    </row>
    <row r="265" spans="1:20" ht="15.75">
      <c r="A265" s="42"/>
      <c r="B265" s="35" t="s">
        <v>58</v>
      </c>
      <c r="C265" s="43">
        <f>'Price Changes'!F52</f>
        <v>0.24255000000000002</v>
      </c>
      <c r="D265" s="44">
        <f t="shared" ref="D265:N265" si="193">C265</f>
        <v>0.24255000000000002</v>
      </c>
      <c r="E265" s="43">
        <f t="shared" si="193"/>
        <v>0.24255000000000002</v>
      </c>
      <c r="F265" s="44">
        <f t="shared" si="193"/>
        <v>0.24255000000000002</v>
      </c>
      <c r="G265" s="43">
        <f t="shared" si="193"/>
        <v>0.24255000000000002</v>
      </c>
      <c r="H265" s="44">
        <f t="shared" si="193"/>
        <v>0.24255000000000002</v>
      </c>
      <c r="I265" s="43">
        <f t="shared" si="193"/>
        <v>0.24255000000000002</v>
      </c>
      <c r="J265" s="44">
        <f t="shared" si="193"/>
        <v>0.24255000000000002</v>
      </c>
      <c r="K265" s="43">
        <f t="shared" si="193"/>
        <v>0.24255000000000002</v>
      </c>
      <c r="L265" s="44">
        <f t="shared" si="193"/>
        <v>0.24255000000000002</v>
      </c>
      <c r="M265" s="43">
        <f t="shared" si="193"/>
        <v>0.24255000000000002</v>
      </c>
      <c r="N265" s="44">
        <f t="shared" si="193"/>
        <v>0.24255000000000002</v>
      </c>
      <c r="O265" s="45">
        <f>IF(O264=0,0,+O266/O264)</f>
        <v>0</v>
      </c>
      <c r="P265" s="46"/>
      <c r="Q265" s="46"/>
      <c r="R265" s="47"/>
      <c r="S265" s="41"/>
      <c r="T265" s="8"/>
    </row>
    <row r="266" spans="1:20">
      <c r="A266" s="42"/>
      <c r="B266" s="35" t="s">
        <v>15</v>
      </c>
      <c r="C266" s="48">
        <f t="shared" ref="C266:N266" si="194">C264*C265</f>
        <v>0</v>
      </c>
      <c r="D266" s="49">
        <f t="shared" si="194"/>
        <v>0</v>
      </c>
      <c r="E266" s="48">
        <f t="shared" si="194"/>
        <v>0</v>
      </c>
      <c r="F266" s="49">
        <f t="shared" si="194"/>
        <v>0</v>
      </c>
      <c r="G266" s="48">
        <f t="shared" si="194"/>
        <v>0</v>
      </c>
      <c r="H266" s="49">
        <f t="shared" si="194"/>
        <v>0</v>
      </c>
      <c r="I266" s="48">
        <f t="shared" si="194"/>
        <v>0</v>
      </c>
      <c r="J266" s="49">
        <f t="shared" si="194"/>
        <v>0</v>
      </c>
      <c r="K266" s="48">
        <f t="shared" si="194"/>
        <v>0</v>
      </c>
      <c r="L266" s="49">
        <f t="shared" si="194"/>
        <v>0</v>
      </c>
      <c r="M266" s="48">
        <f t="shared" si="194"/>
        <v>0</v>
      </c>
      <c r="N266" s="49">
        <f t="shared" si="194"/>
        <v>0</v>
      </c>
      <c r="O266" s="50">
        <f>SUM(C266:N266)</f>
        <v>0</v>
      </c>
      <c r="P266" s="40"/>
      <c r="Q266" s="40"/>
      <c r="R266" s="40"/>
      <c r="S266" s="41"/>
      <c r="T266" s="8"/>
    </row>
    <row r="267" spans="1:20" ht="16.5" thickBot="1">
      <c r="A267" s="51"/>
      <c r="B267" s="52" t="s">
        <v>59</v>
      </c>
      <c r="C267" s="53" t="e">
        <f t="shared" ref="C267:O267" si="195">C266/C$197</f>
        <v>#DIV/0!</v>
      </c>
      <c r="D267" s="54" t="e">
        <f t="shared" si="195"/>
        <v>#DIV/0!</v>
      </c>
      <c r="E267" s="53" t="e">
        <f t="shared" si="195"/>
        <v>#DIV/0!</v>
      </c>
      <c r="F267" s="54" t="e">
        <f t="shared" si="195"/>
        <v>#DIV/0!</v>
      </c>
      <c r="G267" s="53" t="e">
        <f t="shared" si="195"/>
        <v>#DIV/0!</v>
      </c>
      <c r="H267" s="54" t="e">
        <f t="shared" si="195"/>
        <v>#DIV/0!</v>
      </c>
      <c r="I267" s="53" t="e">
        <f t="shared" si="195"/>
        <v>#DIV/0!</v>
      </c>
      <c r="J267" s="54" t="e">
        <f t="shared" si="195"/>
        <v>#DIV/0!</v>
      </c>
      <c r="K267" s="53" t="e">
        <f t="shared" si="195"/>
        <v>#DIV/0!</v>
      </c>
      <c r="L267" s="54" t="e">
        <f t="shared" si="195"/>
        <v>#DIV/0!</v>
      </c>
      <c r="M267" s="53" t="e">
        <f t="shared" si="195"/>
        <v>#DIV/0!</v>
      </c>
      <c r="N267" s="54" t="e">
        <f t="shared" si="195"/>
        <v>#DIV/0!</v>
      </c>
      <c r="O267" s="55" t="e">
        <f t="shared" si="195"/>
        <v>#DIV/0!</v>
      </c>
      <c r="P267" s="56"/>
      <c r="Q267" s="56"/>
      <c r="R267" s="57"/>
      <c r="S267" s="41"/>
      <c r="T267" s="8"/>
    </row>
    <row r="268" spans="1:20">
      <c r="A268" s="181" t="s">
        <v>75</v>
      </c>
      <c r="B268" s="29" t="s">
        <v>55</v>
      </c>
      <c r="C268" s="30">
        <f>'2012 Actual Costs'!C268</f>
        <v>77.666885242201346</v>
      </c>
      <c r="D268" s="31">
        <f>'2012 Actual Costs'!D268</f>
        <v>90.377806539738103</v>
      </c>
      <c r="E268" s="30">
        <f>'2012 Actual Costs'!E268</f>
        <v>55.444931395785495</v>
      </c>
      <c r="F268" s="31">
        <f>'2012 Actual Costs'!F268</f>
        <v>79.102362018848524</v>
      </c>
      <c r="G268" s="30">
        <f>'2011 Actual Costs'!G268</f>
        <v>47.414350355526821</v>
      </c>
      <c r="H268" s="31">
        <f>'2011 Actual Costs'!H268</f>
        <v>86.507280473071788</v>
      </c>
      <c r="I268" s="30">
        <f>'2011 Actual Costs'!I268</f>
        <v>80.540893185457563</v>
      </c>
      <c r="J268" s="31">
        <f>'2011 Actual Costs'!J268</f>
        <v>135.51749813849591</v>
      </c>
      <c r="K268" s="30">
        <f>'2011 Actual Costs'!K268</f>
        <v>100.14109226057332</v>
      </c>
      <c r="L268" s="31">
        <f>'2011 Actual Costs'!L268</f>
        <v>95.287992403156622</v>
      </c>
      <c r="M268" s="30">
        <f>'2011 Actual Costs'!M268</f>
        <v>158.20576717693129</v>
      </c>
      <c r="N268" s="31">
        <f>'2011 Actual Costs'!N268</f>
        <v>40.308534461308781</v>
      </c>
      <c r="O268" s="32" t="e">
        <f>O269/O$197</f>
        <v>#DIV/0!</v>
      </c>
      <c r="P268" s="9"/>
      <c r="Q268" s="9"/>
      <c r="R268" s="9"/>
      <c r="S268" s="70"/>
    </row>
    <row r="269" spans="1:20">
      <c r="A269" s="34" t="s">
        <v>71</v>
      </c>
      <c r="B269" s="35" t="s">
        <v>57</v>
      </c>
      <c r="C269" s="36">
        <f>C268*C$197</f>
        <v>0</v>
      </c>
      <c r="D269" s="37">
        <f t="shared" ref="D269:N269" si="196">D268*D$197</f>
        <v>0</v>
      </c>
      <c r="E269" s="36">
        <f t="shared" si="196"/>
        <v>0</v>
      </c>
      <c r="F269" s="37">
        <f t="shared" si="196"/>
        <v>0</v>
      </c>
      <c r="G269" s="36">
        <f t="shared" si="196"/>
        <v>0</v>
      </c>
      <c r="H269" s="37">
        <f t="shared" si="196"/>
        <v>0</v>
      </c>
      <c r="I269" s="36">
        <f t="shared" si="196"/>
        <v>0</v>
      </c>
      <c r="J269" s="37">
        <f t="shared" si="196"/>
        <v>0</v>
      </c>
      <c r="K269" s="36">
        <f t="shared" si="196"/>
        <v>0</v>
      </c>
      <c r="L269" s="37">
        <f t="shared" si="196"/>
        <v>0</v>
      </c>
      <c r="M269" s="36">
        <f t="shared" si="196"/>
        <v>0</v>
      </c>
      <c r="N269" s="37">
        <f t="shared" si="196"/>
        <v>0</v>
      </c>
      <c r="O269" s="67">
        <f>SUM(C269:N269)</f>
        <v>0</v>
      </c>
      <c r="P269" s="15"/>
      <c r="Q269" s="15"/>
      <c r="R269" s="15"/>
      <c r="S269" s="71"/>
    </row>
    <row r="270" spans="1:20" ht="15.75">
      <c r="A270" s="182" t="s">
        <v>64</v>
      </c>
      <c r="B270" s="35" t="s">
        <v>58</v>
      </c>
      <c r="C270" s="43">
        <f>'Price Changes'!F53</f>
        <v>1.279569</v>
      </c>
      <c r="D270" s="44">
        <f t="shared" ref="D270:N270" si="197">C270</f>
        <v>1.279569</v>
      </c>
      <c r="E270" s="43">
        <f t="shared" si="197"/>
        <v>1.279569</v>
      </c>
      <c r="F270" s="44">
        <f t="shared" si="197"/>
        <v>1.279569</v>
      </c>
      <c r="G270" s="43">
        <f t="shared" si="197"/>
        <v>1.279569</v>
      </c>
      <c r="H270" s="44">
        <f t="shared" si="197"/>
        <v>1.279569</v>
      </c>
      <c r="I270" s="43">
        <f t="shared" si="197"/>
        <v>1.279569</v>
      </c>
      <c r="J270" s="44">
        <f t="shared" si="197"/>
        <v>1.279569</v>
      </c>
      <c r="K270" s="43">
        <f t="shared" si="197"/>
        <v>1.279569</v>
      </c>
      <c r="L270" s="44">
        <f t="shared" si="197"/>
        <v>1.279569</v>
      </c>
      <c r="M270" s="43">
        <f t="shared" si="197"/>
        <v>1.279569</v>
      </c>
      <c r="N270" s="44">
        <f t="shared" si="197"/>
        <v>1.279569</v>
      </c>
      <c r="O270" s="45">
        <f>IF(O269=0,0,+O271/O269)</f>
        <v>0</v>
      </c>
      <c r="P270" s="15"/>
      <c r="Q270" s="72"/>
      <c r="R270" s="15"/>
      <c r="S270" s="15"/>
    </row>
    <row r="271" spans="1:20">
      <c r="A271" s="42"/>
      <c r="B271" s="35" t="s">
        <v>15</v>
      </c>
      <c r="C271" s="48">
        <f t="shared" ref="C271:N271" si="198">C269*C270</f>
        <v>0</v>
      </c>
      <c r="D271" s="49">
        <f t="shared" si="198"/>
        <v>0</v>
      </c>
      <c r="E271" s="48">
        <f t="shared" si="198"/>
        <v>0</v>
      </c>
      <c r="F271" s="49">
        <f t="shared" si="198"/>
        <v>0</v>
      </c>
      <c r="G271" s="48">
        <f t="shared" si="198"/>
        <v>0</v>
      </c>
      <c r="H271" s="49">
        <f t="shared" si="198"/>
        <v>0</v>
      </c>
      <c r="I271" s="48">
        <f t="shared" si="198"/>
        <v>0</v>
      </c>
      <c r="J271" s="49">
        <f t="shared" si="198"/>
        <v>0</v>
      </c>
      <c r="K271" s="48">
        <f t="shared" si="198"/>
        <v>0</v>
      </c>
      <c r="L271" s="49">
        <f t="shared" si="198"/>
        <v>0</v>
      </c>
      <c r="M271" s="48">
        <f t="shared" si="198"/>
        <v>0</v>
      </c>
      <c r="N271" s="49">
        <f t="shared" si="198"/>
        <v>0</v>
      </c>
      <c r="O271" s="50">
        <f>SUM(C271:N271)</f>
        <v>0</v>
      </c>
      <c r="P271" s="15"/>
      <c r="Q271" s="15"/>
      <c r="R271" s="15"/>
      <c r="S271" s="15"/>
    </row>
    <row r="272" spans="1:20" ht="13.5" thickBot="1">
      <c r="A272" s="51"/>
      <c r="B272" s="52" t="s">
        <v>59</v>
      </c>
      <c r="C272" s="53" t="e">
        <f t="shared" ref="C272:O272" si="199">C271/C$197</f>
        <v>#DIV/0!</v>
      </c>
      <c r="D272" s="54" t="e">
        <f t="shared" si="199"/>
        <v>#DIV/0!</v>
      </c>
      <c r="E272" s="53" t="e">
        <f t="shared" si="199"/>
        <v>#DIV/0!</v>
      </c>
      <c r="F272" s="54" t="e">
        <f t="shared" si="199"/>
        <v>#DIV/0!</v>
      </c>
      <c r="G272" s="53" t="e">
        <f t="shared" si="199"/>
        <v>#DIV/0!</v>
      </c>
      <c r="H272" s="54" t="e">
        <f t="shared" si="199"/>
        <v>#DIV/0!</v>
      </c>
      <c r="I272" s="53" t="e">
        <f t="shared" si="199"/>
        <v>#DIV/0!</v>
      </c>
      <c r="J272" s="54" t="e">
        <f t="shared" si="199"/>
        <v>#DIV/0!</v>
      </c>
      <c r="K272" s="53" t="e">
        <f t="shared" si="199"/>
        <v>#DIV/0!</v>
      </c>
      <c r="L272" s="54" t="e">
        <f t="shared" si="199"/>
        <v>#DIV/0!</v>
      </c>
      <c r="M272" s="53" t="e">
        <f t="shared" si="199"/>
        <v>#DIV/0!</v>
      </c>
      <c r="N272" s="54" t="e">
        <f t="shared" si="199"/>
        <v>#DIV/0!</v>
      </c>
      <c r="O272" s="55" t="e">
        <f t="shared" si="199"/>
        <v>#DIV/0!</v>
      </c>
      <c r="P272" s="8"/>
      <c r="S272" s="41"/>
    </row>
    <row r="273" spans="1:19">
      <c r="A273" s="181" t="s">
        <v>76</v>
      </c>
      <c r="B273" s="29" t="s">
        <v>55</v>
      </c>
      <c r="C273" s="30">
        <f>'2012 Actual Costs'!C273</f>
        <v>170.58499979067687</v>
      </c>
      <c r="D273" s="31">
        <f>'2012 Actual Costs'!D273</f>
        <v>494.62884912467695</v>
      </c>
      <c r="E273" s="30">
        <f>'2012 Actual Costs'!E273</f>
        <v>206.41597741774493</v>
      </c>
      <c r="F273" s="31">
        <f>'2012 Actual Costs'!F273</f>
        <v>422.12247989982376</v>
      </c>
      <c r="G273" s="30">
        <f>'2011 Actual Costs'!G273</f>
        <v>167.51777634130573</v>
      </c>
      <c r="H273" s="31">
        <f>'2011 Actual Costs'!H273</f>
        <v>187.48012971323203</v>
      </c>
      <c r="I273" s="30">
        <f>'2011 Actual Costs'!I273</f>
        <v>224.39357096257635</v>
      </c>
      <c r="J273" s="31">
        <f>'2011 Actual Costs'!J273</f>
        <v>67.913874410523704</v>
      </c>
      <c r="K273" s="30">
        <f>'2011 Actual Costs'!K273</f>
        <v>152.41405416566295</v>
      </c>
      <c r="L273" s="31">
        <f>'2011 Actual Costs'!L273</f>
        <v>175.02210288483579</v>
      </c>
      <c r="M273" s="30">
        <f>'2011 Actual Costs'!M273</f>
        <v>133.89106443574227</v>
      </c>
      <c r="N273" s="31">
        <f>'2011 Actual Costs'!N273</f>
        <v>188.81740304979917</v>
      </c>
      <c r="O273" s="32" t="e">
        <f>O274/O$197</f>
        <v>#DIV/0!</v>
      </c>
    </row>
    <row r="274" spans="1:19">
      <c r="A274" s="34" t="s">
        <v>64</v>
      </c>
      <c r="B274" s="35" t="s">
        <v>57</v>
      </c>
      <c r="C274" s="36">
        <f>C273*C$197</f>
        <v>0</v>
      </c>
      <c r="D274" s="37">
        <f t="shared" ref="D274:N274" si="200">D273*D$197</f>
        <v>0</v>
      </c>
      <c r="E274" s="36">
        <f t="shared" si="200"/>
        <v>0</v>
      </c>
      <c r="F274" s="37">
        <f t="shared" si="200"/>
        <v>0</v>
      </c>
      <c r="G274" s="36">
        <f t="shared" si="200"/>
        <v>0</v>
      </c>
      <c r="H274" s="37">
        <f t="shared" si="200"/>
        <v>0</v>
      </c>
      <c r="I274" s="36">
        <f t="shared" si="200"/>
        <v>0</v>
      </c>
      <c r="J274" s="37">
        <f t="shared" si="200"/>
        <v>0</v>
      </c>
      <c r="K274" s="36">
        <f t="shared" si="200"/>
        <v>0</v>
      </c>
      <c r="L274" s="37">
        <f t="shared" si="200"/>
        <v>0</v>
      </c>
      <c r="M274" s="36">
        <f t="shared" si="200"/>
        <v>0</v>
      </c>
      <c r="N274" s="37">
        <f t="shared" si="200"/>
        <v>0</v>
      </c>
      <c r="O274" s="38">
        <f>SUM(C274:N274)</f>
        <v>0</v>
      </c>
    </row>
    <row r="275" spans="1:19">
      <c r="A275" s="34"/>
      <c r="B275" s="35" t="s">
        <v>58</v>
      </c>
      <c r="C275" s="43">
        <f>'Price Changes'!F54</f>
        <v>0.29128400000000004</v>
      </c>
      <c r="D275" s="44">
        <f t="shared" ref="D275:N275" si="201">C275</f>
        <v>0.29128400000000004</v>
      </c>
      <c r="E275" s="43">
        <f t="shared" si="201"/>
        <v>0.29128400000000004</v>
      </c>
      <c r="F275" s="44">
        <f t="shared" si="201"/>
        <v>0.29128400000000004</v>
      </c>
      <c r="G275" s="43">
        <f t="shared" si="201"/>
        <v>0.29128400000000004</v>
      </c>
      <c r="H275" s="44">
        <f t="shared" si="201"/>
        <v>0.29128400000000004</v>
      </c>
      <c r="I275" s="43">
        <f t="shared" si="201"/>
        <v>0.29128400000000004</v>
      </c>
      <c r="J275" s="44">
        <f t="shared" si="201"/>
        <v>0.29128400000000004</v>
      </c>
      <c r="K275" s="43">
        <f t="shared" si="201"/>
        <v>0.29128400000000004</v>
      </c>
      <c r="L275" s="44">
        <f t="shared" si="201"/>
        <v>0.29128400000000004</v>
      </c>
      <c r="M275" s="43">
        <f t="shared" si="201"/>
        <v>0.29128400000000004</v>
      </c>
      <c r="N275" s="44">
        <f t="shared" si="201"/>
        <v>0.29128400000000004</v>
      </c>
      <c r="O275" s="45">
        <f>IF(O274=0,0,+O276/O274)</f>
        <v>0</v>
      </c>
    </row>
    <row r="276" spans="1:19">
      <c r="A276" s="42"/>
      <c r="B276" s="35" t="s">
        <v>15</v>
      </c>
      <c r="C276" s="48">
        <f t="shared" ref="C276:N276" si="202">C274*C275</f>
        <v>0</v>
      </c>
      <c r="D276" s="49">
        <f t="shared" si="202"/>
        <v>0</v>
      </c>
      <c r="E276" s="48">
        <f t="shared" si="202"/>
        <v>0</v>
      </c>
      <c r="F276" s="49">
        <f t="shared" si="202"/>
        <v>0</v>
      </c>
      <c r="G276" s="48">
        <f t="shared" si="202"/>
        <v>0</v>
      </c>
      <c r="H276" s="49">
        <f t="shared" si="202"/>
        <v>0</v>
      </c>
      <c r="I276" s="48">
        <f t="shared" si="202"/>
        <v>0</v>
      </c>
      <c r="J276" s="49">
        <f t="shared" si="202"/>
        <v>0</v>
      </c>
      <c r="K276" s="48">
        <f t="shared" si="202"/>
        <v>0</v>
      </c>
      <c r="L276" s="49">
        <f t="shared" si="202"/>
        <v>0</v>
      </c>
      <c r="M276" s="48">
        <f t="shared" si="202"/>
        <v>0</v>
      </c>
      <c r="N276" s="49">
        <f t="shared" si="202"/>
        <v>0</v>
      </c>
      <c r="O276" s="50">
        <f>SUM(C276:N276)</f>
        <v>0</v>
      </c>
    </row>
    <row r="277" spans="1:19" ht="15.75" customHeight="1" thickBot="1">
      <c r="A277" s="51"/>
      <c r="B277" s="52" t="s">
        <v>59</v>
      </c>
      <c r="C277" s="53" t="e">
        <f t="shared" ref="C277:O277" si="203">C276/C$197</f>
        <v>#DIV/0!</v>
      </c>
      <c r="D277" s="54" t="e">
        <f t="shared" si="203"/>
        <v>#DIV/0!</v>
      </c>
      <c r="E277" s="53" t="e">
        <f t="shared" si="203"/>
        <v>#DIV/0!</v>
      </c>
      <c r="F277" s="54" t="e">
        <f t="shared" si="203"/>
        <v>#DIV/0!</v>
      </c>
      <c r="G277" s="53" t="e">
        <f t="shared" si="203"/>
        <v>#DIV/0!</v>
      </c>
      <c r="H277" s="54" t="e">
        <f t="shared" si="203"/>
        <v>#DIV/0!</v>
      </c>
      <c r="I277" s="53" t="e">
        <f t="shared" si="203"/>
        <v>#DIV/0!</v>
      </c>
      <c r="J277" s="54" t="e">
        <f t="shared" si="203"/>
        <v>#DIV/0!</v>
      </c>
      <c r="K277" s="53" t="e">
        <f t="shared" si="203"/>
        <v>#DIV/0!</v>
      </c>
      <c r="L277" s="54" t="e">
        <f t="shared" si="203"/>
        <v>#DIV/0!</v>
      </c>
      <c r="M277" s="53" t="e">
        <f t="shared" si="203"/>
        <v>#DIV/0!</v>
      </c>
      <c r="N277" s="54" t="e">
        <f t="shared" si="203"/>
        <v>#DIV/0!</v>
      </c>
      <c r="O277" s="55" t="e">
        <f t="shared" si="203"/>
        <v>#DIV/0!</v>
      </c>
    </row>
    <row r="278" spans="1:19" ht="13.5" thickBot="1">
      <c r="A278" s="10" t="s">
        <v>1</v>
      </c>
      <c r="B278" s="73" t="s">
        <v>1</v>
      </c>
      <c r="C278" s="74" t="s">
        <v>1</v>
      </c>
      <c r="D278" s="75" t="s">
        <v>1</v>
      </c>
      <c r="E278" s="74" t="s">
        <v>1</v>
      </c>
      <c r="F278" s="75" t="s">
        <v>1</v>
      </c>
      <c r="G278" s="74" t="s">
        <v>1</v>
      </c>
      <c r="H278" s="75" t="s">
        <v>1</v>
      </c>
      <c r="I278" s="74" t="s">
        <v>1</v>
      </c>
      <c r="J278" s="75" t="s">
        <v>1</v>
      </c>
      <c r="K278" s="74" t="s">
        <v>1</v>
      </c>
      <c r="L278" s="75" t="s">
        <v>1</v>
      </c>
      <c r="M278" s="74" t="s">
        <v>1</v>
      </c>
      <c r="N278" s="75" t="s">
        <v>1</v>
      </c>
      <c r="O278" s="6" t="s">
        <v>1</v>
      </c>
      <c r="P278" s="9"/>
      <c r="Q278" s="9"/>
      <c r="R278" s="9"/>
      <c r="S278" s="70"/>
    </row>
    <row r="279" spans="1:19" ht="16.5" thickBot="1">
      <c r="A279" s="104" t="s">
        <v>81</v>
      </c>
      <c r="B279" s="105"/>
      <c r="C279" s="106">
        <v>0</v>
      </c>
      <c r="D279" s="107">
        <v>0</v>
      </c>
      <c r="E279" s="106">
        <v>0</v>
      </c>
      <c r="F279" s="107">
        <v>0</v>
      </c>
      <c r="G279" s="106">
        <v>0</v>
      </c>
      <c r="H279" s="107">
        <v>0</v>
      </c>
      <c r="I279" s="106">
        <v>0</v>
      </c>
      <c r="J279" s="107">
        <v>0</v>
      </c>
      <c r="K279" s="106">
        <v>0</v>
      </c>
      <c r="L279" s="107">
        <v>0</v>
      </c>
      <c r="M279" s="106">
        <v>0</v>
      </c>
      <c r="N279" s="107">
        <v>0</v>
      </c>
      <c r="O279" s="108">
        <f>SUM(C279:N279)</f>
        <v>0</v>
      </c>
      <c r="P279" s="9"/>
      <c r="Q279" s="9"/>
      <c r="R279" s="9"/>
      <c r="S279" s="70"/>
    </row>
    <row r="280" spans="1:19">
      <c r="A280" s="28" t="s">
        <v>84</v>
      </c>
      <c r="B280" s="29" t="s">
        <v>55</v>
      </c>
      <c r="C280" s="113" t="e">
        <f t="shared" ref="C280:O280" si="204">C281/C$197</f>
        <v>#DIV/0!</v>
      </c>
      <c r="D280" s="114" t="e">
        <f t="shared" si="204"/>
        <v>#DIV/0!</v>
      </c>
      <c r="E280" s="113" t="e">
        <f t="shared" si="204"/>
        <v>#DIV/0!</v>
      </c>
      <c r="F280" s="114" t="e">
        <f t="shared" si="204"/>
        <v>#DIV/0!</v>
      </c>
      <c r="G280" s="113" t="e">
        <f t="shared" si="204"/>
        <v>#DIV/0!</v>
      </c>
      <c r="H280" s="114" t="e">
        <f t="shared" si="204"/>
        <v>#DIV/0!</v>
      </c>
      <c r="I280" s="113" t="e">
        <f t="shared" si="204"/>
        <v>#DIV/0!</v>
      </c>
      <c r="J280" s="114" t="e">
        <f t="shared" si="204"/>
        <v>#DIV/0!</v>
      </c>
      <c r="K280" s="113" t="e">
        <f t="shared" si="204"/>
        <v>#DIV/0!</v>
      </c>
      <c r="L280" s="114" t="e">
        <f t="shared" si="204"/>
        <v>#DIV/0!</v>
      </c>
      <c r="M280" s="113" t="e">
        <f t="shared" si="204"/>
        <v>#DIV/0!</v>
      </c>
      <c r="N280" s="114" t="e">
        <f t="shared" si="204"/>
        <v>#DIV/0!</v>
      </c>
      <c r="O280" s="32" t="e">
        <f t="shared" si="204"/>
        <v>#DIV/0!</v>
      </c>
      <c r="P280" s="57"/>
      <c r="Q280" s="57"/>
      <c r="R280" s="57"/>
      <c r="S280" s="41"/>
    </row>
    <row r="281" spans="1:19" ht="15.75">
      <c r="A281" s="34"/>
      <c r="B281" s="35" t="s">
        <v>57</v>
      </c>
      <c r="C281" s="36">
        <f t="shared" ref="C281:N281" si="205">C199+C204+C209+C224+C229+C234+C239+C244+C249+C254+C264+C274+C259+C219+C214+C269</f>
        <v>0</v>
      </c>
      <c r="D281" s="37">
        <f t="shared" si="205"/>
        <v>0</v>
      </c>
      <c r="E281" s="36">
        <f t="shared" si="205"/>
        <v>0</v>
      </c>
      <c r="F281" s="37">
        <f t="shared" si="205"/>
        <v>0</v>
      </c>
      <c r="G281" s="36">
        <f t="shared" si="205"/>
        <v>0</v>
      </c>
      <c r="H281" s="37">
        <f t="shared" si="205"/>
        <v>0</v>
      </c>
      <c r="I281" s="36">
        <f t="shared" si="205"/>
        <v>0</v>
      </c>
      <c r="J281" s="37">
        <f t="shared" si="205"/>
        <v>0</v>
      </c>
      <c r="K281" s="36">
        <f t="shared" si="205"/>
        <v>0</v>
      </c>
      <c r="L281" s="37">
        <f t="shared" si="205"/>
        <v>0</v>
      </c>
      <c r="M281" s="36">
        <f t="shared" si="205"/>
        <v>0</v>
      </c>
      <c r="N281" s="37">
        <f t="shared" si="205"/>
        <v>0</v>
      </c>
      <c r="O281" s="38">
        <f>SUM(C281:N281)</f>
        <v>0</v>
      </c>
      <c r="P281" s="56"/>
      <c r="Q281" s="47"/>
      <c r="R281" s="47"/>
      <c r="S281" s="41"/>
    </row>
    <row r="282" spans="1:19">
      <c r="A282" s="42"/>
      <c r="B282" s="35" t="s">
        <v>58</v>
      </c>
      <c r="C282" s="81" t="e">
        <f t="shared" ref="C282:N282" si="206">C283/C281</f>
        <v>#DIV/0!</v>
      </c>
      <c r="D282" s="82" t="e">
        <f t="shared" si="206"/>
        <v>#DIV/0!</v>
      </c>
      <c r="E282" s="81" t="e">
        <f t="shared" si="206"/>
        <v>#DIV/0!</v>
      </c>
      <c r="F282" s="82" t="e">
        <f t="shared" si="206"/>
        <v>#DIV/0!</v>
      </c>
      <c r="G282" s="81" t="e">
        <f t="shared" si="206"/>
        <v>#DIV/0!</v>
      </c>
      <c r="H282" s="82" t="e">
        <f t="shared" si="206"/>
        <v>#DIV/0!</v>
      </c>
      <c r="I282" s="81" t="e">
        <f t="shared" si="206"/>
        <v>#DIV/0!</v>
      </c>
      <c r="J282" s="82" t="e">
        <f t="shared" si="206"/>
        <v>#DIV/0!</v>
      </c>
      <c r="K282" s="81" t="e">
        <f t="shared" si="206"/>
        <v>#DIV/0!</v>
      </c>
      <c r="L282" s="82" t="e">
        <f t="shared" si="206"/>
        <v>#DIV/0!</v>
      </c>
      <c r="M282" s="81" t="e">
        <f t="shared" si="206"/>
        <v>#DIV/0!</v>
      </c>
      <c r="N282" s="82" t="e">
        <f t="shared" si="206"/>
        <v>#DIV/0!</v>
      </c>
      <c r="O282" s="45">
        <f>IF(O281=0,0,+O283/O281)</f>
        <v>0</v>
      </c>
      <c r="P282" s="40"/>
      <c r="Q282" s="40"/>
      <c r="R282" s="40"/>
      <c r="S282" s="41"/>
    </row>
    <row r="283" spans="1:19" ht="15.75">
      <c r="A283" s="83" t="s">
        <v>89</v>
      </c>
      <c r="B283" s="35" t="s">
        <v>15</v>
      </c>
      <c r="C283" s="48">
        <f t="shared" ref="C283:N283" si="207">C201+C206+C211+C216+C226+C231+C236+C241+C246+C251+C256+C266+C276+C279+C261+C221+C271</f>
        <v>0</v>
      </c>
      <c r="D283" s="49">
        <f t="shared" si="207"/>
        <v>0</v>
      </c>
      <c r="E283" s="48">
        <f t="shared" si="207"/>
        <v>0</v>
      </c>
      <c r="F283" s="49">
        <f t="shared" si="207"/>
        <v>0</v>
      </c>
      <c r="G283" s="48">
        <f t="shared" si="207"/>
        <v>0</v>
      </c>
      <c r="H283" s="49">
        <f t="shared" si="207"/>
        <v>0</v>
      </c>
      <c r="I283" s="48">
        <f t="shared" si="207"/>
        <v>0</v>
      </c>
      <c r="J283" s="49">
        <f t="shared" si="207"/>
        <v>0</v>
      </c>
      <c r="K283" s="48">
        <f t="shared" si="207"/>
        <v>0</v>
      </c>
      <c r="L283" s="49">
        <f t="shared" si="207"/>
        <v>0</v>
      </c>
      <c r="M283" s="48">
        <f t="shared" si="207"/>
        <v>0</v>
      </c>
      <c r="N283" s="49">
        <f t="shared" si="207"/>
        <v>0</v>
      </c>
      <c r="O283" s="50">
        <f>SUM(C283:N283)</f>
        <v>0</v>
      </c>
      <c r="P283" s="80"/>
      <c r="Q283" s="57"/>
      <c r="R283" s="57"/>
      <c r="S283" s="41"/>
    </row>
    <row r="284" spans="1:19" ht="13.5" thickBot="1">
      <c r="A284" s="51"/>
      <c r="B284" s="52" t="s">
        <v>59</v>
      </c>
      <c r="C284" s="53" t="e">
        <f t="shared" ref="C284:O284" si="208">C283/C$197</f>
        <v>#DIV/0!</v>
      </c>
      <c r="D284" s="54" t="e">
        <f t="shared" si="208"/>
        <v>#DIV/0!</v>
      </c>
      <c r="E284" s="53" t="e">
        <f t="shared" si="208"/>
        <v>#DIV/0!</v>
      </c>
      <c r="F284" s="54" t="e">
        <f t="shared" si="208"/>
        <v>#DIV/0!</v>
      </c>
      <c r="G284" s="53" t="e">
        <f t="shared" si="208"/>
        <v>#DIV/0!</v>
      </c>
      <c r="H284" s="54" t="e">
        <f t="shared" si="208"/>
        <v>#DIV/0!</v>
      </c>
      <c r="I284" s="53" t="e">
        <f t="shared" si="208"/>
        <v>#DIV/0!</v>
      </c>
      <c r="J284" s="54" t="e">
        <f t="shared" si="208"/>
        <v>#DIV/0!</v>
      </c>
      <c r="K284" s="53" t="e">
        <f t="shared" si="208"/>
        <v>#DIV/0!</v>
      </c>
      <c r="L284" s="54" t="e">
        <f t="shared" si="208"/>
        <v>#DIV/0!</v>
      </c>
      <c r="M284" s="53" t="e">
        <f t="shared" si="208"/>
        <v>#DIV/0!</v>
      </c>
      <c r="N284" s="54" t="e">
        <f t="shared" si="208"/>
        <v>#DIV/0!</v>
      </c>
      <c r="O284" s="55" t="e">
        <f t="shared" si="208"/>
        <v>#DIV/0!</v>
      </c>
      <c r="P284" s="9"/>
      <c r="Q284" s="9"/>
      <c r="R284" s="9"/>
      <c r="S284" s="70"/>
    </row>
    <row r="285" spans="1:19" ht="13.5" thickBot="1">
      <c r="A285" s="10" t="s">
        <v>1</v>
      </c>
      <c r="B285" s="73" t="s">
        <v>1</v>
      </c>
      <c r="C285" s="74" t="s">
        <v>1</v>
      </c>
      <c r="D285" s="75" t="s">
        <v>1</v>
      </c>
      <c r="E285" s="74" t="s">
        <v>1</v>
      </c>
      <c r="F285" s="75" t="s">
        <v>1</v>
      </c>
      <c r="G285" s="74" t="s">
        <v>1</v>
      </c>
      <c r="H285" s="75" t="s">
        <v>1</v>
      </c>
      <c r="I285" s="74" t="s">
        <v>1</v>
      </c>
      <c r="J285" s="75" t="s">
        <v>1</v>
      </c>
      <c r="K285" s="74" t="s">
        <v>1</v>
      </c>
      <c r="L285" s="75" t="s">
        <v>1</v>
      </c>
      <c r="M285" s="74" t="s">
        <v>1</v>
      </c>
      <c r="N285" s="75" t="s">
        <v>1</v>
      </c>
      <c r="O285" s="6" t="s">
        <v>1</v>
      </c>
      <c r="P285" s="39"/>
      <c r="Q285" s="39"/>
      <c r="R285" s="39"/>
      <c r="S285" s="41"/>
    </row>
    <row r="286" spans="1:19" ht="50.25" customHeight="1" thickBot="1">
      <c r="A286" s="580" t="s">
        <v>85</v>
      </c>
      <c r="B286" s="658"/>
      <c r="C286" s="658"/>
      <c r="D286" s="658"/>
      <c r="E286" s="658"/>
      <c r="F286" s="658"/>
      <c r="G286" s="658"/>
      <c r="H286" s="658"/>
      <c r="I286" s="658"/>
      <c r="J286" s="658"/>
      <c r="K286" s="658"/>
      <c r="L286" s="658"/>
      <c r="M286" s="658"/>
      <c r="N286" s="658"/>
      <c r="O286" s="657"/>
    </row>
    <row r="287" spans="1:19">
      <c r="A287" s="10" t="s">
        <v>1</v>
      </c>
      <c r="B287" s="11" t="s">
        <v>0</v>
      </c>
      <c r="C287" s="96"/>
      <c r="D287" s="97"/>
      <c r="E287" s="96"/>
      <c r="F287" s="97"/>
      <c r="G287" s="96"/>
      <c r="H287" s="97"/>
      <c r="I287" s="96"/>
      <c r="O287" s="2"/>
      <c r="S287" s="15"/>
    </row>
    <row r="288" spans="1:19" ht="15.75">
      <c r="A288" s="115" t="str">
        <f>A4</f>
        <v>2014 BUDGET</v>
      </c>
      <c r="B288" s="3"/>
      <c r="O288" s="2"/>
    </row>
    <row r="289" spans="1:20">
      <c r="A289" s="99"/>
      <c r="B289" s="3"/>
      <c r="O289" s="2"/>
      <c r="P289" s="9"/>
      <c r="Q289" s="9"/>
      <c r="R289" s="9"/>
      <c r="S289" s="9"/>
    </row>
    <row r="290" spans="1:20">
      <c r="A290" s="4"/>
      <c r="B290" s="3"/>
      <c r="C290" s="22" t="s">
        <v>2</v>
      </c>
      <c r="D290" s="23" t="s">
        <v>3</v>
      </c>
      <c r="E290" s="22" t="s">
        <v>4</v>
      </c>
      <c r="F290" s="23" t="s">
        <v>5</v>
      </c>
      <c r="G290" s="22" t="s">
        <v>6</v>
      </c>
      <c r="H290" s="23" t="s">
        <v>86</v>
      </c>
      <c r="I290" s="22" t="s">
        <v>87</v>
      </c>
      <c r="J290" s="23" t="s">
        <v>52</v>
      </c>
      <c r="K290" s="22" t="s">
        <v>88</v>
      </c>
      <c r="L290" s="23" t="s">
        <v>10</v>
      </c>
      <c r="M290" s="22" t="s">
        <v>11</v>
      </c>
      <c r="N290" s="23" t="s">
        <v>12</v>
      </c>
      <c r="O290" s="24" t="s">
        <v>13</v>
      </c>
      <c r="P290" s="15"/>
      <c r="Q290" s="15"/>
      <c r="R290" s="15"/>
      <c r="S290" s="15"/>
    </row>
    <row r="291" spans="1:20" ht="16.5" thickBot="1">
      <c r="A291" s="19" t="s">
        <v>53</v>
      </c>
      <c r="B291" s="3"/>
      <c r="C291" s="100">
        <f>'Pumpage 2014'!G49</f>
        <v>223.32089302393751</v>
      </c>
      <c r="D291" s="101">
        <f>'Pumpage 2014'!H49</f>
        <v>201.70919369904033</v>
      </c>
      <c r="E291" s="100">
        <f>'Pumpage 2014'!I49</f>
        <v>223.32089302393751</v>
      </c>
      <c r="F291" s="101">
        <f>'Pumpage 2014'!J49</f>
        <v>216.1169932489718</v>
      </c>
      <c r="G291" s="100">
        <f>'Pumpage 2014'!K49</f>
        <v>223.32089302393751</v>
      </c>
      <c r="H291" s="101">
        <f>'Pumpage 2014'!L49</f>
        <v>308.73856178424541</v>
      </c>
      <c r="I291" s="100">
        <f>'Pumpage 2014'!M49</f>
        <v>319.02984717705357</v>
      </c>
      <c r="J291" s="101">
        <f>'Pumpage 2014'!N49</f>
        <v>319.02984717705357</v>
      </c>
      <c r="K291" s="100">
        <f>'Pumpage 2014'!O49</f>
        <v>216.1169932489718</v>
      </c>
      <c r="L291" s="101">
        <f>'Pumpage 2014'!P49</f>
        <v>223.32089302393751</v>
      </c>
      <c r="M291" s="100">
        <f>'Pumpage 2014'!Q49</f>
        <v>216.1169932489718</v>
      </c>
      <c r="N291" s="101">
        <f>'Pumpage 2014'!R49</f>
        <v>223.32089302393751</v>
      </c>
      <c r="O291" s="102">
        <f>SUM(C291:N291)</f>
        <v>2913.462894703996</v>
      </c>
      <c r="P291" s="15"/>
      <c r="Q291" s="72"/>
      <c r="R291" s="15"/>
      <c r="S291" s="15"/>
    </row>
    <row r="292" spans="1:20">
      <c r="A292" s="28" t="s">
        <v>54</v>
      </c>
      <c r="B292" s="29" t="s">
        <v>55</v>
      </c>
      <c r="C292" s="30">
        <f>'2012 Actual Costs'!C292</f>
        <v>55.900372631049542</v>
      </c>
      <c r="D292" s="31">
        <f>'2012 Actual Costs'!D292</f>
        <v>51.181079083518107</v>
      </c>
      <c r="E292" s="30">
        <f>'2012 Actual Costs'!E292</f>
        <v>53.763090957409297</v>
      </c>
      <c r="F292" s="31">
        <f>'2012 Actual Costs'!F292</f>
        <v>56.209744952288403</v>
      </c>
      <c r="G292" s="30">
        <f>'2011 Actual Costs'!G292</f>
        <v>37.329871109853464</v>
      </c>
      <c r="H292" s="31">
        <f>'2011 Actual Costs'!H292</f>
        <v>55.643703341344619</v>
      </c>
      <c r="I292" s="30">
        <f>'2011 Actual Costs'!I292</f>
        <v>48.519745188452966</v>
      </c>
      <c r="J292" s="31">
        <f>'2011 Actual Costs'!J292</f>
        <v>59.161780315131026</v>
      </c>
      <c r="K292" s="30">
        <f>'2011 Actual Costs'!K292</f>
        <v>60.31651525918528</v>
      </c>
      <c r="L292" s="31">
        <f>'2011 Actual Costs'!L292</f>
        <v>61.860780366410054</v>
      </c>
      <c r="M292" s="30">
        <f>'2011 Actual Costs'!M292</f>
        <v>45.183488904646218</v>
      </c>
      <c r="N292" s="31">
        <f>'2011 Actual Costs'!N292</f>
        <v>55.768740257899957</v>
      </c>
      <c r="O292" s="32">
        <f>O293/O$7</f>
        <v>35.586996222680497</v>
      </c>
    </row>
    <row r="293" spans="1:20">
      <c r="A293" s="34" t="s">
        <v>56</v>
      </c>
      <c r="B293" s="35" t="s">
        <v>57</v>
      </c>
      <c r="C293" s="36">
        <f t="shared" ref="C293:N293" si="209">C$291*C292</f>
        <v>12483.721136336859</v>
      </c>
      <c r="D293" s="37">
        <f t="shared" si="209"/>
        <v>10323.694194583255</v>
      </c>
      <c r="E293" s="36">
        <f t="shared" si="209"/>
        <v>12006.421484335824</v>
      </c>
      <c r="F293" s="37">
        <f t="shared" si="209"/>
        <v>12147.881070380139</v>
      </c>
      <c r="G293" s="36">
        <f t="shared" si="209"/>
        <v>8336.5401527209615</v>
      </c>
      <c r="H293" s="37">
        <f t="shared" si="209"/>
        <v>17179.35694195595</v>
      </c>
      <c r="I293" s="36">
        <f t="shared" si="209"/>
        <v>15479.246892541731</v>
      </c>
      <c r="J293" s="37">
        <f t="shared" si="209"/>
        <v>18874.373732658667</v>
      </c>
      <c r="K293" s="36">
        <f t="shared" si="209"/>
        <v>13035.423921070849</v>
      </c>
      <c r="L293" s="37">
        <f t="shared" si="209"/>
        <v>13814.804714584354</v>
      </c>
      <c r="M293" s="36">
        <f t="shared" si="209"/>
        <v>9764.9197665704196</v>
      </c>
      <c r="N293" s="37">
        <f t="shared" si="209"/>
        <v>12454.324877214234</v>
      </c>
      <c r="O293" s="38">
        <f>SUM(C293:N293)</f>
        <v>155900.70888495326</v>
      </c>
      <c r="P293" s="57"/>
      <c r="Q293" s="57"/>
      <c r="R293" s="57"/>
      <c r="S293" s="41"/>
    </row>
    <row r="294" spans="1:20" ht="15.75">
      <c r="A294" s="42"/>
      <c r="B294" s="35" t="s">
        <v>58</v>
      </c>
      <c r="C294" s="43">
        <f>'Price Changes'!F57</f>
        <v>0.14304125000000004</v>
      </c>
      <c r="D294" s="44">
        <f t="shared" ref="D294:N294" si="210">C294</f>
        <v>0.14304125000000004</v>
      </c>
      <c r="E294" s="43">
        <f t="shared" si="210"/>
        <v>0.14304125000000004</v>
      </c>
      <c r="F294" s="44">
        <f t="shared" si="210"/>
        <v>0.14304125000000004</v>
      </c>
      <c r="G294" s="43">
        <f t="shared" si="210"/>
        <v>0.14304125000000004</v>
      </c>
      <c r="H294" s="44">
        <f t="shared" si="210"/>
        <v>0.14304125000000004</v>
      </c>
      <c r="I294" s="43">
        <f t="shared" si="210"/>
        <v>0.14304125000000004</v>
      </c>
      <c r="J294" s="44">
        <f t="shared" si="210"/>
        <v>0.14304125000000004</v>
      </c>
      <c r="K294" s="43">
        <f t="shared" si="210"/>
        <v>0.14304125000000004</v>
      </c>
      <c r="L294" s="44">
        <f t="shared" si="210"/>
        <v>0.14304125000000004</v>
      </c>
      <c r="M294" s="43">
        <f t="shared" si="210"/>
        <v>0.14304125000000004</v>
      </c>
      <c r="N294" s="44">
        <f t="shared" si="210"/>
        <v>0.14304125000000004</v>
      </c>
      <c r="O294" s="45">
        <f>IF(O293=0,0,+O295/O293)</f>
        <v>0.14304125000000001</v>
      </c>
      <c r="P294" s="80"/>
      <c r="Q294" s="68"/>
      <c r="R294" s="47"/>
      <c r="S294" s="41"/>
    </row>
    <row r="295" spans="1:20">
      <c r="A295" s="42"/>
      <c r="B295" s="35" t="s">
        <v>15</v>
      </c>
      <c r="C295" s="48">
        <f t="shared" ref="C295:N295" si="211">C293*C294</f>
        <v>1785.6870759930453</v>
      </c>
      <c r="D295" s="49">
        <f t="shared" si="211"/>
        <v>1476.7141222109324</v>
      </c>
      <c r="E295" s="48">
        <f t="shared" si="211"/>
        <v>1717.4135371462521</v>
      </c>
      <c r="F295" s="49">
        <f t="shared" si="211"/>
        <v>1737.6480931585136</v>
      </c>
      <c r="G295" s="48">
        <f t="shared" si="211"/>
        <v>1192.4691241203975</v>
      </c>
      <c r="H295" s="49">
        <f t="shared" si="211"/>
        <v>2457.356691173557</v>
      </c>
      <c r="I295" s="48">
        <f t="shared" si="211"/>
        <v>2214.1708245677855</v>
      </c>
      <c r="J295" s="49">
        <f t="shared" si="211"/>
        <v>2699.8140116866621</v>
      </c>
      <c r="K295" s="48">
        <f t="shared" si="211"/>
        <v>1864.6033319498761</v>
      </c>
      <c r="L295" s="49">
        <f t="shared" si="211"/>
        <v>1976.0869348800397</v>
      </c>
      <c r="M295" s="48">
        <f t="shared" si="211"/>
        <v>1396.7863295599414</v>
      </c>
      <c r="N295" s="49">
        <f t="shared" si="211"/>
        <v>1781.482198342821</v>
      </c>
      <c r="O295" s="50">
        <f>SUM(C295:N295)</f>
        <v>22300.232274789822</v>
      </c>
      <c r="P295" s="40"/>
      <c r="Q295" s="40"/>
      <c r="R295" s="40"/>
      <c r="S295" s="41"/>
    </row>
    <row r="296" spans="1:20" ht="16.5" thickBot="1">
      <c r="A296" s="51"/>
      <c r="B296" s="52" t="s">
        <v>59</v>
      </c>
      <c r="C296" s="53">
        <f t="shared" ref="C296:N296" si="212">C295/C$291</f>
        <v>7.9960591766111175</v>
      </c>
      <c r="D296" s="54">
        <f t="shared" si="212"/>
        <v>7.3210055284552862</v>
      </c>
      <c r="E296" s="53">
        <f t="shared" si="212"/>
        <v>7.6903397344115243</v>
      </c>
      <c r="F296" s="54">
        <f t="shared" si="212"/>
        <v>8.0403121801565263</v>
      </c>
      <c r="G296" s="53">
        <f t="shared" si="212"/>
        <v>5.3397114258923279</v>
      </c>
      <c r="H296" s="54">
        <f t="shared" si="212"/>
        <v>7.959344880575113</v>
      </c>
      <c r="I296" s="53">
        <f t="shared" si="212"/>
        <v>6.9403250014378006</v>
      </c>
      <c r="J296" s="54">
        <f t="shared" si="212"/>
        <v>8.4625750085017373</v>
      </c>
      <c r="K296" s="53">
        <f t="shared" si="212"/>
        <v>8.627749738317938</v>
      </c>
      <c r="L296" s="54">
        <f t="shared" si="212"/>
        <v>8.8486433495867551</v>
      </c>
      <c r="M296" s="53">
        <f t="shared" si="212"/>
        <v>6.4631027322817278</v>
      </c>
      <c r="N296" s="54">
        <f t="shared" si="212"/>
        <v>7.9772303174153345</v>
      </c>
      <c r="O296" s="55">
        <f>O295/O$7</f>
        <v>5.0904084234374976</v>
      </c>
      <c r="P296" s="80"/>
      <c r="Q296" s="57"/>
      <c r="R296" s="57"/>
      <c r="S296" s="41"/>
    </row>
    <row r="297" spans="1:20">
      <c r="A297" s="28" t="s">
        <v>60</v>
      </c>
      <c r="B297" s="29" t="s">
        <v>55</v>
      </c>
      <c r="C297" s="30">
        <f>'2012 Actual Costs'!C297</f>
        <v>0</v>
      </c>
      <c r="D297" s="31">
        <f>'2012 Actual Costs'!D297</f>
        <v>0</v>
      </c>
      <c r="E297" s="30">
        <f>'2012 Actual Costs'!E297</f>
        <v>0</v>
      </c>
      <c r="F297" s="31">
        <f>'2012 Actual Costs'!F297</f>
        <v>0</v>
      </c>
      <c r="G297" s="30">
        <f>'2011 Actual Costs'!G297</f>
        <v>9.7603445011195111E-3</v>
      </c>
      <c r="H297" s="31">
        <f>'2011 Actual Costs'!H297</f>
        <v>0</v>
      </c>
      <c r="I297" s="30">
        <f>'2011 Actual Costs'!I297</f>
        <v>0</v>
      </c>
      <c r="J297" s="31">
        <f>'2011 Actual Costs'!J297</f>
        <v>0</v>
      </c>
      <c r="K297" s="30">
        <f>'2011 Actual Costs'!K297</f>
        <v>0</v>
      </c>
      <c r="L297" s="31">
        <f>'2011 Actual Costs'!L297</f>
        <v>0</v>
      </c>
      <c r="M297" s="30">
        <f>'2011 Actual Costs'!M297</f>
        <v>0</v>
      </c>
      <c r="N297" s="31">
        <f>'2011 Actual Costs'!N297</f>
        <v>0</v>
      </c>
      <c r="O297" s="32">
        <f>O298/O$7</f>
        <v>4.9755116210747647E-4</v>
      </c>
      <c r="P297" s="58"/>
      <c r="Q297" s="58"/>
      <c r="R297" s="58"/>
      <c r="S297" s="41"/>
      <c r="T297" s="8"/>
    </row>
    <row r="298" spans="1:20">
      <c r="A298" s="34" t="s">
        <v>56</v>
      </c>
      <c r="B298" s="35" t="s">
        <v>57</v>
      </c>
      <c r="C298" s="65">
        <f t="shared" ref="C298:N298" si="213">C$291*C297</f>
        <v>0</v>
      </c>
      <c r="D298" s="66">
        <f t="shared" si="213"/>
        <v>0</v>
      </c>
      <c r="E298" s="65">
        <f t="shared" si="213"/>
        <v>0</v>
      </c>
      <c r="F298" s="66">
        <f t="shared" si="213"/>
        <v>0</v>
      </c>
      <c r="G298" s="65">
        <f t="shared" si="213"/>
        <v>2.1796888502112872</v>
      </c>
      <c r="H298" s="66">
        <f t="shared" si="213"/>
        <v>0</v>
      </c>
      <c r="I298" s="65">
        <f t="shared" si="213"/>
        <v>0</v>
      </c>
      <c r="J298" s="66">
        <f t="shared" si="213"/>
        <v>0</v>
      </c>
      <c r="K298" s="65">
        <f t="shared" si="213"/>
        <v>0</v>
      </c>
      <c r="L298" s="66">
        <f t="shared" si="213"/>
        <v>0</v>
      </c>
      <c r="M298" s="65">
        <f t="shared" si="213"/>
        <v>0</v>
      </c>
      <c r="N298" s="66">
        <f t="shared" si="213"/>
        <v>0</v>
      </c>
      <c r="O298" s="67">
        <f>SUM(C298:N298)</f>
        <v>2.1796888502112872</v>
      </c>
      <c r="P298" s="57"/>
      <c r="Q298" s="57"/>
      <c r="R298" s="57"/>
      <c r="S298" s="41"/>
      <c r="T298" s="8"/>
    </row>
    <row r="299" spans="1:20" ht="15.75">
      <c r="A299" s="42"/>
      <c r="B299" s="35" t="s">
        <v>58</v>
      </c>
      <c r="C299" s="43">
        <f>'Price Changes'!F58</f>
        <v>0</v>
      </c>
      <c r="D299" s="44">
        <f t="shared" ref="D299:N299" si="214">C299</f>
        <v>0</v>
      </c>
      <c r="E299" s="43">
        <f t="shared" si="214"/>
        <v>0</v>
      </c>
      <c r="F299" s="44">
        <f t="shared" si="214"/>
        <v>0</v>
      </c>
      <c r="G299" s="43">
        <f t="shared" si="214"/>
        <v>0</v>
      </c>
      <c r="H299" s="44">
        <f t="shared" si="214"/>
        <v>0</v>
      </c>
      <c r="I299" s="43">
        <f t="shared" si="214"/>
        <v>0</v>
      </c>
      <c r="J299" s="44">
        <f t="shared" si="214"/>
        <v>0</v>
      </c>
      <c r="K299" s="43">
        <f t="shared" si="214"/>
        <v>0</v>
      </c>
      <c r="L299" s="44">
        <f t="shared" si="214"/>
        <v>0</v>
      </c>
      <c r="M299" s="43">
        <f t="shared" si="214"/>
        <v>0</v>
      </c>
      <c r="N299" s="44">
        <f t="shared" si="214"/>
        <v>0</v>
      </c>
      <c r="O299" s="45">
        <f>IF(O298=0,0,+O300/O298)</f>
        <v>0</v>
      </c>
      <c r="P299" s="46"/>
      <c r="Q299" s="47"/>
      <c r="R299" s="47"/>
      <c r="S299" s="41"/>
      <c r="T299" s="8"/>
    </row>
    <row r="300" spans="1:20">
      <c r="A300" s="42"/>
      <c r="B300" s="35" t="s">
        <v>15</v>
      </c>
      <c r="C300" s="48">
        <f t="shared" ref="C300:N300" si="215">C298*C299</f>
        <v>0</v>
      </c>
      <c r="D300" s="49">
        <f t="shared" si="215"/>
        <v>0</v>
      </c>
      <c r="E300" s="48">
        <f t="shared" si="215"/>
        <v>0</v>
      </c>
      <c r="F300" s="49">
        <f t="shared" si="215"/>
        <v>0</v>
      </c>
      <c r="G300" s="48">
        <f t="shared" si="215"/>
        <v>0</v>
      </c>
      <c r="H300" s="49">
        <f t="shared" si="215"/>
        <v>0</v>
      </c>
      <c r="I300" s="48">
        <f t="shared" si="215"/>
        <v>0</v>
      </c>
      <c r="J300" s="49">
        <f t="shared" si="215"/>
        <v>0</v>
      </c>
      <c r="K300" s="48">
        <f t="shared" si="215"/>
        <v>0</v>
      </c>
      <c r="L300" s="49">
        <f t="shared" si="215"/>
        <v>0</v>
      </c>
      <c r="M300" s="48">
        <f t="shared" si="215"/>
        <v>0</v>
      </c>
      <c r="N300" s="49">
        <f t="shared" si="215"/>
        <v>0</v>
      </c>
      <c r="O300" s="50">
        <f>SUM(C300:N300)</f>
        <v>0</v>
      </c>
      <c r="P300" s="40"/>
      <c r="Q300" s="40"/>
      <c r="R300" s="40"/>
      <c r="S300" s="41"/>
      <c r="T300" s="8"/>
    </row>
    <row r="301" spans="1:20" ht="16.5" thickBot="1">
      <c r="A301" s="51"/>
      <c r="B301" s="52" t="s">
        <v>59</v>
      </c>
      <c r="C301" s="53">
        <f t="shared" ref="C301:N301" si="216">C300/C$291</f>
        <v>0</v>
      </c>
      <c r="D301" s="54">
        <f t="shared" si="216"/>
        <v>0</v>
      </c>
      <c r="E301" s="53">
        <f t="shared" si="216"/>
        <v>0</v>
      </c>
      <c r="F301" s="54">
        <f t="shared" si="216"/>
        <v>0</v>
      </c>
      <c r="G301" s="53">
        <f t="shared" si="216"/>
        <v>0</v>
      </c>
      <c r="H301" s="54">
        <f t="shared" si="216"/>
        <v>0</v>
      </c>
      <c r="I301" s="53">
        <f t="shared" si="216"/>
        <v>0</v>
      </c>
      <c r="J301" s="54">
        <f t="shared" si="216"/>
        <v>0</v>
      </c>
      <c r="K301" s="53">
        <f t="shared" si="216"/>
        <v>0</v>
      </c>
      <c r="L301" s="54">
        <f t="shared" si="216"/>
        <v>0</v>
      </c>
      <c r="M301" s="53">
        <f t="shared" si="216"/>
        <v>0</v>
      </c>
      <c r="N301" s="54">
        <f t="shared" si="216"/>
        <v>0</v>
      </c>
      <c r="O301" s="55">
        <f>O300/O$7</f>
        <v>0</v>
      </c>
      <c r="P301" s="56"/>
      <c r="Q301" s="57"/>
      <c r="R301" s="57"/>
      <c r="S301" s="41"/>
      <c r="T301" s="8"/>
    </row>
    <row r="302" spans="1:20">
      <c r="A302" s="28" t="s">
        <v>61</v>
      </c>
      <c r="B302" s="29" t="s">
        <v>55</v>
      </c>
      <c r="C302" s="30">
        <f>'2012 Actual Costs'!C302</f>
        <v>52.882746953798325</v>
      </c>
      <c r="D302" s="31">
        <f>'2012 Actual Costs'!D302</f>
        <v>49.72062084257206</v>
      </c>
      <c r="E302" s="30">
        <f>'2012 Actual Costs'!E302</f>
        <v>54.218664410493361</v>
      </c>
      <c r="F302" s="31">
        <f>'2012 Actual Costs'!F302</f>
        <v>42.998646630576815</v>
      </c>
      <c r="G302" s="30">
        <f>'2011 Actual Costs'!G302</f>
        <v>48.615388029806198</v>
      </c>
      <c r="H302" s="31">
        <f>'2011 Actual Costs'!H302</f>
        <v>53.04464342684561</v>
      </c>
      <c r="I302" s="30">
        <f>'2011 Actual Costs'!I302</f>
        <v>54.592325206112498</v>
      </c>
      <c r="J302" s="31">
        <f>'2011 Actual Costs'!J302</f>
        <v>64.218166579073014</v>
      </c>
      <c r="K302" s="30">
        <f>'2011 Actual Costs'!K302</f>
        <v>65.233257149442068</v>
      </c>
      <c r="L302" s="31">
        <f>'2011 Actual Costs'!L302</f>
        <v>54.374766062052991</v>
      </c>
      <c r="M302" s="30">
        <f>'2011 Actual Costs'!M302</f>
        <v>56.575261255187321</v>
      </c>
      <c r="N302" s="31">
        <f>'2011 Actual Costs'!N302</f>
        <v>57.418166359642903</v>
      </c>
      <c r="O302" s="32">
        <f>O303/O$7</f>
        <v>36.447005739358701</v>
      </c>
    </row>
    <row r="303" spans="1:20">
      <c r="A303" s="34" t="s">
        <v>56</v>
      </c>
      <c r="B303" s="35" t="s">
        <v>57</v>
      </c>
      <c r="C303" s="36">
        <f t="shared" ref="C303:N303" si="217">C$291*C302</f>
        <v>11809.822275281153</v>
      </c>
      <c r="D303" s="37">
        <f t="shared" si="217"/>
        <v>10029.106340370909</v>
      </c>
      <c r="E303" s="36">
        <f t="shared" si="217"/>
        <v>12108.160554716556</v>
      </c>
      <c r="F303" s="37">
        <f t="shared" si="217"/>
        <v>9292.7382235752939</v>
      </c>
      <c r="G303" s="36">
        <f t="shared" si="217"/>
        <v>10856.831869521562</v>
      </c>
      <c r="H303" s="37">
        <f t="shared" si="217"/>
        <v>16376.92692196244</v>
      </c>
      <c r="I303" s="36">
        <f t="shared" si="217"/>
        <v>17416.581167546079</v>
      </c>
      <c r="J303" s="37">
        <f t="shared" si="217"/>
        <v>20487.511869712231</v>
      </c>
      <c r="K303" s="36">
        <f t="shared" si="217"/>
        <v>14098.015394974413</v>
      </c>
      <c r="L303" s="37">
        <f t="shared" si="217"/>
        <v>12143.021314945365</v>
      </c>
      <c r="M303" s="36">
        <f t="shared" si="217"/>
        <v>12226.875354746135</v>
      </c>
      <c r="N303" s="37">
        <f t="shared" si="217"/>
        <v>12822.676187232461</v>
      </c>
      <c r="O303" s="38">
        <f>SUM(C303:N303)</f>
        <v>159668.2674745846</v>
      </c>
      <c r="P303" s="57"/>
      <c r="Q303" s="47"/>
      <c r="R303" s="57"/>
      <c r="S303" s="41"/>
      <c r="T303" s="8"/>
    </row>
    <row r="304" spans="1:20" ht="15.75">
      <c r="A304" s="42"/>
      <c r="B304" s="35" t="s">
        <v>58</v>
      </c>
      <c r="C304" s="43">
        <f>'Price Changes'!F59</f>
        <v>0.21630000000000002</v>
      </c>
      <c r="D304" s="44">
        <f t="shared" ref="D304:N304" si="218">C304</f>
        <v>0.21630000000000002</v>
      </c>
      <c r="E304" s="43">
        <f t="shared" si="218"/>
        <v>0.21630000000000002</v>
      </c>
      <c r="F304" s="44">
        <f t="shared" si="218"/>
        <v>0.21630000000000002</v>
      </c>
      <c r="G304" s="43">
        <f t="shared" si="218"/>
        <v>0.21630000000000002</v>
      </c>
      <c r="H304" s="44">
        <f t="shared" si="218"/>
        <v>0.21630000000000002</v>
      </c>
      <c r="I304" s="43">
        <f t="shared" si="218"/>
        <v>0.21630000000000002</v>
      </c>
      <c r="J304" s="44">
        <f t="shared" si="218"/>
        <v>0.21630000000000002</v>
      </c>
      <c r="K304" s="43">
        <f t="shared" si="218"/>
        <v>0.21630000000000002</v>
      </c>
      <c r="L304" s="44">
        <f t="shared" si="218"/>
        <v>0.21630000000000002</v>
      </c>
      <c r="M304" s="43">
        <f t="shared" si="218"/>
        <v>0.21630000000000002</v>
      </c>
      <c r="N304" s="44">
        <f t="shared" si="218"/>
        <v>0.21630000000000002</v>
      </c>
      <c r="O304" s="45">
        <f>IF(O303=0,0,+O305/O303)</f>
        <v>0.21630000000000002</v>
      </c>
      <c r="P304" s="46"/>
      <c r="Q304" s="47"/>
      <c r="R304" s="47"/>
      <c r="S304" s="41"/>
      <c r="T304" s="8"/>
    </row>
    <row r="305" spans="1:20">
      <c r="A305" s="42"/>
      <c r="B305" s="35" t="s">
        <v>15</v>
      </c>
      <c r="C305" s="48">
        <f t="shared" ref="C305:N305" si="219">C303*C304</f>
        <v>2554.4645581433138</v>
      </c>
      <c r="D305" s="49">
        <f t="shared" si="219"/>
        <v>2169.2957014222279</v>
      </c>
      <c r="E305" s="48">
        <f t="shared" si="219"/>
        <v>2618.9951279851912</v>
      </c>
      <c r="F305" s="49">
        <f t="shared" si="219"/>
        <v>2010.0192777593363</v>
      </c>
      <c r="G305" s="48">
        <f t="shared" si="219"/>
        <v>2348.3327333775142</v>
      </c>
      <c r="H305" s="49">
        <f t="shared" si="219"/>
        <v>3542.3292932204763</v>
      </c>
      <c r="I305" s="48">
        <f t="shared" si="219"/>
        <v>3767.2065065402171</v>
      </c>
      <c r="J305" s="49">
        <f t="shared" si="219"/>
        <v>4431.4488174187563</v>
      </c>
      <c r="K305" s="48">
        <f t="shared" si="219"/>
        <v>3049.4007299329655</v>
      </c>
      <c r="L305" s="49">
        <f t="shared" si="219"/>
        <v>2626.5355104226828</v>
      </c>
      <c r="M305" s="48">
        <f t="shared" si="219"/>
        <v>2644.6731392315892</v>
      </c>
      <c r="N305" s="49">
        <f t="shared" si="219"/>
        <v>2773.5448592983817</v>
      </c>
      <c r="O305" s="50">
        <f>SUM(C305:N305)</f>
        <v>34536.246254752652</v>
      </c>
      <c r="P305" s="40"/>
      <c r="Q305" s="40"/>
      <c r="R305" s="40"/>
      <c r="S305" s="41"/>
    </row>
    <row r="306" spans="1:20" ht="16.5" thickBot="1">
      <c r="A306" s="51"/>
      <c r="B306" s="52" t="s">
        <v>59</v>
      </c>
      <c r="C306" s="53">
        <f t="shared" ref="C306:N306" si="220">C305/C$291</f>
        <v>11.438538166106579</v>
      </c>
      <c r="D306" s="54">
        <f t="shared" si="220"/>
        <v>10.754570288248338</v>
      </c>
      <c r="E306" s="53">
        <f t="shared" si="220"/>
        <v>11.727497111989715</v>
      </c>
      <c r="F306" s="54">
        <f t="shared" si="220"/>
        <v>9.3006072661937669</v>
      </c>
      <c r="G306" s="53">
        <f t="shared" si="220"/>
        <v>10.515508430847081</v>
      </c>
      <c r="H306" s="54">
        <f t="shared" si="220"/>
        <v>11.473556373226707</v>
      </c>
      <c r="I306" s="53">
        <f t="shared" si="220"/>
        <v>11.808319942082134</v>
      </c>
      <c r="J306" s="54">
        <f t="shared" si="220"/>
        <v>13.890389431053494</v>
      </c>
      <c r="K306" s="53">
        <f t="shared" si="220"/>
        <v>14.10995352142432</v>
      </c>
      <c r="L306" s="54">
        <f t="shared" si="220"/>
        <v>11.761261899222065</v>
      </c>
      <c r="M306" s="53">
        <f t="shared" si="220"/>
        <v>12.237229009497019</v>
      </c>
      <c r="N306" s="54">
        <f t="shared" si="220"/>
        <v>12.419549383590763</v>
      </c>
      <c r="O306" s="55">
        <f>O305/O$7</f>
        <v>7.8834873414232884</v>
      </c>
      <c r="P306" s="56"/>
      <c r="Q306" s="57"/>
      <c r="R306" s="57"/>
      <c r="S306" s="41"/>
    </row>
    <row r="307" spans="1:20">
      <c r="A307" s="28" t="s">
        <v>62</v>
      </c>
      <c r="B307" s="29" t="s">
        <v>55</v>
      </c>
      <c r="C307" s="30">
        <f>'2012 Actual Costs'!C307</f>
        <v>0</v>
      </c>
      <c r="D307" s="31">
        <f>'2012 Actual Costs'!D307</f>
        <v>0</v>
      </c>
      <c r="E307" s="30">
        <f>'2012 Actual Costs'!E307</f>
        <v>0</v>
      </c>
      <c r="F307" s="31">
        <f>'2012 Actual Costs'!F307</f>
        <v>0</v>
      </c>
      <c r="G307" s="30">
        <f>'2011 Actual Costs'!G307</f>
        <v>0</v>
      </c>
      <c r="H307" s="31">
        <f>'2011 Actual Costs'!H307</f>
        <v>0</v>
      </c>
      <c r="I307" s="30">
        <f>'2011 Actual Costs'!I307</f>
        <v>0</v>
      </c>
      <c r="J307" s="31">
        <f>'2011 Actual Costs'!J307</f>
        <v>0</v>
      </c>
      <c r="K307" s="30">
        <f>'2011 Actual Costs'!K307</f>
        <v>0</v>
      </c>
      <c r="L307" s="31">
        <f>'2011 Actual Costs'!L307</f>
        <v>0</v>
      </c>
      <c r="M307" s="30">
        <f>'2011 Actual Costs'!M307</f>
        <v>0</v>
      </c>
      <c r="N307" s="31">
        <f>'2011 Actual Costs'!N307</f>
        <v>0</v>
      </c>
      <c r="O307" s="32">
        <f>O308/O$7</f>
        <v>0</v>
      </c>
    </row>
    <row r="308" spans="1:20">
      <c r="A308" s="34" t="s">
        <v>56</v>
      </c>
      <c r="B308" s="35" t="s">
        <v>57</v>
      </c>
      <c r="C308" s="65">
        <f t="shared" ref="C308:N308" si="221">C$291*C307</f>
        <v>0</v>
      </c>
      <c r="D308" s="66">
        <f t="shared" si="221"/>
        <v>0</v>
      </c>
      <c r="E308" s="65">
        <f t="shared" si="221"/>
        <v>0</v>
      </c>
      <c r="F308" s="66">
        <f t="shared" si="221"/>
        <v>0</v>
      </c>
      <c r="G308" s="65">
        <f t="shared" si="221"/>
        <v>0</v>
      </c>
      <c r="H308" s="66">
        <f t="shared" si="221"/>
        <v>0</v>
      </c>
      <c r="I308" s="65">
        <f t="shared" si="221"/>
        <v>0</v>
      </c>
      <c r="J308" s="66">
        <f t="shared" si="221"/>
        <v>0</v>
      </c>
      <c r="K308" s="65">
        <f t="shared" si="221"/>
        <v>0</v>
      </c>
      <c r="L308" s="66">
        <f t="shared" si="221"/>
        <v>0</v>
      </c>
      <c r="M308" s="65">
        <f t="shared" si="221"/>
        <v>0</v>
      </c>
      <c r="N308" s="66">
        <f t="shared" si="221"/>
        <v>0</v>
      </c>
      <c r="O308" s="67">
        <f>SUM(C308:N308)</f>
        <v>0</v>
      </c>
      <c r="P308" s="60"/>
      <c r="Q308" s="57"/>
      <c r="R308" s="57"/>
      <c r="S308" s="41"/>
      <c r="T308" s="8"/>
    </row>
    <row r="309" spans="1:20" ht="15.75">
      <c r="A309" s="42"/>
      <c r="B309" s="35" t="s">
        <v>58</v>
      </c>
      <c r="C309" s="43">
        <f>'Price Changes'!F60</f>
        <v>0</v>
      </c>
      <c r="D309" s="44">
        <f t="shared" ref="D309:N309" si="222">C309</f>
        <v>0</v>
      </c>
      <c r="E309" s="43">
        <f t="shared" si="222"/>
        <v>0</v>
      </c>
      <c r="F309" s="44">
        <f t="shared" si="222"/>
        <v>0</v>
      </c>
      <c r="G309" s="43">
        <f t="shared" si="222"/>
        <v>0</v>
      </c>
      <c r="H309" s="44">
        <f t="shared" si="222"/>
        <v>0</v>
      </c>
      <c r="I309" s="43">
        <f t="shared" si="222"/>
        <v>0</v>
      </c>
      <c r="J309" s="44">
        <f t="shared" si="222"/>
        <v>0</v>
      </c>
      <c r="K309" s="43">
        <f t="shared" si="222"/>
        <v>0</v>
      </c>
      <c r="L309" s="44">
        <f t="shared" si="222"/>
        <v>0</v>
      </c>
      <c r="M309" s="43">
        <f t="shared" si="222"/>
        <v>0</v>
      </c>
      <c r="N309" s="44">
        <f t="shared" si="222"/>
        <v>0</v>
      </c>
      <c r="O309" s="45">
        <f>IF(O308=0,0,+O310/O308)</f>
        <v>0</v>
      </c>
      <c r="P309" s="46"/>
      <c r="Q309" s="47"/>
      <c r="R309" s="47"/>
      <c r="S309" s="41"/>
      <c r="T309" s="8"/>
    </row>
    <row r="310" spans="1:20">
      <c r="A310" s="42"/>
      <c r="B310" s="35" t="s">
        <v>15</v>
      </c>
      <c r="C310" s="48">
        <f t="shared" ref="C310:N310" si="223">C308*C309</f>
        <v>0</v>
      </c>
      <c r="D310" s="49">
        <f t="shared" si="223"/>
        <v>0</v>
      </c>
      <c r="E310" s="48">
        <f t="shared" si="223"/>
        <v>0</v>
      </c>
      <c r="F310" s="49">
        <f t="shared" si="223"/>
        <v>0</v>
      </c>
      <c r="G310" s="48">
        <f t="shared" si="223"/>
        <v>0</v>
      </c>
      <c r="H310" s="49">
        <f t="shared" si="223"/>
        <v>0</v>
      </c>
      <c r="I310" s="48">
        <f t="shared" si="223"/>
        <v>0</v>
      </c>
      <c r="J310" s="49">
        <f t="shared" si="223"/>
        <v>0</v>
      </c>
      <c r="K310" s="48">
        <f t="shared" si="223"/>
        <v>0</v>
      </c>
      <c r="L310" s="49">
        <f t="shared" si="223"/>
        <v>0</v>
      </c>
      <c r="M310" s="48">
        <f t="shared" si="223"/>
        <v>0</v>
      </c>
      <c r="N310" s="49">
        <f t="shared" si="223"/>
        <v>0</v>
      </c>
      <c r="O310" s="50">
        <f>SUM(C310:N310)</f>
        <v>0</v>
      </c>
      <c r="P310" s="40"/>
      <c r="Q310" s="40"/>
      <c r="R310" s="40"/>
      <c r="S310" s="41"/>
      <c r="T310" s="8"/>
    </row>
    <row r="311" spans="1:20" ht="16.5" thickBot="1">
      <c r="A311" s="51"/>
      <c r="B311" s="52" t="s">
        <v>59</v>
      </c>
      <c r="C311" s="53">
        <f t="shared" ref="C311:N311" si="224">C310/C$291</f>
        <v>0</v>
      </c>
      <c r="D311" s="54">
        <f t="shared" si="224"/>
        <v>0</v>
      </c>
      <c r="E311" s="53">
        <f t="shared" si="224"/>
        <v>0</v>
      </c>
      <c r="F311" s="54">
        <f t="shared" si="224"/>
        <v>0</v>
      </c>
      <c r="G311" s="53">
        <f t="shared" si="224"/>
        <v>0</v>
      </c>
      <c r="H311" s="54">
        <f t="shared" si="224"/>
        <v>0</v>
      </c>
      <c r="I311" s="53">
        <f t="shared" si="224"/>
        <v>0</v>
      </c>
      <c r="J311" s="54">
        <f t="shared" si="224"/>
        <v>0</v>
      </c>
      <c r="K311" s="53">
        <f t="shared" si="224"/>
        <v>0</v>
      </c>
      <c r="L311" s="54">
        <f t="shared" si="224"/>
        <v>0</v>
      </c>
      <c r="M311" s="53">
        <f t="shared" si="224"/>
        <v>0</v>
      </c>
      <c r="N311" s="54">
        <f t="shared" si="224"/>
        <v>0</v>
      </c>
      <c r="O311" s="55">
        <f>O310/O$7</f>
        <v>0</v>
      </c>
      <c r="P311" s="56"/>
      <c r="Q311" s="57"/>
      <c r="R311" s="57"/>
      <c r="S311" s="41"/>
    </row>
    <row r="312" spans="1:20">
      <c r="A312" s="181" t="s">
        <v>63</v>
      </c>
      <c r="B312" s="29" t="s">
        <v>55</v>
      </c>
      <c r="C312" s="30">
        <f>'2012 Actual Costs'!C312</f>
        <v>27.775872711062345</v>
      </c>
      <c r="D312" s="31">
        <f>'2012 Actual Costs'!D312</f>
        <v>16.975609756097562</v>
      </c>
      <c r="E312" s="30">
        <f>'2012 Actual Costs'!E312</f>
        <v>18.087350786135378</v>
      </c>
      <c r="F312" s="31">
        <f>'2012 Actual Costs'!F312</f>
        <v>20.358876236699643</v>
      </c>
      <c r="G312" s="30">
        <f>'2011 Actual Costs'!G312</f>
        <v>19.991011535196499</v>
      </c>
      <c r="H312" s="31">
        <f>'2011 Actual Costs'!H312</f>
        <v>22.621604951400556</v>
      </c>
      <c r="I312" s="30">
        <f>'2011 Actual Costs'!I312</f>
        <v>18.786092945996327</v>
      </c>
      <c r="J312" s="31">
        <f>'2011 Actual Costs'!J312</f>
        <v>22.052989004420901</v>
      </c>
      <c r="K312" s="30">
        <f>'2011 Actual Costs'!K312</f>
        <v>23.16246374863157</v>
      </c>
      <c r="L312" s="31">
        <f>'2011 Actual Costs'!L312</f>
        <v>22.655309506226544</v>
      </c>
      <c r="M312" s="30">
        <f>'2011 Actual Costs'!M312</f>
        <v>22.899787276087739</v>
      </c>
      <c r="N312" s="31">
        <f>'2011 Actual Costs'!N312</f>
        <v>23.057956638798355</v>
      </c>
      <c r="O312" s="32">
        <f>O313/O$7</f>
        <v>14.314004684213236</v>
      </c>
    </row>
    <row r="313" spans="1:20">
      <c r="A313" s="34" t="s">
        <v>64</v>
      </c>
      <c r="B313" s="35" t="s">
        <v>57</v>
      </c>
      <c r="C313" s="36">
        <f t="shared" ref="C313:N313" si="225">C$291*C312</f>
        <v>6202.9326983536594</v>
      </c>
      <c r="D313" s="37">
        <f t="shared" si="225"/>
        <v>3424.136556452002</v>
      </c>
      <c r="E313" s="36">
        <f t="shared" si="225"/>
        <v>4039.2833299969707</v>
      </c>
      <c r="F313" s="37">
        <f t="shared" si="225"/>
        <v>4399.8991182034688</v>
      </c>
      <c r="G313" s="36">
        <f t="shared" si="225"/>
        <v>4464.4105484919182</v>
      </c>
      <c r="H313" s="37">
        <f t="shared" si="225"/>
        <v>6984.1617779467724</v>
      </c>
      <c r="I313" s="36">
        <f t="shared" si="225"/>
        <v>5993.3243616151321</v>
      </c>
      <c r="J313" s="37">
        <f t="shared" si="225"/>
        <v>7035.5617118776427</v>
      </c>
      <c r="K313" s="36">
        <f t="shared" si="225"/>
        <v>5005.8020215925626</v>
      </c>
      <c r="L313" s="37">
        <f t="shared" si="225"/>
        <v>5059.403950664213</v>
      </c>
      <c r="M313" s="36">
        <f t="shared" si="225"/>
        <v>4949.0331721491439</v>
      </c>
      <c r="N313" s="37">
        <f t="shared" si="225"/>
        <v>5149.323467883677</v>
      </c>
      <c r="O313" s="38">
        <f>SUM(C313:N313)</f>
        <v>62707.272715227162</v>
      </c>
    </row>
    <row r="314" spans="1:20">
      <c r="A314" s="34"/>
      <c r="B314" s="35" t="s">
        <v>58</v>
      </c>
      <c r="C314" s="43">
        <f>'Price Changes'!F61</f>
        <v>0.345744</v>
      </c>
      <c r="D314" s="44">
        <f t="shared" ref="D314:N314" si="226">C314</f>
        <v>0.345744</v>
      </c>
      <c r="E314" s="43">
        <f t="shared" si="226"/>
        <v>0.345744</v>
      </c>
      <c r="F314" s="44">
        <f t="shared" si="226"/>
        <v>0.345744</v>
      </c>
      <c r="G314" s="43">
        <f t="shared" si="226"/>
        <v>0.345744</v>
      </c>
      <c r="H314" s="44">
        <f t="shared" si="226"/>
        <v>0.345744</v>
      </c>
      <c r="I314" s="43">
        <f t="shared" si="226"/>
        <v>0.345744</v>
      </c>
      <c r="J314" s="44">
        <f t="shared" si="226"/>
        <v>0.345744</v>
      </c>
      <c r="K314" s="43">
        <f t="shared" si="226"/>
        <v>0.345744</v>
      </c>
      <c r="L314" s="44">
        <f t="shared" si="226"/>
        <v>0.345744</v>
      </c>
      <c r="M314" s="43">
        <f t="shared" si="226"/>
        <v>0.345744</v>
      </c>
      <c r="N314" s="44">
        <f t="shared" si="226"/>
        <v>0.345744</v>
      </c>
      <c r="O314" s="45">
        <f>IF(O313=0,0,+O315/O313)</f>
        <v>0.34574399999999994</v>
      </c>
    </row>
    <row r="315" spans="1:20">
      <c r="A315" s="42"/>
      <c r="B315" s="35" t="s">
        <v>15</v>
      </c>
      <c r="C315" s="48">
        <f t="shared" ref="C315:N315" si="227">C313*C314</f>
        <v>2144.6267628595874</v>
      </c>
      <c r="D315" s="49">
        <f t="shared" si="227"/>
        <v>1183.874669573941</v>
      </c>
      <c r="E315" s="48">
        <f t="shared" si="227"/>
        <v>1396.5579756464726</v>
      </c>
      <c r="F315" s="49">
        <f t="shared" si="227"/>
        <v>1521.2387207241402</v>
      </c>
      <c r="G315" s="48">
        <f t="shared" si="227"/>
        <v>1543.5431606777897</v>
      </c>
      <c r="H315" s="49">
        <f t="shared" si="227"/>
        <v>2414.7320297544288</v>
      </c>
      <c r="I315" s="48">
        <f t="shared" si="227"/>
        <v>2072.1559380822623</v>
      </c>
      <c r="J315" s="49">
        <f t="shared" si="227"/>
        <v>2432.5032485114239</v>
      </c>
      <c r="K315" s="48">
        <f t="shared" si="227"/>
        <v>1730.7260141534989</v>
      </c>
      <c r="L315" s="49">
        <f t="shared" si="227"/>
        <v>1749.2585595184476</v>
      </c>
      <c r="M315" s="48">
        <f t="shared" si="227"/>
        <v>1711.0985250715337</v>
      </c>
      <c r="N315" s="49">
        <f t="shared" si="227"/>
        <v>1780.3476930799741</v>
      </c>
      <c r="O315" s="50">
        <f>SUM(C315:N315)</f>
        <v>21680.663297653497</v>
      </c>
    </row>
    <row r="316" spans="1:20" ht="13.5" thickBot="1">
      <c r="A316" s="51"/>
      <c r="B316" s="52" t="s">
        <v>59</v>
      </c>
      <c r="C316" s="53">
        <f t="shared" ref="C316:N316" si="228">C315/C$291</f>
        <v>9.603341334613539</v>
      </c>
      <c r="D316" s="54">
        <f t="shared" si="228"/>
        <v>5.8692152195121956</v>
      </c>
      <c r="E316" s="53">
        <f t="shared" si="228"/>
        <v>6.2535930102015902</v>
      </c>
      <c r="F316" s="54">
        <f t="shared" si="228"/>
        <v>7.0389593055814812</v>
      </c>
      <c r="G316" s="53">
        <f t="shared" si="228"/>
        <v>6.9117722922249785</v>
      </c>
      <c r="H316" s="54">
        <f t="shared" si="228"/>
        <v>7.8212841823170338</v>
      </c>
      <c r="I316" s="53">
        <f t="shared" si="228"/>
        <v>6.495178919520554</v>
      </c>
      <c r="J316" s="54">
        <f t="shared" si="228"/>
        <v>7.6246886303445001</v>
      </c>
      <c r="K316" s="53">
        <f t="shared" si="228"/>
        <v>8.0082828663068728</v>
      </c>
      <c r="L316" s="54">
        <f t="shared" si="228"/>
        <v>7.8329373299207905</v>
      </c>
      <c r="M316" s="53">
        <f t="shared" si="228"/>
        <v>7.9174640519836794</v>
      </c>
      <c r="N316" s="54">
        <f t="shared" si="228"/>
        <v>7.9721501601246985</v>
      </c>
      <c r="O316" s="55">
        <f>O315/O$7</f>
        <v>4.9489812355386205</v>
      </c>
    </row>
    <row r="317" spans="1:20">
      <c r="A317" s="28" t="s">
        <v>65</v>
      </c>
      <c r="B317" s="29" t="s">
        <v>55</v>
      </c>
      <c r="C317" s="30">
        <f>'2012 Actual Costs'!C317</f>
        <v>0</v>
      </c>
      <c r="D317" s="31">
        <f>'2012 Actual Costs'!D317</f>
        <v>0</v>
      </c>
      <c r="E317" s="30">
        <f>'2012 Actual Costs'!E317</f>
        <v>0</v>
      </c>
      <c r="F317" s="31">
        <f>'2012 Actual Costs'!F317</f>
        <v>0</v>
      </c>
      <c r="G317" s="30">
        <f>'2011 Actual Costs'!G317</f>
        <v>0</v>
      </c>
      <c r="H317" s="31">
        <f>'2011 Actual Costs'!H317</f>
        <v>0</v>
      </c>
      <c r="I317" s="30">
        <f>'2011 Actual Costs'!I317</f>
        <v>0</v>
      </c>
      <c r="J317" s="31">
        <f>'2011 Actual Costs'!J317</f>
        <v>0</v>
      </c>
      <c r="K317" s="30">
        <f>'2011 Actual Costs'!K317</f>
        <v>0</v>
      </c>
      <c r="L317" s="31">
        <f>'2011 Actual Costs'!L317</f>
        <v>0</v>
      </c>
      <c r="M317" s="30">
        <f>'2011 Actual Costs'!M317</f>
        <v>0</v>
      </c>
      <c r="N317" s="31">
        <f>'2011 Actual Costs'!N317</f>
        <v>0</v>
      </c>
      <c r="O317" s="32">
        <f>O318/O$7</f>
        <v>0</v>
      </c>
    </row>
    <row r="318" spans="1:20">
      <c r="A318" s="34" t="s">
        <v>56</v>
      </c>
      <c r="B318" s="35" t="s">
        <v>57</v>
      </c>
      <c r="C318" s="36">
        <f t="shared" ref="C318:N318" si="229">C$291*C317</f>
        <v>0</v>
      </c>
      <c r="D318" s="37">
        <f t="shared" si="229"/>
        <v>0</v>
      </c>
      <c r="E318" s="36">
        <f t="shared" si="229"/>
        <v>0</v>
      </c>
      <c r="F318" s="37">
        <f t="shared" si="229"/>
        <v>0</v>
      </c>
      <c r="G318" s="36">
        <f t="shared" si="229"/>
        <v>0</v>
      </c>
      <c r="H318" s="37">
        <f t="shared" si="229"/>
        <v>0</v>
      </c>
      <c r="I318" s="36">
        <f t="shared" si="229"/>
        <v>0</v>
      </c>
      <c r="J318" s="37">
        <f t="shared" si="229"/>
        <v>0</v>
      </c>
      <c r="K318" s="36">
        <f t="shared" si="229"/>
        <v>0</v>
      </c>
      <c r="L318" s="37">
        <f t="shared" si="229"/>
        <v>0</v>
      </c>
      <c r="M318" s="36">
        <f t="shared" si="229"/>
        <v>0</v>
      </c>
      <c r="N318" s="37">
        <f t="shared" si="229"/>
        <v>0</v>
      </c>
      <c r="O318" s="38">
        <f>SUM(C318:N318)</f>
        <v>0</v>
      </c>
      <c r="P318" s="57"/>
      <c r="Q318" s="57"/>
      <c r="R318" s="57"/>
      <c r="S318" s="41"/>
      <c r="T318" s="8"/>
    </row>
    <row r="319" spans="1:20" ht="15.75">
      <c r="A319" s="42"/>
      <c r="B319" s="35" t="s">
        <v>58</v>
      </c>
      <c r="C319" s="43">
        <f>'Price Changes'!F62</f>
        <v>0</v>
      </c>
      <c r="D319" s="44">
        <f t="shared" ref="D319:N319" si="230">C319</f>
        <v>0</v>
      </c>
      <c r="E319" s="43">
        <f t="shared" si="230"/>
        <v>0</v>
      </c>
      <c r="F319" s="44">
        <f t="shared" si="230"/>
        <v>0</v>
      </c>
      <c r="G319" s="43">
        <f t="shared" si="230"/>
        <v>0</v>
      </c>
      <c r="H319" s="44">
        <f t="shared" si="230"/>
        <v>0</v>
      </c>
      <c r="I319" s="43">
        <f t="shared" si="230"/>
        <v>0</v>
      </c>
      <c r="J319" s="44">
        <f t="shared" si="230"/>
        <v>0</v>
      </c>
      <c r="K319" s="43">
        <f t="shared" si="230"/>
        <v>0</v>
      </c>
      <c r="L319" s="44">
        <f t="shared" si="230"/>
        <v>0</v>
      </c>
      <c r="M319" s="43">
        <f t="shared" si="230"/>
        <v>0</v>
      </c>
      <c r="N319" s="44">
        <f t="shared" si="230"/>
        <v>0</v>
      </c>
      <c r="O319" s="45">
        <f>IF(O318=0,0,+O320/O318)</f>
        <v>0</v>
      </c>
      <c r="P319" s="46"/>
      <c r="Q319" s="47"/>
      <c r="R319" s="47"/>
      <c r="S319" s="41"/>
      <c r="T319" s="8"/>
    </row>
    <row r="320" spans="1:20">
      <c r="A320" s="42"/>
      <c r="B320" s="35" t="s">
        <v>15</v>
      </c>
      <c r="C320" s="48">
        <f t="shared" ref="C320:N320" si="231">C318*C319</f>
        <v>0</v>
      </c>
      <c r="D320" s="49">
        <f t="shared" si="231"/>
        <v>0</v>
      </c>
      <c r="E320" s="48">
        <f t="shared" si="231"/>
        <v>0</v>
      </c>
      <c r="F320" s="49">
        <f t="shared" si="231"/>
        <v>0</v>
      </c>
      <c r="G320" s="48">
        <f t="shared" si="231"/>
        <v>0</v>
      </c>
      <c r="H320" s="49">
        <f t="shared" si="231"/>
        <v>0</v>
      </c>
      <c r="I320" s="48">
        <f t="shared" si="231"/>
        <v>0</v>
      </c>
      <c r="J320" s="49">
        <f t="shared" si="231"/>
        <v>0</v>
      </c>
      <c r="K320" s="48">
        <f t="shared" si="231"/>
        <v>0</v>
      </c>
      <c r="L320" s="49">
        <f t="shared" si="231"/>
        <v>0</v>
      </c>
      <c r="M320" s="48">
        <f t="shared" si="231"/>
        <v>0</v>
      </c>
      <c r="N320" s="49">
        <f t="shared" si="231"/>
        <v>0</v>
      </c>
      <c r="O320" s="50">
        <f>SUM(C320:N320)</f>
        <v>0</v>
      </c>
      <c r="P320" s="40"/>
      <c r="Q320" s="40"/>
      <c r="R320" s="40"/>
      <c r="S320" s="41"/>
    </row>
    <row r="321" spans="1:20" ht="16.5" thickBot="1">
      <c r="A321" s="51"/>
      <c r="B321" s="52" t="s">
        <v>59</v>
      </c>
      <c r="C321" s="53">
        <f t="shared" ref="C321:N321" si="232">C320/C$291</f>
        <v>0</v>
      </c>
      <c r="D321" s="54">
        <f t="shared" si="232"/>
        <v>0</v>
      </c>
      <c r="E321" s="53">
        <f t="shared" si="232"/>
        <v>0</v>
      </c>
      <c r="F321" s="54">
        <f t="shared" si="232"/>
        <v>0</v>
      </c>
      <c r="G321" s="53">
        <f t="shared" si="232"/>
        <v>0</v>
      </c>
      <c r="H321" s="54">
        <f t="shared" si="232"/>
        <v>0</v>
      </c>
      <c r="I321" s="53">
        <f t="shared" si="232"/>
        <v>0</v>
      </c>
      <c r="J321" s="54">
        <f t="shared" si="232"/>
        <v>0</v>
      </c>
      <c r="K321" s="53">
        <f t="shared" si="232"/>
        <v>0</v>
      </c>
      <c r="L321" s="54">
        <f t="shared" si="232"/>
        <v>0</v>
      </c>
      <c r="M321" s="53">
        <f t="shared" si="232"/>
        <v>0</v>
      </c>
      <c r="N321" s="54">
        <f t="shared" si="232"/>
        <v>0</v>
      </c>
      <c r="O321" s="55">
        <f>O320/O$7</f>
        <v>0</v>
      </c>
      <c r="P321" s="56"/>
      <c r="Q321" s="57"/>
      <c r="R321" s="57"/>
      <c r="S321" s="41"/>
    </row>
    <row r="322" spans="1:20">
      <c r="A322" s="28" t="s">
        <v>66</v>
      </c>
      <c r="B322" s="29" t="s">
        <v>55</v>
      </c>
      <c r="C322" s="30">
        <f>'2012 Actual Costs'!C322</f>
        <v>38.800493793292645</v>
      </c>
      <c r="D322" s="31">
        <f>'2012 Actual Costs'!D322</f>
        <v>37.794530672579455</v>
      </c>
      <c r="E322" s="30">
        <f>'2012 Actual Costs'!E322</f>
        <v>34.911027589311374</v>
      </c>
      <c r="F322" s="31">
        <f>'2012 Actual Costs'!F322</f>
        <v>34.365083068881837</v>
      </c>
      <c r="G322" s="30">
        <f>'2011 Actual Costs'!G322</f>
        <v>32.968801149635745</v>
      </c>
      <c r="H322" s="31">
        <f>'2011 Actual Costs'!H322</f>
        <v>34.795924878235532</v>
      </c>
      <c r="I322" s="30">
        <f>'2011 Actual Costs'!I322</f>
        <v>33.343369723706068</v>
      </c>
      <c r="J322" s="31">
        <f>'2011 Actual Costs'!J322</f>
        <v>38.252661301126352</v>
      </c>
      <c r="K322" s="30">
        <f>'2011 Actual Costs'!K322</f>
        <v>35.050991991088402</v>
      </c>
      <c r="L322" s="31">
        <f>'2011 Actual Costs'!L322</f>
        <v>35.877229365408546</v>
      </c>
      <c r="M322" s="30">
        <f>'2011 Actual Costs'!M322</f>
        <v>33.61154056284655</v>
      </c>
      <c r="N322" s="31">
        <f>'2011 Actual Costs'!N322</f>
        <v>37.245288366161255</v>
      </c>
      <c r="O322" s="32">
        <f>O323/O$7</f>
        <v>23.654714536643734</v>
      </c>
    </row>
    <row r="323" spans="1:20">
      <c r="A323" s="34" t="s">
        <v>64</v>
      </c>
      <c r="B323" s="35" t="s">
        <v>57</v>
      </c>
      <c r="C323" s="36">
        <f t="shared" ref="C323:N323" si="233">C$291*C322</f>
        <v>8664.9609236878587</v>
      </c>
      <c r="D323" s="37">
        <f t="shared" si="233"/>
        <v>7623.50430819965</v>
      </c>
      <c r="E323" s="36">
        <f t="shared" si="233"/>
        <v>7796.3618576283361</v>
      </c>
      <c r="F323" s="37">
        <f t="shared" si="233"/>
        <v>7426.8784255978908</v>
      </c>
      <c r="G323" s="36">
        <f t="shared" si="233"/>
        <v>7362.6221146652724</v>
      </c>
      <c r="H323" s="37">
        <f t="shared" si="233"/>
        <v>10742.843802859083</v>
      </c>
      <c r="I323" s="36">
        <f t="shared" si="233"/>
        <v>10637.530147321942</v>
      </c>
      <c r="J323" s="37">
        <f t="shared" si="233"/>
        <v>12203.740689013932</v>
      </c>
      <c r="K323" s="36">
        <f t="shared" si="233"/>
        <v>7575.1149995078167</v>
      </c>
      <c r="L323" s="37">
        <f t="shared" si="233"/>
        <v>8012.1349011076718</v>
      </c>
      <c r="M323" s="36">
        <f t="shared" si="233"/>
        <v>7264.0250849082495</v>
      </c>
      <c r="N323" s="37">
        <f t="shared" si="233"/>
        <v>8317.6510588652018</v>
      </c>
      <c r="O323" s="38">
        <f>SUM(C323:N323)</f>
        <v>103627.36831336291</v>
      </c>
      <c r="P323" s="57"/>
      <c r="Q323" s="57"/>
      <c r="R323" s="57"/>
      <c r="S323" s="41"/>
      <c r="T323" s="8"/>
    </row>
    <row r="324" spans="1:20" ht="15.75">
      <c r="A324" s="42"/>
      <c r="B324" s="35" t="s">
        <v>58</v>
      </c>
      <c r="C324" s="43">
        <f>'Price Changes'!F63</f>
        <v>0.2185</v>
      </c>
      <c r="D324" s="44">
        <f t="shared" ref="D324:N324" si="234">C324</f>
        <v>0.2185</v>
      </c>
      <c r="E324" s="43">
        <f t="shared" si="234"/>
        <v>0.2185</v>
      </c>
      <c r="F324" s="44">
        <f t="shared" si="234"/>
        <v>0.2185</v>
      </c>
      <c r="G324" s="43">
        <f t="shared" si="234"/>
        <v>0.2185</v>
      </c>
      <c r="H324" s="44">
        <f t="shared" si="234"/>
        <v>0.2185</v>
      </c>
      <c r="I324" s="43">
        <f t="shared" si="234"/>
        <v>0.2185</v>
      </c>
      <c r="J324" s="44">
        <f t="shared" si="234"/>
        <v>0.2185</v>
      </c>
      <c r="K324" s="43">
        <f t="shared" si="234"/>
        <v>0.2185</v>
      </c>
      <c r="L324" s="44">
        <f t="shared" si="234"/>
        <v>0.2185</v>
      </c>
      <c r="M324" s="43">
        <f t="shared" si="234"/>
        <v>0.2185</v>
      </c>
      <c r="N324" s="44">
        <f t="shared" si="234"/>
        <v>0.2185</v>
      </c>
      <c r="O324" s="45">
        <f>IF(O323=0,0,+O325/O323)</f>
        <v>0.2185</v>
      </c>
      <c r="P324" s="46"/>
      <c r="Q324" s="47"/>
      <c r="R324" s="47"/>
      <c r="S324" s="41"/>
      <c r="T324" s="8"/>
    </row>
    <row r="325" spans="1:20">
      <c r="A325" s="42"/>
      <c r="B325" s="35" t="s">
        <v>15</v>
      </c>
      <c r="C325" s="48">
        <f t="shared" ref="C325:N325" si="235">C323*C324</f>
        <v>1893.2939618257972</v>
      </c>
      <c r="D325" s="49">
        <f t="shared" si="235"/>
        <v>1665.7356913416236</v>
      </c>
      <c r="E325" s="48">
        <f t="shared" si="235"/>
        <v>1703.5050658917914</v>
      </c>
      <c r="F325" s="49">
        <f t="shared" si="235"/>
        <v>1622.7729359931391</v>
      </c>
      <c r="G325" s="48">
        <f t="shared" si="235"/>
        <v>1608.732932054362</v>
      </c>
      <c r="H325" s="49">
        <f t="shared" si="235"/>
        <v>2347.3113709247095</v>
      </c>
      <c r="I325" s="48">
        <f t="shared" si="235"/>
        <v>2324.3003371898444</v>
      </c>
      <c r="J325" s="49">
        <f t="shared" si="235"/>
        <v>2666.5173405495443</v>
      </c>
      <c r="K325" s="48">
        <f t="shared" si="235"/>
        <v>1655.162627392458</v>
      </c>
      <c r="L325" s="49">
        <f t="shared" si="235"/>
        <v>1750.6514758920264</v>
      </c>
      <c r="M325" s="48">
        <f t="shared" si="235"/>
        <v>1587.1894810524525</v>
      </c>
      <c r="N325" s="49">
        <f t="shared" si="235"/>
        <v>1817.4067563620465</v>
      </c>
      <c r="O325" s="50">
        <f>SUM(C325:N325)</f>
        <v>22642.579976469795</v>
      </c>
      <c r="P325" s="40"/>
      <c r="Q325" s="40"/>
      <c r="R325" s="40"/>
      <c r="S325" s="41"/>
    </row>
    <row r="326" spans="1:20" ht="16.5" thickBot="1">
      <c r="A326" s="51"/>
      <c r="B326" s="52" t="s">
        <v>59</v>
      </c>
      <c r="C326" s="53">
        <f t="shared" ref="C326:N326" si="236">C325/C$291</f>
        <v>8.477907893834443</v>
      </c>
      <c r="D326" s="54">
        <f t="shared" si="236"/>
        <v>8.2581049519586109</v>
      </c>
      <c r="E326" s="53">
        <f t="shared" si="236"/>
        <v>7.6280595282645347</v>
      </c>
      <c r="F326" s="54">
        <f t="shared" si="236"/>
        <v>7.508770650550681</v>
      </c>
      <c r="G326" s="53">
        <f t="shared" si="236"/>
        <v>7.2036830511954104</v>
      </c>
      <c r="H326" s="54">
        <f t="shared" si="236"/>
        <v>7.602909585894464</v>
      </c>
      <c r="I326" s="53">
        <f t="shared" si="236"/>
        <v>7.2855262846297766</v>
      </c>
      <c r="J326" s="54">
        <f t="shared" si="236"/>
        <v>8.358206494296109</v>
      </c>
      <c r="K326" s="53">
        <f t="shared" si="236"/>
        <v>7.6586417500528166</v>
      </c>
      <c r="L326" s="54">
        <f t="shared" si="236"/>
        <v>7.8391746163417677</v>
      </c>
      <c r="M326" s="53">
        <f t="shared" si="236"/>
        <v>7.3441216129819713</v>
      </c>
      <c r="N326" s="54">
        <f t="shared" si="236"/>
        <v>8.1380955080062343</v>
      </c>
      <c r="O326" s="55">
        <f>O325/O$7</f>
        <v>5.1685551262566554</v>
      </c>
      <c r="P326" s="56"/>
      <c r="Q326" s="57"/>
      <c r="R326" s="57"/>
      <c r="S326" s="41"/>
    </row>
    <row r="327" spans="1:20">
      <c r="A327" s="69" t="s">
        <v>67</v>
      </c>
      <c r="B327" s="29" t="s">
        <v>55</v>
      </c>
      <c r="C327" s="30">
        <f>'2012 Actual Costs'!C327</f>
        <v>422.36472121253689</v>
      </c>
      <c r="D327" s="31">
        <f>'2012 Actual Costs'!D327</f>
        <v>215.14264597191428</v>
      </c>
      <c r="E327" s="30">
        <f>'2012 Actual Costs'!E327</f>
        <v>412.13669372989909</v>
      </c>
      <c r="F327" s="31">
        <f>'2012 Actual Costs'!F327</f>
        <v>490.19973865969757</v>
      </c>
      <c r="G327" s="30">
        <f>'2011 Actual Costs'!G327</f>
        <v>465.76338143826536</v>
      </c>
      <c r="H327" s="31">
        <f>'2011 Actual Costs'!H327</f>
        <v>324.45711125763023</v>
      </c>
      <c r="I327" s="30">
        <f>'2011 Actual Costs'!I327</f>
        <v>523.33460761660535</v>
      </c>
      <c r="J327" s="31">
        <f>'2011 Actual Costs'!J327</f>
        <v>533.34913454040816</v>
      </c>
      <c r="K327" s="30">
        <f>'2011 Actual Costs'!K327</f>
        <v>706.3495112067144</v>
      </c>
      <c r="L327" s="31">
        <f>'2011 Actual Costs'!L327</f>
        <v>347.38141242880698</v>
      </c>
      <c r="M327" s="30">
        <f>'2011 Actual Costs'!M327</f>
        <v>441.4718634847199</v>
      </c>
      <c r="N327" s="31">
        <f>'2011 Actual Costs'!N327</f>
        <v>398.25421567238203</v>
      </c>
      <c r="O327" s="32">
        <f>O328/O$7</f>
        <v>294.82490070746042</v>
      </c>
    </row>
    <row r="328" spans="1:20">
      <c r="A328" s="34" t="s">
        <v>64</v>
      </c>
      <c r="B328" s="35" t="s">
        <v>57</v>
      </c>
      <c r="C328" s="36">
        <f t="shared" ref="C328:N328" si="237">C$291*C327</f>
        <v>94322.866722990148</v>
      </c>
      <c r="D328" s="37">
        <f t="shared" si="237"/>
        <v>43396.249649272911</v>
      </c>
      <c r="E328" s="36">
        <f t="shared" si="237"/>
        <v>92038.734491694093</v>
      </c>
      <c r="F328" s="37">
        <f t="shared" si="237"/>
        <v>105940.49361056559</v>
      </c>
      <c r="G328" s="36">
        <f t="shared" si="237"/>
        <v>104014.69428064226</v>
      </c>
      <c r="H328" s="37">
        <f t="shared" si="237"/>
        <v>100172.42189035166</v>
      </c>
      <c r="I328" s="36">
        <f t="shared" si="237"/>
        <v>166959.35989038891</v>
      </c>
      <c r="J328" s="37">
        <f t="shared" si="237"/>
        <v>170154.29288444019</v>
      </c>
      <c r="K328" s="36">
        <f t="shared" si="237"/>
        <v>152654.13254487602</v>
      </c>
      <c r="L328" s="37">
        <f t="shared" si="237"/>
        <v>77577.527243517921</v>
      </c>
      <c r="M328" s="36">
        <f t="shared" si="237"/>
        <v>95409.571740338215</v>
      </c>
      <c r="N328" s="37">
        <f t="shared" si="237"/>
        <v>88938.487094504162</v>
      </c>
      <c r="O328" s="38">
        <f>SUM(C328:N328)</f>
        <v>1291578.8320435819</v>
      </c>
    </row>
    <row r="329" spans="1:20">
      <c r="A329" s="42"/>
      <c r="B329" s="35" t="s">
        <v>58</v>
      </c>
      <c r="C329" s="43">
        <f>'Price Changes'!F64</f>
        <v>0.16124649999999999</v>
      </c>
      <c r="D329" s="44">
        <f t="shared" ref="D329:N329" si="238">C329</f>
        <v>0.16124649999999999</v>
      </c>
      <c r="E329" s="43">
        <f t="shared" si="238"/>
        <v>0.16124649999999999</v>
      </c>
      <c r="F329" s="44">
        <f t="shared" si="238"/>
        <v>0.16124649999999999</v>
      </c>
      <c r="G329" s="43">
        <f t="shared" si="238"/>
        <v>0.16124649999999999</v>
      </c>
      <c r="H329" s="44">
        <f t="shared" si="238"/>
        <v>0.16124649999999999</v>
      </c>
      <c r="I329" s="43">
        <f t="shared" si="238"/>
        <v>0.16124649999999999</v>
      </c>
      <c r="J329" s="44">
        <f t="shared" si="238"/>
        <v>0.16124649999999999</v>
      </c>
      <c r="K329" s="43">
        <f t="shared" si="238"/>
        <v>0.16124649999999999</v>
      </c>
      <c r="L329" s="44">
        <f t="shared" si="238"/>
        <v>0.16124649999999999</v>
      </c>
      <c r="M329" s="43">
        <f t="shared" si="238"/>
        <v>0.16124649999999999</v>
      </c>
      <c r="N329" s="44">
        <f t="shared" si="238"/>
        <v>0.16124649999999999</v>
      </c>
      <c r="O329" s="45">
        <f>IF(O328=0,0,+O330/O328)</f>
        <v>0.16124650000000001</v>
      </c>
    </row>
    <row r="330" spans="1:20">
      <c r="A330" s="42"/>
      <c r="B330" s="35" t="s">
        <v>15</v>
      </c>
      <c r="C330" s="48">
        <f t="shared" ref="C330:N330" si="239">C328*C329</f>
        <v>15209.232129048629</v>
      </c>
      <c r="D330" s="49">
        <f t="shared" si="239"/>
        <v>6997.4933690714843</v>
      </c>
      <c r="E330" s="48">
        <f t="shared" si="239"/>
        <v>14840.923801214951</v>
      </c>
      <c r="F330" s="49">
        <f t="shared" si="239"/>
        <v>17082.533802976064</v>
      </c>
      <c r="G330" s="48">
        <f t="shared" si="239"/>
        <v>16772.005401323582</v>
      </c>
      <c r="H330" s="49">
        <f t="shared" si="239"/>
        <v>16152.452426342588</v>
      </c>
      <c r="I330" s="48">
        <f t="shared" si="239"/>
        <v>26921.612424565592</v>
      </c>
      <c r="J330" s="49">
        <f t="shared" si="239"/>
        <v>27436.784187590882</v>
      </c>
      <c r="K330" s="48">
        <f t="shared" si="239"/>
        <v>24614.944583397348</v>
      </c>
      <c r="L330" s="49">
        <f t="shared" si="239"/>
        <v>12509.104746671912</v>
      </c>
      <c r="M330" s="48">
        <f t="shared" si="239"/>
        <v>15384.459509628445</v>
      </c>
      <c r="N330" s="49">
        <f t="shared" si="239"/>
        <v>14341.019759283965</v>
      </c>
      <c r="O330" s="50">
        <f>SUM(C330:N330)</f>
        <v>208262.56614111544</v>
      </c>
    </row>
    <row r="331" spans="1:20" ht="13.5" thickBot="1">
      <c r="A331" s="51"/>
      <c r="B331" s="52" t="s">
        <v>59</v>
      </c>
      <c r="C331" s="53">
        <f t="shared" ref="C331:N331" si="240">C330/C$291</f>
        <v>68.104833018997326</v>
      </c>
      <c r="D331" s="54">
        <f t="shared" si="240"/>
        <v>34.690998663710275</v>
      </c>
      <c r="E331" s="53">
        <f t="shared" si="240"/>
        <v>66.45559938551817</v>
      </c>
      <c r="F331" s="54">
        <f t="shared" si="240"/>
        <v>79.042992159790913</v>
      </c>
      <c r="G331" s="53">
        <f t="shared" si="240"/>
        <v>75.102715085085251</v>
      </c>
      <c r="H331" s="54">
        <f t="shared" si="240"/>
        <v>52.31757359040347</v>
      </c>
      <c r="I331" s="53">
        <f t="shared" si="240"/>
        <v>84.385873807050956</v>
      </c>
      <c r="J331" s="54">
        <f t="shared" si="240"/>
        <v>86.000681222669911</v>
      </c>
      <c r="K331" s="53">
        <f t="shared" si="240"/>
        <v>113.89638645879346</v>
      </c>
      <c r="L331" s="54">
        <f t="shared" si="240"/>
        <v>56.014036919201622</v>
      </c>
      <c r="M331" s="53">
        <f t="shared" si="240"/>
        <v>71.185792835388881</v>
      </c>
      <c r="N331" s="54">
        <f t="shared" si="240"/>
        <v>64.21709838741674</v>
      </c>
      <c r="O331" s="55">
        <f>O330/O$7</f>
        <v>47.539483351925526</v>
      </c>
    </row>
    <row r="332" spans="1:20">
      <c r="A332" s="28" t="s">
        <v>68</v>
      </c>
      <c r="B332" s="29" t="s">
        <v>55</v>
      </c>
      <c r="C332" s="30">
        <f>'2012 Actual Costs'!C332</f>
        <v>0.16002560409665548</v>
      </c>
      <c r="D332" s="31">
        <f>'2012 Actual Costs'!D332</f>
        <v>1.188470066518847</v>
      </c>
      <c r="E332" s="30">
        <f>'2012 Actual Costs'!E332</f>
        <v>1.1389336327101738</v>
      </c>
      <c r="F332" s="31">
        <f>'2012 Actual Costs'!F332</f>
        <v>0</v>
      </c>
      <c r="G332" s="30">
        <f>'2011 Actual Costs'!G332</f>
        <v>0</v>
      </c>
      <c r="H332" s="31">
        <f>'2011 Actual Costs'!H332</f>
        <v>0.12335963587638513</v>
      </c>
      <c r="I332" s="30">
        <f>'2011 Actual Costs'!I332</f>
        <v>0</v>
      </c>
      <c r="J332" s="31">
        <f>'2011 Actual Costs'!J332</f>
        <v>0</v>
      </c>
      <c r="K332" s="30">
        <f>'2011 Actual Costs'!K332</f>
        <v>0</v>
      </c>
      <c r="L332" s="31">
        <f>'2011 Actual Costs'!L332</f>
        <v>0.11127859101071309</v>
      </c>
      <c r="M332" s="30">
        <f>'2011 Actual Costs'!M332</f>
        <v>0</v>
      </c>
      <c r="N332" s="31">
        <f>'2011 Actual Costs'!N332</f>
        <v>0.23806149922063199</v>
      </c>
      <c r="O332" s="32">
        <f>O333/O$7</f>
        <v>0.14744017956917196</v>
      </c>
    </row>
    <row r="333" spans="1:20">
      <c r="A333" s="34" t="s">
        <v>64</v>
      </c>
      <c r="B333" s="35" t="s">
        <v>57</v>
      </c>
      <c r="C333" s="36">
        <f t="shared" ref="C333:N333" si="241">C$291*C332</f>
        <v>35.737060813560177</v>
      </c>
      <c r="D333" s="37">
        <f t="shared" si="241"/>
        <v>239.72533885296144</v>
      </c>
      <c r="E333" s="36">
        <f t="shared" si="241"/>
        <v>254.34767595183325</v>
      </c>
      <c r="F333" s="37">
        <f t="shared" si="241"/>
        <v>0</v>
      </c>
      <c r="G333" s="36">
        <f t="shared" si="241"/>
        <v>0</v>
      </c>
      <c r="H333" s="37">
        <f t="shared" si="241"/>
        <v>38.085876562703348</v>
      </c>
      <c r="I333" s="36">
        <f t="shared" si="241"/>
        <v>0</v>
      </c>
      <c r="J333" s="37">
        <f t="shared" si="241"/>
        <v>0</v>
      </c>
      <c r="K333" s="36">
        <f t="shared" si="241"/>
        <v>0</v>
      </c>
      <c r="L333" s="37">
        <f t="shared" si="241"/>
        <v>24.850834318957954</v>
      </c>
      <c r="M333" s="36">
        <f t="shared" si="241"/>
        <v>0</v>
      </c>
      <c r="N333" s="37">
        <f t="shared" si="241"/>
        <v>53.164106600568942</v>
      </c>
      <c r="O333" s="38">
        <f>SUM(C333:N333)</f>
        <v>645.9108931005851</v>
      </c>
      <c r="P333" s="68"/>
      <c r="Q333" s="68"/>
      <c r="R333" s="33"/>
      <c r="S333" s="41"/>
    </row>
    <row r="334" spans="1:20" ht="15.75">
      <c r="A334" s="42"/>
      <c r="B334" s="35" t="s">
        <v>58</v>
      </c>
      <c r="C334" s="43">
        <f>'Price Changes'!F65</f>
        <v>0.89100000000000013</v>
      </c>
      <c r="D334" s="44">
        <f t="shared" ref="D334:N334" si="242">C334</f>
        <v>0.89100000000000013</v>
      </c>
      <c r="E334" s="43">
        <f t="shared" si="242"/>
        <v>0.89100000000000013</v>
      </c>
      <c r="F334" s="44">
        <f t="shared" si="242"/>
        <v>0.89100000000000013</v>
      </c>
      <c r="G334" s="43">
        <f t="shared" si="242"/>
        <v>0.89100000000000013</v>
      </c>
      <c r="H334" s="44">
        <f t="shared" si="242"/>
        <v>0.89100000000000013</v>
      </c>
      <c r="I334" s="43">
        <f t="shared" si="242"/>
        <v>0.89100000000000013</v>
      </c>
      <c r="J334" s="44">
        <f t="shared" si="242"/>
        <v>0.89100000000000013</v>
      </c>
      <c r="K334" s="43">
        <f t="shared" si="242"/>
        <v>0.89100000000000013</v>
      </c>
      <c r="L334" s="44">
        <f t="shared" si="242"/>
        <v>0.89100000000000013</v>
      </c>
      <c r="M334" s="43">
        <f t="shared" si="242"/>
        <v>0.89100000000000013</v>
      </c>
      <c r="N334" s="44">
        <f t="shared" si="242"/>
        <v>0.89100000000000013</v>
      </c>
      <c r="O334" s="45">
        <f>IF(O333=0,0,+O335/O333)</f>
        <v>0.89100000000000024</v>
      </c>
      <c r="P334" s="80"/>
      <c r="Q334" s="46"/>
      <c r="R334" s="47"/>
      <c r="S334" s="41"/>
    </row>
    <row r="335" spans="1:20">
      <c r="A335" s="42"/>
      <c r="B335" s="35" t="s">
        <v>15</v>
      </c>
      <c r="C335" s="48">
        <f t="shared" ref="C335:N335" si="243">C333*C334</f>
        <v>31.841721184882122</v>
      </c>
      <c r="D335" s="49">
        <f t="shared" si="243"/>
        <v>213.59527691798868</v>
      </c>
      <c r="E335" s="48">
        <f t="shared" si="243"/>
        <v>226.62377927308347</v>
      </c>
      <c r="F335" s="49">
        <f t="shared" si="243"/>
        <v>0</v>
      </c>
      <c r="G335" s="48">
        <f t="shared" si="243"/>
        <v>0</v>
      </c>
      <c r="H335" s="49">
        <f t="shared" si="243"/>
        <v>33.934516017368686</v>
      </c>
      <c r="I335" s="48">
        <f t="shared" si="243"/>
        <v>0</v>
      </c>
      <c r="J335" s="49">
        <f t="shared" si="243"/>
        <v>0</v>
      </c>
      <c r="K335" s="48">
        <f t="shared" si="243"/>
        <v>0</v>
      </c>
      <c r="L335" s="49">
        <f t="shared" si="243"/>
        <v>22.142093378191539</v>
      </c>
      <c r="M335" s="48">
        <f t="shared" si="243"/>
        <v>0</v>
      </c>
      <c r="N335" s="49">
        <f t="shared" si="243"/>
        <v>47.369218981106933</v>
      </c>
      <c r="O335" s="50">
        <f>SUM(C335:N335)</f>
        <v>575.50660575262145</v>
      </c>
      <c r="P335" s="40"/>
      <c r="Q335" s="40"/>
      <c r="R335" s="40"/>
      <c r="S335" s="41"/>
    </row>
    <row r="336" spans="1:20" ht="16.5" thickBot="1">
      <c r="A336" s="51"/>
      <c r="B336" s="52" t="s">
        <v>59</v>
      </c>
      <c r="C336" s="53">
        <f t="shared" ref="C336:N336" si="244">C335/C$291</f>
        <v>0.14258281325012007</v>
      </c>
      <c r="D336" s="54">
        <f t="shared" si="244"/>
        <v>1.0589268292682927</v>
      </c>
      <c r="E336" s="53">
        <f t="shared" si="244"/>
        <v>1.014789866744765</v>
      </c>
      <c r="F336" s="54">
        <f t="shared" si="244"/>
        <v>0</v>
      </c>
      <c r="G336" s="53">
        <f t="shared" si="244"/>
        <v>0</v>
      </c>
      <c r="H336" s="54">
        <f t="shared" si="244"/>
        <v>0.10991343556585917</v>
      </c>
      <c r="I336" s="53">
        <f t="shared" si="244"/>
        <v>0</v>
      </c>
      <c r="J336" s="54">
        <f t="shared" si="244"/>
        <v>0</v>
      </c>
      <c r="K336" s="53">
        <f t="shared" si="244"/>
        <v>0</v>
      </c>
      <c r="L336" s="54">
        <f t="shared" si="244"/>
        <v>9.9149224590545385E-2</v>
      </c>
      <c r="M336" s="53">
        <f t="shared" si="244"/>
        <v>0</v>
      </c>
      <c r="N336" s="54">
        <f t="shared" si="244"/>
        <v>0.21211279580558312</v>
      </c>
      <c r="O336" s="55">
        <f>O335/O$7</f>
        <v>0.13136919999613225</v>
      </c>
      <c r="P336" s="80"/>
      <c r="Q336" s="56"/>
      <c r="R336" s="57"/>
      <c r="S336" s="41"/>
    </row>
    <row r="337" spans="1:19">
      <c r="A337" s="28" t="s">
        <v>69</v>
      </c>
      <c r="B337" s="29" t="s">
        <v>55</v>
      </c>
      <c r="C337" s="30">
        <f>'2012 Actual Costs'!C337</f>
        <v>0</v>
      </c>
      <c r="D337" s="31">
        <f>'2012 Actual Costs'!D337</f>
        <v>0</v>
      </c>
      <c r="E337" s="30">
        <f>'2012 Actual Costs'!E337</f>
        <v>0</v>
      </c>
      <c r="F337" s="31">
        <f>'2012 Actual Costs'!F337</f>
        <v>0</v>
      </c>
      <c r="G337" s="30">
        <f>'2011 Actual Costs'!G337</f>
        <v>1.4304235489080366</v>
      </c>
      <c r="H337" s="31">
        <f>'2011 Actual Costs'!H337</f>
        <v>0</v>
      </c>
      <c r="I337" s="30">
        <f>'2011 Actual Costs'!I337</f>
        <v>1.0205645189805241</v>
      </c>
      <c r="J337" s="31">
        <f>'2011 Actual Costs'!J337</f>
        <v>0.77893141958235113</v>
      </c>
      <c r="K337" s="30">
        <f>'2011 Actual Costs'!K337</f>
        <v>1.1599781803100637</v>
      </c>
      <c r="L337" s="31">
        <f>'2011 Actual Costs'!L337</f>
        <v>0</v>
      </c>
      <c r="M337" s="30">
        <f>'2011 Actual Costs'!M337</f>
        <v>0</v>
      </c>
      <c r="N337" s="31">
        <f>'2011 Actual Costs'!N337</f>
        <v>0.16437579708091257</v>
      </c>
      <c r="O337" s="32">
        <f>O338/O$7</f>
        <v>0.26956876977678201</v>
      </c>
    </row>
    <row r="338" spans="1:19">
      <c r="A338" s="34" t="s">
        <v>56</v>
      </c>
      <c r="B338" s="35" t="s">
        <v>57</v>
      </c>
      <c r="C338" s="36">
        <f t="shared" ref="C338:N338" si="245">C$291*C337</f>
        <v>0</v>
      </c>
      <c r="D338" s="37">
        <f t="shared" si="245"/>
        <v>0</v>
      </c>
      <c r="E338" s="36">
        <f t="shared" si="245"/>
        <v>0</v>
      </c>
      <c r="F338" s="37">
        <f t="shared" si="245"/>
        <v>0</v>
      </c>
      <c r="G338" s="36">
        <f t="shared" si="245"/>
        <v>319.44346434461266</v>
      </c>
      <c r="H338" s="37">
        <f t="shared" si="245"/>
        <v>0</v>
      </c>
      <c r="I338" s="36">
        <f t="shared" si="245"/>
        <v>325.59054252467979</v>
      </c>
      <c r="J338" s="37">
        <f t="shared" si="245"/>
        <v>248.50237175076288</v>
      </c>
      <c r="K338" s="36">
        <f t="shared" si="245"/>
        <v>250.69099656302464</v>
      </c>
      <c r="L338" s="37">
        <f t="shared" si="245"/>
        <v>0</v>
      </c>
      <c r="M338" s="36">
        <f t="shared" si="245"/>
        <v>0</v>
      </c>
      <c r="N338" s="37">
        <f t="shared" si="245"/>
        <v>36.708549795630937</v>
      </c>
      <c r="O338" s="38">
        <f>SUM(C338:N338)</f>
        <v>1180.9359249787108</v>
      </c>
      <c r="P338" s="39"/>
      <c r="Q338" s="39"/>
      <c r="R338" s="39"/>
      <c r="S338" s="41"/>
    </row>
    <row r="339" spans="1:19" ht="15.75">
      <c r="A339" s="42"/>
      <c r="B339" s="35" t="s">
        <v>58</v>
      </c>
      <c r="C339" s="43">
        <f>'Price Changes'!F66</f>
        <v>0</v>
      </c>
      <c r="D339" s="44">
        <f t="shared" ref="D339:N339" si="246">C339</f>
        <v>0</v>
      </c>
      <c r="E339" s="43">
        <f t="shared" si="246"/>
        <v>0</v>
      </c>
      <c r="F339" s="44">
        <f t="shared" si="246"/>
        <v>0</v>
      </c>
      <c r="G339" s="43">
        <f t="shared" si="246"/>
        <v>0</v>
      </c>
      <c r="H339" s="44">
        <f t="shared" si="246"/>
        <v>0</v>
      </c>
      <c r="I339" s="43">
        <f t="shared" si="246"/>
        <v>0</v>
      </c>
      <c r="J339" s="44">
        <f t="shared" si="246"/>
        <v>0</v>
      </c>
      <c r="K339" s="43">
        <f t="shared" si="246"/>
        <v>0</v>
      </c>
      <c r="L339" s="44">
        <f t="shared" si="246"/>
        <v>0</v>
      </c>
      <c r="M339" s="43">
        <f t="shared" si="246"/>
        <v>0</v>
      </c>
      <c r="N339" s="44">
        <f t="shared" si="246"/>
        <v>0</v>
      </c>
      <c r="O339" s="45">
        <f>IF(O338=0,0,+O340/O338)</f>
        <v>0</v>
      </c>
      <c r="P339" s="46"/>
      <c r="Q339" s="47"/>
      <c r="R339" s="47"/>
      <c r="S339" s="41"/>
    </row>
    <row r="340" spans="1:19">
      <c r="A340" s="42"/>
      <c r="B340" s="35" t="s">
        <v>15</v>
      </c>
      <c r="C340" s="48">
        <f t="shared" ref="C340:N340" si="247">C338*C339</f>
        <v>0</v>
      </c>
      <c r="D340" s="49">
        <f t="shared" si="247"/>
        <v>0</v>
      </c>
      <c r="E340" s="48">
        <f t="shared" si="247"/>
        <v>0</v>
      </c>
      <c r="F340" s="49">
        <f t="shared" si="247"/>
        <v>0</v>
      </c>
      <c r="G340" s="48">
        <f t="shared" si="247"/>
        <v>0</v>
      </c>
      <c r="H340" s="49">
        <f t="shared" si="247"/>
        <v>0</v>
      </c>
      <c r="I340" s="48">
        <f t="shared" si="247"/>
        <v>0</v>
      </c>
      <c r="J340" s="49">
        <f t="shared" si="247"/>
        <v>0</v>
      </c>
      <c r="K340" s="48">
        <f t="shared" si="247"/>
        <v>0</v>
      </c>
      <c r="L340" s="49">
        <f t="shared" si="247"/>
        <v>0</v>
      </c>
      <c r="M340" s="48">
        <f t="shared" si="247"/>
        <v>0</v>
      </c>
      <c r="N340" s="49">
        <f t="shared" si="247"/>
        <v>0</v>
      </c>
      <c r="O340" s="50">
        <f>SUM(C340:N340)</f>
        <v>0</v>
      </c>
      <c r="P340" s="40"/>
      <c r="Q340" s="40"/>
      <c r="R340" s="40"/>
      <c r="S340" s="41"/>
    </row>
    <row r="341" spans="1:19" ht="16.5" thickBot="1">
      <c r="A341" s="51"/>
      <c r="B341" s="52" t="s">
        <v>59</v>
      </c>
      <c r="C341" s="53">
        <f t="shared" ref="C341:N341" si="248">C340/C$291</f>
        <v>0</v>
      </c>
      <c r="D341" s="54">
        <f t="shared" si="248"/>
        <v>0</v>
      </c>
      <c r="E341" s="53">
        <f t="shared" si="248"/>
        <v>0</v>
      </c>
      <c r="F341" s="54">
        <f t="shared" si="248"/>
        <v>0</v>
      </c>
      <c r="G341" s="53">
        <f t="shared" si="248"/>
        <v>0</v>
      </c>
      <c r="H341" s="54">
        <f t="shared" si="248"/>
        <v>0</v>
      </c>
      <c r="I341" s="53">
        <f t="shared" si="248"/>
        <v>0</v>
      </c>
      <c r="J341" s="54">
        <f t="shared" si="248"/>
        <v>0</v>
      </c>
      <c r="K341" s="53">
        <f t="shared" si="248"/>
        <v>0</v>
      </c>
      <c r="L341" s="54">
        <f t="shared" si="248"/>
        <v>0</v>
      </c>
      <c r="M341" s="53">
        <f t="shared" si="248"/>
        <v>0</v>
      </c>
      <c r="N341" s="54">
        <f t="shared" si="248"/>
        <v>0</v>
      </c>
      <c r="O341" s="55">
        <f>O340/O$7</f>
        <v>0</v>
      </c>
      <c r="P341" s="56"/>
      <c r="Q341" s="57"/>
      <c r="R341" s="57"/>
      <c r="S341" s="41"/>
    </row>
    <row r="342" spans="1:19">
      <c r="A342" s="28" t="s">
        <v>70</v>
      </c>
      <c r="B342" s="29" t="s">
        <v>55</v>
      </c>
      <c r="C342" s="30">
        <f>'2012 Actual Costs'!C342</f>
        <v>3.7491712959787855</v>
      </c>
      <c r="D342" s="31">
        <f>'2012 Actual Costs'!D342</f>
        <v>0</v>
      </c>
      <c r="E342" s="30">
        <f>'2012 Actual Costs'!E342</f>
        <v>0</v>
      </c>
      <c r="F342" s="31">
        <f>'2012 Actual Costs'!F342</f>
        <v>0</v>
      </c>
      <c r="G342" s="30">
        <f>'2011 Actual Costs'!G342</f>
        <v>5.5040475833791085</v>
      </c>
      <c r="H342" s="31">
        <f>'2011 Actual Costs'!H342</f>
        <v>6.3296254546227955</v>
      </c>
      <c r="I342" s="30">
        <f>'2011 Actual Costs'!I342</f>
        <v>7.6490826851967748</v>
      </c>
      <c r="J342" s="31">
        <f>'2011 Actual Costs'!J342</f>
        <v>12.115403772366436</v>
      </c>
      <c r="K342" s="30">
        <f>'2011 Actual Costs'!K342</f>
        <v>6.3475906044135444</v>
      </c>
      <c r="L342" s="31">
        <f>'2011 Actual Costs'!L342</f>
        <v>0.88517061031249056</v>
      </c>
      <c r="M342" s="30">
        <f>'2011 Actual Costs'!M342</f>
        <v>8.5612656491566597</v>
      </c>
      <c r="N342" s="31">
        <f>'2011 Actual Costs'!N342</f>
        <v>5.6227858863539746</v>
      </c>
      <c r="O342" s="32">
        <f>O343/O$7</f>
        <v>3.4243522715456196</v>
      </c>
      <c r="P342" s="9"/>
      <c r="Q342" s="9"/>
      <c r="R342" s="9"/>
      <c r="S342" s="70"/>
    </row>
    <row r="343" spans="1:19">
      <c r="A343" s="34" t="s">
        <v>71</v>
      </c>
      <c r="B343" s="35" t="s">
        <v>57</v>
      </c>
      <c r="C343" s="65">
        <f t="shared" ref="C343:N343" si="249">C$291*C342</f>
        <v>837.2682819176955</v>
      </c>
      <c r="D343" s="66">
        <f t="shared" si="249"/>
        <v>0</v>
      </c>
      <c r="E343" s="65">
        <f t="shared" si="249"/>
        <v>0</v>
      </c>
      <c r="F343" s="66">
        <f t="shared" si="249"/>
        <v>0</v>
      </c>
      <c r="G343" s="65">
        <f t="shared" si="249"/>
        <v>1229.1688215664676</v>
      </c>
      <c r="H343" s="66">
        <f t="shared" si="249"/>
        <v>1954.1994594931923</v>
      </c>
      <c r="I343" s="65">
        <f t="shared" si="249"/>
        <v>2440.2856801029734</v>
      </c>
      <c r="J343" s="66">
        <f t="shared" si="249"/>
        <v>3865.1754139863624</v>
      </c>
      <c r="K343" s="65">
        <f t="shared" si="249"/>
        <v>1371.8221958012787</v>
      </c>
      <c r="L343" s="66">
        <f t="shared" si="249"/>
        <v>197.67709117352919</v>
      </c>
      <c r="M343" s="65">
        <f t="shared" si="249"/>
        <v>1850.2349905014439</v>
      </c>
      <c r="N343" s="66">
        <f t="shared" si="249"/>
        <v>1255.6855654229616</v>
      </c>
      <c r="O343" s="67">
        <f>SUM(C343:N343)</f>
        <v>15001.517499965905</v>
      </c>
      <c r="P343" s="15"/>
      <c r="Q343" s="15"/>
      <c r="R343" s="15"/>
      <c r="S343" s="71"/>
    </row>
    <row r="344" spans="1:19" ht="15.75">
      <c r="A344" s="34" t="s">
        <v>56</v>
      </c>
      <c r="B344" s="35" t="s">
        <v>58</v>
      </c>
      <c r="C344" s="43">
        <f>'Price Changes'!F67</f>
        <v>2.6423619999999999</v>
      </c>
      <c r="D344" s="44">
        <f t="shared" ref="D344:N344" si="250">C344</f>
        <v>2.6423619999999999</v>
      </c>
      <c r="E344" s="43">
        <f t="shared" si="250"/>
        <v>2.6423619999999999</v>
      </c>
      <c r="F344" s="44">
        <f t="shared" si="250"/>
        <v>2.6423619999999999</v>
      </c>
      <c r="G344" s="43">
        <f t="shared" si="250"/>
        <v>2.6423619999999999</v>
      </c>
      <c r="H344" s="44">
        <f t="shared" si="250"/>
        <v>2.6423619999999999</v>
      </c>
      <c r="I344" s="43">
        <f t="shared" si="250"/>
        <v>2.6423619999999999</v>
      </c>
      <c r="J344" s="44">
        <f t="shared" si="250"/>
        <v>2.6423619999999999</v>
      </c>
      <c r="K344" s="43">
        <f t="shared" si="250"/>
        <v>2.6423619999999999</v>
      </c>
      <c r="L344" s="44">
        <f t="shared" si="250"/>
        <v>2.6423619999999999</v>
      </c>
      <c r="M344" s="43">
        <f t="shared" si="250"/>
        <v>2.6423619999999999</v>
      </c>
      <c r="N344" s="44">
        <f t="shared" si="250"/>
        <v>2.6423619999999999</v>
      </c>
      <c r="O344" s="45">
        <f>IF(O343=0,0,+O345/O343)</f>
        <v>2.6423619999999999</v>
      </c>
      <c r="P344" s="15"/>
      <c r="Q344" s="72"/>
      <c r="R344" s="15"/>
      <c r="S344" s="15"/>
    </row>
    <row r="345" spans="1:19">
      <c r="A345" s="42"/>
      <c r="B345" s="35" t="s">
        <v>15</v>
      </c>
      <c r="C345" s="48">
        <f t="shared" ref="C345:N345" si="251">C343*C344</f>
        <v>2212.3658919446057</v>
      </c>
      <c r="D345" s="49">
        <f t="shared" si="251"/>
        <v>0</v>
      </c>
      <c r="E345" s="48">
        <f t="shared" si="251"/>
        <v>0</v>
      </c>
      <c r="F345" s="49">
        <f t="shared" si="251"/>
        <v>0</v>
      </c>
      <c r="G345" s="48">
        <f t="shared" si="251"/>
        <v>3247.9089856920145</v>
      </c>
      <c r="H345" s="49">
        <f t="shared" si="251"/>
        <v>5163.7023921853506</v>
      </c>
      <c r="I345" s="48">
        <f t="shared" si="251"/>
        <v>6448.1181502482523</v>
      </c>
      <c r="J345" s="49">
        <f t="shared" si="251"/>
        <v>10213.192637251832</v>
      </c>
      <c r="K345" s="48">
        <f t="shared" si="251"/>
        <v>3624.8508409418582</v>
      </c>
      <c r="L345" s="49">
        <f t="shared" si="251"/>
        <v>522.33443398746897</v>
      </c>
      <c r="M345" s="48">
        <f t="shared" si="251"/>
        <v>4888.9906299713757</v>
      </c>
      <c r="N345" s="49">
        <f t="shared" si="251"/>
        <v>3317.9758220221474</v>
      </c>
      <c r="O345" s="50">
        <f>SUM(C345:N345)</f>
        <v>39639.439784244903</v>
      </c>
      <c r="P345" s="15"/>
      <c r="Q345" s="15"/>
      <c r="R345" s="15"/>
      <c r="S345" s="15"/>
    </row>
    <row r="346" spans="1:19" ht="13.5" thickBot="1">
      <c r="A346" s="51"/>
      <c r="B346" s="52" t="s">
        <v>59</v>
      </c>
      <c r="C346" s="53">
        <f t="shared" ref="C346:N346" si="252">C345/C$291</f>
        <v>9.9066677639850944</v>
      </c>
      <c r="D346" s="54">
        <f t="shared" si="252"/>
        <v>0</v>
      </c>
      <c r="E346" s="53">
        <f t="shared" si="252"/>
        <v>0</v>
      </c>
      <c r="F346" s="54">
        <f t="shared" si="252"/>
        <v>0</v>
      </c>
      <c r="G346" s="53">
        <f t="shared" si="252"/>
        <v>14.543686180512788</v>
      </c>
      <c r="H346" s="54">
        <f t="shared" si="252"/>
        <v>16.725161775527997</v>
      </c>
      <c r="I346" s="53">
        <f t="shared" si="252"/>
        <v>20.211645422221917</v>
      </c>
      <c r="J346" s="54">
        <f t="shared" si="252"/>
        <v>32.013282542757722</v>
      </c>
      <c r="K346" s="53">
        <f t="shared" si="252"/>
        <v>16.772632204659381</v>
      </c>
      <c r="L346" s="54">
        <f t="shared" si="252"/>
        <v>2.3389411842065333</v>
      </c>
      <c r="M346" s="53">
        <f t="shared" si="252"/>
        <v>22.621963023236887</v>
      </c>
      <c r="N346" s="54">
        <f t="shared" si="252"/>
        <v>14.85743576023806</v>
      </c>
      <c r="O346" s="55">
        <f>O345/O$7</f>
        <v>9.0483783169458256</v>
      </c>
      <c r="P346" s="8"/>
      <c r="S346" s="41"/>
    </row>
    <row r="347" spans="1:19">
      <c r="A347" s="28" t="s">
        <v>72</v>
      </c>
      <c r="B347" s="29" t="s">
        <v>55</v>
      </c>
      <c r="C347" s="30">
        <f>'2012 Actual Costs'!C347</f>
        <v>0.85728002194636865</v>
      </c>
      <c r="D347" s="31">
        <f>'2012 Actual Costs'!D347</f>
        <v>1.1825572801182558</v>
      </c>
      <c r="E347" s="30">
        <f>'2012 Actual Costs'!E347</f>
        <v>0</v>
      </c>
      <c r="F347" s="31">
        <f>'2012 Actual Costs'!F347</f>
        <v>2.333395557214859</v>
      </c>
      <c r="G347" s="30">
        <f>'2011 Actual Costs'!G347</f>
        <v>4.7161698043066957</v>
      </c>
      <c r="H347" s="31">
        <f>'2011 Actual Costs'!H347</f>
        <v>4.4664695748346341</v>
      </c>
      <c r="I347" s="30">
        <f>'2011 Actual Costs'!I347</f>
        <v>2.5372897009719511</v>
      </c>
      <c r="J347" s="31">
        <f>'2011 Actual Costs'!J347</f>
        <v>1.3740180065059753</v>
      </c>
      <c r="K347" s="30">
        <f>'2011 Actual Costs'!K347</f>
        <v>3.841204601763113</v>
      </c>
      <c r="L347" s="31">
        <f>'2011 Actual Costs'!L347</f>
        <v>2.7819647752678272</v>
      </c>
      <c r="M347" s="30">
        <f>'2011 Actual Costs'!M347</f>
        <v>2.9060643751380382</v>
      </c>
      <c r="N347" s="31">
        <f>'2011 Actual Costs'!N347</f>
        <v>0.28340654669122856</v>
      </c>
      <c r="O347" s="32">
        <f>O348/O$7</f>
        <v>1.542410360667924</v>
      </c>
    </row>
    <row r="348" spans="1:19">
      <c r="A348" s="34" t="s">
        <v>56</v>
      </c>
      <c r="B348" s="35" t="s">
        <v>57</v>
      </c>
      <c r="C348" s="36">
        <f t="shared" ref="C348:N348" si="253">C$291*C347</f>
        <v>191.44854007264379</v>
      </c>
      <c r="D348" s="37">
        <f t="shared" si="253"/>
        <v>238.53267547558355</v>
      </c>
      <c r="E348" s="36">
        <f t="shared" si="253"/>
        <v>0</v>
      </c>
      <c r="F348" s="37">
        <f t="shared" si="253"/>
        <v>504.28643188578445</v>
      </c>
      <c r="G348" s="36">
        <f t="shared" si="253"/>
        <v>1053.2192523502999</v>
      </c>
      <c r="H348" s="37">
        <f t="shared" si="253"/>
        <v>1378.971392787535</v>
      </c>
      <c r="I348" s="36">
        <f t="shared" si="253"/>
        <v>809.47114554499353</v>
      </c>
      <c r="J348" s="37">
        <f t="shared" si="253"/>
        <v>438.35275463412108</v>
      </c>
      <c r="K348" s="36">
        <f t="shared" si="253"/>
        <v>830.14958898715804</v>
      </c>
      <c r="L348" s="37">
        <f t="shared" si="253"/>
        <v>621.27085797394875</v>
      </c>
      <c r="M348" s="36">
        <f t="shared" si="253"/>
        <v>628.04989494278482</v>
      </c>
      <c r="N348" s="37">
        <f t="shared" si="253"/>
        <v>63.290603095915408</v>
      </c>
      <c r="O348" s="38">
        <f>SUM(C348:N348)</f>
        <v>6757.0431377507684</v>
      </c>
      <c r="P348" s="57"/>
      <c r="Q348" s="57"/>
      <c r="R348" s="60"/>
      <c r="S348" s="41"/>
    </row>
    <row r="349" spans="1:19" ht="15.75">
      <c r="A349" s="42"/>
      <c r="B349" s="35" t="s">
        <v>58</v>
      </c>
      <c r="C349" s="43">
        <f>'Price Changes'!F68</f>
        <v>0.16644799999999998</v>
      </c>
      <c r="D349" s="44">
        <f t="shared" ref="D349:N349" si="254">C349</f>
        <v>0.16644799999999998</v>
      </c>
      <c r="E349" s="43">
        <f t="shared" si="254"/>
        <v>0.16644799999999998</v>
      </c>
      <c r="F349" s="44">
        <f t="shared" si="254"/>
        <v>0.16644799999999998</v>
      </c>
      <c r="G349" s="43">
        <f t="shared" si="254"/>
        <v>0.16644799999999998</v>
      </c>
      <c r="H349" s="44">
        <f t="shared" si="254"/>
        <v>0.16644799999999998</v>
      </c>
      <c r="I349" s="43">
        <f t="shared" si="254"/>
        <v>0.16644799999999998</v>
      </c>
      <c r="J349" s="44">
        <f t="shared" si="254"/>
        <v>0.16644799999999998</v>
      </c>
      <c r="K349" s="43">
        <f t="shared" si="254"/>
        <v>0.16644799999999998</v>
      </c>
      <c r="L349" s="44">
        <f t="shared" si="254"/>
        <v>0.16644799999999998</v>
      </c>
      <c r="M349" s="43">
        <f t="shared" si="254"/>
        <v>0.16644799999999998</v>
      </c>
      <c r="N349" s="44">
        <f t="shared" si="254"/>
        <v>0.16644799999999998</v>
      </c>
      <c r="O349" s="45">
        <f>IF(O348=0,0,+O350/O348)</f>
        <v>0.16644799999999998</v>
      </c>
      <c r="P349" s="46"/>
      <c r="Q349" s="47"/>
      <c r="R349" s="47"/>
      <c r="S349" s="41"/>
    </row>
    <row r="350" spans="1:19">
      <c r="A350" s="42"/>
      <c r="B350" s="35" t="s">
        <v>15</v>
      </c>
      <c r="C350" s="48">
        <f t="shared" ref="C350:N350" si="255">C348*C349</f>
        <v>31.866226598011412</v>
      </c>
      <c r="D350" s="49">
        <f t="shared" si="255"/>
        <v>39.703286767559923</v>
      </c>
      <c r="E350" s="48">
        <f t="shared" si="255"/>
        <v>0</v>
      </c>
      <c r="F350" s="49">
        <f t="shared" si="255"/>
        <v>83.937468014525038</v>
      </c>
      <c r="G350" s="48">
        <f t="shared" si="255"/>
        <v>175.30623811520272</v>
      </c>
      <c r="H350" s="49">
        <f t="shared" si="255"/>
        <v>229.52703038669961</v>
      </c>
      <c r="I350" s="48">
        <f t="shared" si="255"/>
        <v>134.73485323367308</v>
      </c>
      <c r="J350" s="49">
        <f t="shared" si="255"/>
        <v>72.962939303340178</v>
      </c>
      <c r="K350" s="48">
        <f t="shared" si="255"/>
        <v>138.17673878773448</v>
      </c>
      <c r="L350" s="49">
        <f t="shared" si="255"/>
        <v>103.40929176804781</v>
      </c>
      <c r="M350" s="48">
        <f t="shared" si="255"/>
        <v>104.53764891343664</v>
      </c>
      <c r="N350" s="49">
        <f t="shared" si="255"/>
        <v>10.534594304108927</v>
      </c>
      <c r="O350" s="50">
        <f>SUM(C350:N350)</f>
        <v>1124.6963161923397</v>
      </c>
      <c r="P350" s="40"/>
      <c r="Q350" s="40"/>
      <c r="R350" s="40"/>
      <c r="S350" s="41"/>
    </row>
    <row r="351" spans="1:19" ht="16.5" thickBot="1">
      <c r="A351" s="51"/>
      <c r="B351" s="52" t="s">
        <v>59</v>
      </c>
      <c r="C351" s="53">
        <f t="shared" ref="C351:N351" si="256">C350/C$291</f>
        <v>0.14269254509292917</v>
      </c>
      <c r="D351" s="54">
        <f t="shared" si="256"/>
        <v>0.19683429416112341</v>
      </c>
      <c r="E351" s="53">
        <f t="shared" si="256"/>
        <v>0</v>
      </c>
      <c r="F351" s="54">
        <f t="shared" si="256"/>
        <v>0.38838902370729878</v>
      </c>
      <c r="G351" s="53">
        <f t="shared" si="256"/>
        <v>0.78499703158724088</v>
      </c>
      <c r="H351" s="54">
        <f t="shared" si="256"/>
        <v>0.7434349277920751</v>
      </c>
      <c r="I351" s="53">
        <f t="shared" si="256"/>
        <v>0.42232679614737934</v>
      </c>
      <c r="J351" s="54">
        <f t="shared" si="256"/>
        <v>0.22870254914690655</v>
      </c>
      <c r="K351" s="53">
        <f t="shared" si="256"/>
        <v>0.6393608235542666</v>
      </c>
      <c r="L351" s="54">
        <f t="shared" si="256"/>
        <v>0.46305247291377921</v>
      </c>
      <c r="M351" s="53">
        <f t="shared" si="256"/>
        <v>0.48370860311297614</v>
      </c>
      <c r="N351" s="54">
        <f t="shared" si="256"/>
        <v>4.7172452883661606E-2</v>
      </c>
      <c r="O351" s="55">
        <f>O350/O$7</f>
        <v>0.2567311197124546</v>
      </c>
      <c r="P351" s="56"/>
      <c r="Q351" s="57"/>
      <c r="R351" s="57"/>
      <c r="S351" s="41"/>
    </row>
    <row r="352" spans="1:19">
      <c r="A352" s="181" t="s">
        <v>113</v>
      </c>
      <c r="B352" s="29" t="s">
        <v>55</v>
      </c>
      <c r="C352" s="30">
        <f>'2012 Actual Costs'!C352</f>
        <v>3.4348352879317838</v>
      </c>
      <c r="D352" s="31">
        <f>'2012 Actual Costs'!D352</f>
        <v>0</v>
      </c>
      <c r="E352" s="30">
        <f>'2012 Actual Costs'!E352</f>
        <v>9.3175618142670409</v>
      </c>
      <c r="F352" s="31">
        <f>'2012 Actual Costs'!F352</f>
        <v>114.82639537054321</v>
      </c>
      <c r="G352" s="30">
        <f>'2011 Actual Costs'!G352</f>
        <v>55.317897586985595</v>
      </c>
      <c r="H352" s="31">
        <f>'2011 Actual Costs'!H352</f>
        <v>10.158027947338196</v>
      </c>
      <c r="I352" s="30">
        <f>'2011 Actual Costs'!I352</f>
        <v>103.62967749356373</v>
      </c>
      <c r="J352" s="31">
        <f>'2011 Actual Costs'!J352</f>
        <v>59.570550672066553</v>
      </c>
      <c r="K352" s="30">
        <f>'2011 Actual Costs'!K352</f>
        <v>2.0598459676954692</v>
      </c>
      <c r="L352" s="31">
        <f>'2011 Actual Costs'!L352</f>
        <v>0.10116235546428463</v>
      </c>
      <c r="M352" s="30">
        <f>'2011 Actual Costs'!M352</f>
        <v>0</v>
      </c>
      <c r="N352" s="31">
        <f>'2011 Actual Costs'!N352</f>
        <v>17.083746634547257</v>
      </c>
      <c r="O352" s="32">
        <f>O353/O$7</f>
        <v>22.713095053601112</v>
      </c>
    </row>
    <row r="353" spans="1:20">
      <c r="A353" s="103" t="s">
        <v>64</v>
      </c>
      <c r="B353" s="35" t="s">
        <v>57</v>
      </c>
      <c r="C353" s="65">
        <f t="shared" ref="C353:N353" si="257">C$291*C352</f>
        <v>767.07048389105955</v>
      </c>
      <c r="D353" s="66">
        <f t="shared" si="257"/>
        <v>0</v>
      </c>
      <c r="E353" s="65">
        <f t="shared" si="257"/>
        <v>2080.8062251678548</v>
      </c>
      <c r="F353" s="66">
        <f t="shared" si="257"/>
        <v>24815.935313099453</v>
      </c>
      <c r="G353" s="65">
        <f t="shared" si="257"/>
        <v>12353.642289332342</v>
      </c>
      <c r="H353" s="66">
        <f t="shared" si="257"/>
        <v>3136.1749390253653</v>
      </c>
      <c r="I353" s="65">
        <f t="shared" si="257"/>
        <v>33060.960173778985</v>
      </c>
      <c r="J353" s="66">
        <f t="shared" si="257"/>
        <v>19004.783677162319</v>
      </c>
      <c r="K353" s="65">
        <f t="shared" si="257"/>
        <v>445.16771709436352</v>
      </c>
      <c r="L353" s="66">
        <f t="shared" si="257"/>
        <v>22.59166756268905</v>
      </c>
      <c r="M353" s="65">
        <f t="shared" si="257"/>
        <v>0</v>
      </c>
      <c r="N353" s="66">
        <f t="shared" si="257"/>
        <v>3815.1575546217805</v>
      </c>
      <c r="O353" s="67">
        <f>SUM(C353:N353)</f>
        <v>99502.290040736203</v>
      </c>
      <c r="P353" s="57"/>
      <c r="Q353" s="57"/>
      <c r="R353" s="60"/>
      <c r="S353" s="41"/>
      <c r="T353" s="8"/>
    </row>
    <row r="354" spans="1:20" ht="15.75">
      <c r="A354" s="42"/>
      <c r="B354" s="35" t="s">
        <v>58</v>
      </c>
      <c r="C354" s="43">
        <f>'Price Changes'!F69</f>
        <v>0.11025000000000001</v>
      </c>
      <c r="D354" s="44">
        <f t="shared" ref="D354:N354" si="258">C354</f>
        <v>0.11025000000000001</v>
      </c>
      <c r="E354" s="43">
        <f t="shared" si="258"/>
        <v>0.11025000000000001</v>
      </c>
      <c r="F354" s="44">
        <f t="shared" si="258"/>
        <v>0.11025000000000001</v>
      </c>
      <c r="G354" s="43">
        <f t="shared" si="258"/>
        <v>0.11025000000000001</v>
      </c>
      <c r="H354" s="44">
        <f t="shared" si="258"/>
        <v>0.11025000000000001</v>
      </c>
      <c r="I354" s="43">
        <f t="shared" si="258"/>
        <v>0.11025000000000001</v>
      </c>
      <c r="J354" s="44">
        <f t="shared" si="258"/>
        <v>0.11025000000000001</v>
      </c>
      <c r="K354" s="43">
        <f t="shared" si="258"/>
        <v>0.11025000000000001</v>
      </c>
      <c r="L354" s="44">
        <f t="shared" si="258"/>
        <v>0.11025000000000001</v>
      </c>
      <c r="M354" s="43">
        <f t="shared" si="258"/>
        <v>0.11025000000000001</v>
      </c>
      <c r="N354" s="44">
        <f t="shared" si="258"/>
        <v>0.11025000000000001</v>
      </c>
      <c r="O354" s="45">
        <f>IF(O353=0,0,+O355/O353)</f>
        <v>0.11025</v>
      </c>
      <c r="P354" s="46"/>
      <c r="Q354" s="46"/>
      <c r="R354" s="47"/>
      <c r="S354" s="41"/>
      <c r="T354" s="8"/>
    </row>
    <row r="355" spans="1:20">
      <c r="A355" s="42"/>
      <c r="B355" s="35" t="s">
        <v>15</v>
      </c>
      <c r="C355" s="48">
        <f t="shared" ref="C355:N355" si="259">C353*C354</f>
        <v>84.569520848989328</v>
      </c>
      <c r="D355" s="49">
        <f t="shared" si="259"/>
        <v>0</v>
      </c>
      <c r="E355" s="48">
        <f t="shared" si="259"/>
        <v>229.40888632475603</v>
      </c>
      <c r="F355" s="49">
        <f t="shared" si="259"/>
        <v>2735.9568682692152</v>
      </c>
      <c r="G355" s="48">
        <f t="shared" si="259"/>
        <v>1361.9890623988908</v>
      </c>
      <c r="H355" s="49">
        <f t="shared" si="259"/>
        <v>345.7632870275466</v>
      </c>
      <c r="I355" s="48">
        <f t="shared" si="259"/>
        <v>3644.9708591591334</v>
      </c>
      <c r="J355" s="49">
        <f t="shared" si="259"/>
        <v>2095.2774004071457</v>
      </c>
      <c r="K355" s="48">
        <f t="shared" si="259"/>
        <v>49.079740809653586</v>
      </c>
      <c r="L355" s="49">
        <f t="shared" si="259"/>
        <v>2.490731348786468</v>
      </c>
      <c r="M355" s="48">
        <f t="shared" si="259"/>
        <v>0</v>
      </c>
      <c r="N355" s="49">
        <f t="shared" si="259"/>
        <v>420.62112039705136</v>
      </c>
      <c r="O355" s="50">
        <f>SUM(C355:N355)</f>
        <v>10970.127476991167</v>
      </c>
      <c r="P355" s="40"/>
      <c r="Q355" s="40"/>
      <c r="R355" s="40"/>
      <c r="S355" s="41"/>
      <c r="T355" s="8"/>
    </row>
    <row r="356" spans="1:20" ht="16.5" thickBot="1">
      <c r="A356" s="51"/>
      <c r="B356" s="52" t="s">
        <v>59</v>
      </c>
      <c r="C356" s="53">
        <f t="shared" ref="C356:N356" si="260">C355/C$291</f>
        <v>0.37869059049447923</v>
      </c>
      <c r="D356" s="54">
        <f t="shared" si="260"/>
        <v>0</v>
      </c>
      <c r="E356" s="53">
        <f t="shared" si="260"/>
        <v>1.0272611900229414</v>
      </c>
      <c r="F356" s="54">
        <f t="shared" si="260"/>
        <v>12.659610089602392</v>
      </c>
      <c r="G356" s="53">
        <f t="shared" si="260"/>
        <v>6.0987982089651629</v>
      </c>
      <c r="H356" s="54">
        <f t="shared" si="260"/>
        <v>1.1199225811940363</v>
      </c>
      <c r="I356" s="53">
        <f t="shared" si="260"/>
        <v>11.425171943665402</v>
      </c>
      <c r="J356" s="54">
        <f t="shared" si="260"/>
        <v>6.5676532115953377</v>
      </c>
      <c r="K356" s="53">
        <f t="shared" si="260"/>
        <v>0.22709801793842554</v>
      </c>
      <c r="L356" s="54">
        <f t="shared" si="260"/>
        <v>1.1153149689937383E-2</v>
      </c>
      <c r="M356" s="53">
        <f t="shared" si="260"/>
        <v>0</v>
      </c>
      <c r="N356" s="54">
        <f t="shared" si="260"/>
        <v>1.8834830664588353</v>
      </c>
      <c r="O356" s="55">
        <f>O355/O$7</f>
        <v>2.5041187296595226</v>
      </c>
      <c r="P356" s="56"/>
      <c r="Q356" s="56"/>
      <c r="R356" s="57"/>
      <c r="S356" s="41"/>
      <c r="T356" s="8"/>
    </row>
    <row r="357" spans="1:20">
      <c r="A357" s="28" t="s">
        <v>74</v>
      </c>
      <c r="B357" s="29" t="s">
        <v>55</v>
      </c>
      <c r="C357" s="30">
        <f>'2012 Actual Costs'!C357</f>
        <v>0</v>
      </c>
      <c r="D357" s="31">
        <f>'2012 Actual Costs'!D357</f>
        <v>0</v>
      </c>
      <c r="E357" s="30">
        <f>'2012 Actual Costs'!E357</f>
        <v>0</v>
      </c>
      <c r="F357" s="31">
        <f>'2012 Actual Costs'!F357</f>
        <v>0</v>
      </c>
      <c r="G357" s="30">
        <f>'2011 Actual Costs'!G357</f>
        <v>0</v>
      </c>
      <c r="H357" s="31">
        <f>'2011 Actual Costs'!H357</f>
        <v>0</v>
      </c>
      <c r="I357" s="30">
        <f>'2011 Actual Costs'!I357</f>
        <v>0</v>
      </c>
      <c r="J357" s="31">
        <f>'2011 Actual Costs'!J357</f>
        <v>0</v>
      </c>
      <c r="K357" s="30">
        <f>'2011 Actual Costs'!K357</f>
        <v>0</v>
      </c>
      <c r="L357" s="31">
        <f>'2011 Actual Costs'!L357</f>
        <v>0</v>
      </c>
      <c r="M357" s="30">
        <f>'2011 Actual Costs'!M357</f>
        <v>0</v>
      </c>
      <c r="N357" s="31">
        <f>'2011 Actual Costs'!N357</f>
        <v>0</v>
      </c>
      <c r="O357" s="32">
        <f>O358/O$7</f>
        <v>0</v>
      </c>
    </row>
    <row r="358" spans="1:20">
      <c r="A358" s="103" t="s">
        <v>64</v>
      </c>
      <c r="B358" s="35" t="s">
        <v>57</v>
      </c>
      <c r="C358" s="36">
        <f t="shared" ref="C358:N358" si="261">C$291*C357</f>
        <v>0</v>
      </c>
      <c r="D358" s="37">
        <f t="shared" si="261"/>
        <v>0</v>
      </c>
      <c r="E358" s="36">
        <f t="shared" si="261"/>
        <v>0</v>
      </c>
      <c r="F358" s="37">
        <f t="shared" si="261"/>
        <v>0</v>
      </c>
      <c r="G358" s="36">
        <f t="shared" si="261"/>
        <v>0</v>
      </c>
      <c r="H358" s="37">
        <f t="shared" si="261"/>
        <v>0</v>
      </c>
      <c r="I358" s="36">
        <f t="shared" si="261"/>
        <v>0</v>
      </c>
      <c r="J358" s="37">
        <f t="shared" si="261"/>
        <v>0</v>
      </c>
      <c r="K358" s="36">
        <f t="shared" si="261"/>
        <v>0</v>
      </c>
      <c r="L358" s="37">
        <f t="shared" si="261"/>
        <v>0</v>
      </c>
      <c r="M358" s="36">
        <f t="shared" si="261"/>
        <v>0</v>
      </c>
      <c r="N358" s="37">
        <f t="shared" si="261"/>
        <v>0</v>
      </c>
      <c r="O358" s="38">
        <f>SUM(C358:N358)</f>
        <v>0</v>
      </c>
      <c r="P358" s="57"/>
      <c r="Q358" s="57"/>
      <c r="R358" s="60"/>
      <c r="S358" s="41"/>
      <c r="T358" s="8"/>
    </row>
    <row r="359" spans="1:20" ht="15.75">
      <c r="A359" s="42"/>
      <c r="B359" s="35" t="s">
        <v>58</v>
      </c>
      <c r="C359" s="43">
        <f>'Price Changes'!F70</f>
        <v>0</v>
      </c>
      <c r="D359" s="44">
        <f t="shared" ref="D359:N359" si="262">C359</f>
        <v>0</v>
      </c>
      <c r="E359" s="43">
        <f t="shared" si="262"/>
        <v>0</v>
      </c>
      <c r="F359" s="44">
        <f t="shared" si="262"/>
        <v>0</v>
      </c>
      <c r="G359" s="43">
        <f t="shared" si="262"/>
        <v>0</v>
      </c>
      <c r="H359" s="44">
        <f t="shared" si="262"/>
        <v>0</v>
      </c>
      <c r="I359" s="43">
        <f t="shared" si="262"/>
        <v>0</v>
      </c>
      <c r="J359" s="44">
        <f t="shared" si="262"/>
        <v>0</v>
      </c>
      <c r="K359" s="43">
        <f t="shared" si="262"/>
        <v>0</v>
      </c>
      <c r="L359" s="44">
        <f t="shared" si="262"/>
        <v>0</v>
      </c>
      <c r="M359" s="43">
        <f t="shared" si="262"/>
        <v>0</v>
      </c>
      <c r="N359" s="44">
        <f t="shared" si="262"/>
        <v>0</v>
      </c>
      <c r="O359" s="45">
        <f>IF(O358=0,0,+O360/O358)</f>
        <v>0</v>
      </c>
      <c r="P359" s="46"/>
      <c r="Q359" s="46"/>
      <c r="R359" s="47"/>
      <c r="S359" s="41"/>
      <c r="T359" s="8"/>
    </row>
    <row r="360" spans="1:20">
      <c r="A360" s="42"/>
      <c r="B360" s="35" t="s">
        <v>15</v>
      </c>
      <c r="C360" s="48">
        <f t="shared" ref="C360:N360" si="263">C358*C359</f>
        <v>0</v>
      </c>
      <c r="D360" s="49">
        <f t="shared" si="263"/>
        <v>0</v>
      </c>
      <c r="E360" s="48">
        <f t="shared" si="263"/>
        <v>0</v>
      </c>
      <c r="F360" s="49">
        <f t="shared" si="263"/>
        <v>0</v>
      </c>
      <c r="G360" s="48">
        <f t="shared" si="263"/>
        <v>0</v>
      </c>
      <c r="H360" s="49">
        <f t="shared" si="263"/>
        <v>0</v>
      </c>
      <c r="I360" s="48">
        <f t="shared" si="263"/>
        <v>0</v>
      </c>
      <c r="J360" s="49">
        <f t="shared" si="263"/>
        <v>0</v>
      </c>
      <c r="K360" s="48">
        <f t="shared" si="263"/>
        <v>0</v>
      </c>
      <c r="L360" s="49">
        <f t="shared" si="263"/>
        <v>0</v>
      </c>
      <c r="M360" s="48">
        <f t="shared" si="263"/>
        <v>0</v>
      </c>
      <c r="N360" s="49">
        <f t="shared" si="263"/>
        <v>0</v>
      </c>
      <c r="O360" s="50">
        <f>SUM(C360:N360)</f>
        <v>0</v>
      </c>
      <c r="P360" s="40"/>
      <c r="Q360" s="40"/>
      <c r="R360" s="40"/>
      <c r="S360" s="41"/>
      <c r="T360" s="8"/>
    </row>
    <row r="361" spans="1:20" ht="16.5" thickBot="1">
      <c r="A361" s="51"/>
      <c r="B361" s="52" t="s">
        <v>59</v>
      </c>
      <c r="C361" s="53">
        <f t="shared" ref="C361:N361" si="264">C360/C$291</f>
        <v>0</v>
      </c>
      <c r="D361" s="54">
        <f t="shared" si="264"/>
        <v>0</v>
      </c>
      <c r="E361" s="53">
        <f t="shared" si="264"/>
        <v>0</v>
      </c>
      <c r="F361" s="54">
        <f t="shared" si="264"/>
        <v>0</v>
      </c>
      <c r="G361" s="53">
        <f t="shared" si="264"/>
        <v>0</v>
      </c>
      <c r="H361" s="54">
        <f t="shared" si="264"/>
        <v>0</v>
      </c>
      <c r="I361" s="53">
        <f t="shared" si="264"/>
        <v>0</v>
      </c>
      <c r="J361" s="54">
        <f t="shared" si="264"/>
        <v>0</v>
      </c>
      <c r="K361" s="53">
        <f t="shared" si="264"/>
        <v>0</v>
      </c>
      <c r="L361" s="54">
        <f t="shared" si="264"/>
        <v>0</v>
      </c>
      <c r="M361" s="53">
        <f t="shared" si="264"/>
        <v>0</v>
      </c>
      <c r="N361" s="54">
        <f t="shared" si="264"/>
        <v>0</v>
      </c>
      <c r="O361" s="55">
        <f>O360/O$7</f>
        <v>0</v>
      </c>
      <c r="P361" s="56"/>
      <c r="Q361" s="56"/>
      <c r="R361" s="57"/>
      <c r="S361" s="41"/>
      <c r="T361" s="8"/>
    </row>
    <row r="362" spans="1:20">
      <c r="A362" s="181" t="s">
        <v>75</v>
      </c>
      <c r="B362" s="29" t="s">
        <v>55</v>
      </c>
      <c r="C362" s="30">
        <f>'2012 Actual Costs'!C362</f>
        <v>0</v>
      </c>
      <c r="D362" s="31">
        <f>'2012 Actual Costs'!D362</f>
        <v>0</v>
      </c>
      <c r="E362" s="30">
        <f>'2012 Actual Costs'!E362</f>
        <v>0</v>
      </c>
      <c r="F362" s="31">
        <f>'2012 Actual Costs'!F362</f>
        <v>0</v>
      </c>
      <c r="G362" s="30">
        <f>'2011 Actual Costs'!G362</f>
        <v>0</v>
      </c>
      <c r="H362" s="31">
        <f>'2011 Actual Costs'!H362</f>
        <v>0</v>
      </c>
      <c r="I362" s="30">
        <f>'2011 Actual Costs'!I362</f>
        <v>0</v>
      </c>
      <c r="J362" s="31">
        <f>'2011 Actual Costs'!J362</f>
        <v>0</v>
      </c>
      <c r="K362" s="30">
        <f>'2011 Actual Costs'!K362</f>
        <v>0</v>
      </c>
      <c r="L362" s="31">
        <f>'2011 Actual Costs'!L362</f>
        <v>0</v>
      </c>
      <c r="M362" s="30">
        <f>'2011 Actual Costs'!M362</f>
        <v>0</v>
      </c>
      <c r="N362" s="31">
        <f>'2011 Actual Costs'!N362</f>
        <v>0</v>
      </c>
      <c r="O362" s="32">
        <f>O363/O$7</f>
        <v>0</v>
      </c>
      <c r="P362" s="9"/>
      <c r="Q362" s="9"/>
      <c r="R362" s="9"/>
      <c r="S362" s="70"/>
    </row>
    <row r="363" spans="1:20">
      <c r="A363" s="34" t="s">
        <v>71</v>
      </c>
      <c r="B363" s="35" t="s">
        <v>57</v>
      </c>
      <c r="C363" s="65">
        <f t="shared" ref="C363:N363" si="265">C$291*C362</f>
        <v>0</v>
      </c>
      <c r="D363" s="66">
        <f t="shared" si="265"/>
        <v>0</v>
      </c>
      <c r="E363" s="65">
        <f t="shared" si="265"/>
        <v>0</v>
      </c>
      <c r="F363" s="66">
        <f t="shared" si="265"/>
        <v>0</v>
      </c>
      <c r="G363" s="65">
        <f t="shared" si="265"/>
        <v>0</v>
      </c>
      <c r="H363" s="66">
        <f t="shared" si="265"/>
        <v>0</v>
      </c>
      <c r="I363" s="65">
        <f t="shared" si="265"/>
        <v>0</v>
      </c>
      <c r="J363" s="66">
        <f t="shared" si="265"/>
        <v>0</v>
      </c>
      <c r="K363" s="65">
        <f t="shared" si="265"/>
        <v>0</v>
      </c>
      <c r="L363" s="66">
        <f t="shared" si="265"/>
        <v>0</v>
      </c>
      <c r="M363" s="65">
        <f t="shared" si="265"/>
        <v>0</v>
      </c>
      <c r="N363" s="66">
        <f t="shared" si="265"/>
        <v>0</v>
      </c>
      <c r="O363" s="67">
        <f>SUM(C363:N363)</f>
        <v>0</v>
      </c>
      <c r="P363" s="15"/>
      <c r="Q363" s="15"/>
      <c r="R363" s="15"/>
      <c r="S363" s="71"/>
    </row>
    <row r="364" spans="1:20" ht="15.75">
      <c r="A364" s="182" t="s">
        <v>64</v>
      </c>
      <c r="B364" s="35" t="s">
        <v>58</v>
      </c>
      <c r="C364" s="43">
        <f>'Price Changes'!F71</f>
        <v>0.96747900000000009</v>
      </c>
      <c r="D364" s="44">
        <f t="shared" ref="D364:N364" si="266">C364</f>
        <v>0.96747900000000009</v>
      </c>
      <c r="E364" s="43">
        <f t="shared" si="266"/>
        <v>0.96747900000000009</v>
      </c>
      <c r="F364" s="44">
        <f t="shared" si="266"/>
        <v>0.96747900000000009</v>
      </c>
      <c r="G364" s="43">
        <f t="shared" si="266"/>
        <v>0.96747900000000009</v>
      </c>
      <c r="H364" s="44">
        <f t="shared" si="266"/>
        <v>0.96747900000000009</v>
      </c>
      <c r="I364" s="43">
        <f t="shared" si="266"/>
        <v>0.96747900000000009</v>
      </c>
      <c r="J364" s="44">
        <f t="shared" si="266"/>
        <v>0.96747900000000009</v>
      </c>
      <c r="K364" s="43">
        <f t="shared" si="266"/>
        <v>0.96747900000000009</v>
      </c>
      <c r="L364" s="44">
        <f t="shared" si="266"/>
        <v>0.96747900000000009</v>
      </c>
      <c r="M364" s="43">
        <f t="shared" si="266"/>
        <v>0.96747900000000009</v>
      </c>
      <c r="N364" s="44">
        <f t="shared" si="266"/>
        <v>0.96747900000000009</v>
      </c>
      <c r="O364" s="45">
        <f>IF(O363=0,0,+O365/O363)</f>
        <v>0</v>
      </c>
      <c r="P364" s="15"/>
      <c r="Q364" s="72"/>
      <c r="R364" s="15"/>
      <c r="S364" s="15"/>
    </row>
    <row r="365" spans="1:20">
      <c r="A365" s="42"/>
      <c r="B365" s="35" t="s">
        <v>15</v>
      </c>
      <c r="C365" s="48">
        <f t="shared" ref="C365:N365" si="267">C363*C364</f>
        <v>0</v>
      </c>
      <c r="D365" s="49">
        <f t="shared" si="267"/>
        <v>0</v>
      </c>
      <c r="E365" s="48">
        <f t="shared" si="267"/>
        <v>0</v>
      </c>
      <c r="F365" s="49">
        <f t="shared" si="267"/>
        <v>0</v>
      </c>
      <c r="G365" s="48">
        <f t="shared" si="267"/>
        <v>0</v>
      </c>
      <c r="H365" s="49">
        <f t="shared" si="267"/>
        <v>0</v>
      </c>
      <c r="I365" s="48">
        <f t="shared" si="267"/>
        <v>0</v>
      </c>
      <c r="J365" s="49">
        <f t="shared" si="267"/>
        <v>0</v>
      </c>
      <c r="K365" s="48">
        <f t="shared" si="267"/>
        <v>0</v>
      </c>
      <c r="L365" s="49">
        <f t="shared" si="267"/>
        <v>0</v>
      </c>
      <c r="M365" s="48">
        <f t="shared" si="267"/>
        <v>0</v>
      </c>
      <c r="N365" s="49">
        <f t="shared" si="267"/>
        <v>0</v>
      </c>
      <c r="O365" s="50">
        <f>SUM(C365:N365)</f>
        <v>0</v>
      </c>
      <c r="P365" s="15"/>
      <c r="Q365" s="15"/>
      <c r="R365" s="15"/>
      <c r="S365" s="15"/>
    </row>
    <row r="366" spans="1:20" ht="13.5" thickBot="1">
      <c r="A366" s="51"/>
      <c r="B366" s="52" t="s">
        <v>59</v>
      </c>
      <c r="C366" s="53">
        <f t="shared" ref="C366:N366" si="268">C365/C$291</f>
        <v>0</v>
      </c>
      <c r="D366" s="54">
        <f t="shared" si="268"/>
        <v>0</v>
      </c>
      <c r="E366" s="53">
        <f t="shared" si="268"/>
        <v>0</v>
      </c>
      <c r="F366" s="54">
        <f t="shared" si="268"/>
        <v>0</v>
      </c>
      <c r="G366" s="53">
        <f t="shared" si="268"/>
        <v>0</v>
      </c>
      <c r="H366" s="54">
        <f t="shared" si="268"/>
        <v>0</v>
      </c>
      <c r="I366" s="53">
        <f t="shared" si="268"/>
        <v>0</v>
      </c>
      <c r="J366" s="54">
        <f t="shared" si="268"/>
        <v>0</v>
      </c>
      <c r="K366" s="53">
        <f t="shared" si="268"/>
        <v>0</v>
      </c>
      <c r="L366" s="54">
        <f t="shared" si="268"/>
        <v>0</v>
      </c>
      <c r="M366" s="53">
        <f t="shared" si="268"/>
        <v>0</v>
      </c>
      <c r="N366" s="54">
        <f t="shared" si="268"/>
        <v>0</v>
      </c>
      <c r="O366" s="55">
        <f>O365/O$7</f>
        <v>0</v>
      </c>
      <c r="P366" s="8"/>
      <c r="S366" s="41"/>
    </row>
    <row r="367" spans="1:20">
      <c r="A367" s="181" t="s">
        <v>76</v>
      </c>
      <c r="B367" s="29" t="s">
        <v>55</v>
      </c>
      <c r="C367" s="30">
        <f>'2012 Actual Costs'!C367</f>
        <v>0</v>
      </c>
      <c r="D367" s="31">
        <f>'2012 Actual Costs'!D367</f>
        <v>0</v>
      </c>
      <c r="E367" s="30">
        <f>'2012 Actual Costs'!E367</f>
        <v>0</v>
      </c>
      <c r="F367" s="31">
        <f>'2012 Actual Costs'!F367</f>
        <v>0</v>
      </c>
      <c r="G367" s="30">
        <f>'2011 Actual Costs'!G367</f>
        <v>0</v>
      </c>
      <c r="H367" s="31">
        <f>'2011 Actual Costs'!H367</f>
        <v>0</v>
      </c>
      <c r="I367" s="30">
        <f>'2011 Actual Costs'!I367</f>
        <v>0</v>
      </c>
      <c r="J367" s="31">
        <f>'2011 Actual Costs'!J367</f>
        <v>0</v>
      </c>
      <c r="K367" s="30">
        <f>'2011 Actual Costs'!K367</f>
        <v>0</v>
      </c>
      <c r="L367" s="31">
        <f>'2011 Actual Costs'!L367</f>
        <v>0</v>
      </c>
      <c r="M367" s="30">
        <f>'2011 Actual Costs'!M367</f>
        <v>0</v>
      </c>
      <c r="N367" s="31">
        <f>'2011 Actual Costs'!N367</f>
        <v>0</v>
      </c>
      <c r="O367" s="32">
        <f>O368/O$7</f>
        <v>0</v>
      </c>
    </row>
    <row r="368" spans="1:20">
      <c r="A368" s="34" t="s">
        <v>64</v>
      </c>
      <c r="B368" s="35" t="s">
        <v>57</v>
      </c>
      <c r="C368" s="65">
        <f t="shared" ref="C368:N368" si="269">C$291*C367</f>
        <v>0</v>
      </c>
      <c r="D368" s="66">
        <f t="shared" si="269"/>
        <v>0</v>
      </c>
      <c r="E368" s="65">
        <f t="shared" si="269"/>
        <v>0</v>
      </c>
      <c r="F368" s="66">
        <f t="shared" si="269"/>
        <v>0</v>
      </c>
      <c r="G368" s="65">
        <f t="shared" si="269"/>
        <v>0</v>
      </c>
      <c r="H368" s="66">
        <f t="shared" si="269"/>
        <v>0</v>
      </c>
      <c r="I368" s="65">
        <f t="shared" si="269"/>
        <v>0</v>
      </c>
      <c r="J368" s="66">
        <f t="shared" si="269"/>
        <v>0</v>
      </c>
      <c r="K368" s="65">
        <f t="shared" si="269"/>
        <v>0</v>
      </c>
      <c r="L368" s="66">
        <f t="shared" si="269"/>
        <v>0</v>
      </c>
      <c r="M368" s="65">
        <f t="shared" si="269"/>
        <v>0</v>
      </c>
      <c r="N368" s="66">
        <f t="shared" si="269"/>
        <v>0</v>
      </c>
      <c r="O368" s="67">
        <f>SUM(C368:N368)</f>
        <v>0</v>
      </c>
    </row>
    <row r="369" spans="1:32">
      <c r="A369" s="34"/>
      <c r="B369" s="35" t="s">
        <v>58</v>
      </c>
      <c r="C369" s="43">
        <f>'Price Changes'!F72</f>
        <v>0</v>
      </c>
      <c r="D369" s="44">
        <f t="shared" ref="D369:N369" si="270">C369</f>
        <v>0</v>
      </c>
      <c r="E369" s="43">
        <f t="shared" si="270"/>
        <v>0</v>
      </c>
      <c r="F369" s="44">
        <f t="shared" si="270"/>
        <v>0</v>
      </c>
      <c r="G369" s="43">
        <f t="shared" si="270"/>
        <v>0</v>
      </c>
      <c r="H369" s="44">
        <f t="shared" si="270"/>
        <v>0</v>
      </c>
      <c r="I369" s="43">
        <f t="shared" si="270"/>
        <v>0</v>
      </c>
      <c r="J369" s="44">
        <f t="shared" si="270"/>
        <v>0</v>
      </c>
      <c r="K369" s="43">
        <f t="shared" si="270"/>
        <v>0</v>
      </c>
      <c r="L369" s="44">
        <f t="shared" si="270"/>
        <v>0</v>
      </c>
      <c r="M369" s="43">
        <f t="shared" si="270"/>
        <v>0</v>
      </c>
      <c r="N369" s="44">
        <f t="shared" si="270"/>
        <v>0</v>
      </c>
      <c r="O369" s="45">
        <f>IF(O368=0,0,+O370/O368)</f>
        <v>0</v>
      </c>
    </row>
    <row r="370" spans="1:32">
      <c r="A370" s="42"/>
      <c r="B370" s="35" t="s">
        <v>15</v>
      </c>
      <c r="C370" s="48">
        <f t="shared" ref="C370:N370" si="271">C368*C369</f>
        <v>0</v>
      </c>
      <c r="D370" s="49">
        <f t="shared" si="271"/>
        <v>0</v>
      </c>
      <c r="E370" s="48">
        <f t="shared" si="271"/>
        <v>0</v>
      </c>
      <c r="F370" s="49">
        <f t="shared" si="271"/>
        <v>0</v>
      </c>
      <c r="G370" s="48">
        <f t="shared" si="271"/>
        <v>0</v>
      </c>
      <c r="H370" s="49">
        <f t="shared" si="271"/>
        <v>0</v>
      </c>
      <c r="I370" s="48">
        <f t="shared" si="271"/>
        <v>0</v>
      </c>
      <c r="J370" s="49">
        <f t="shared" si="271"/>
        <v>0</v>
      </c>
      <c r="K370" s="48">
        <f t="shared" si="271"/>
        <v>0</v>
      </c>
      <c r="L370" s="49">
        <f t="shared" si="271"/>
        <v>0</v>
      </c>
      <c r="M370" s="48">
        <f t="shared" si="271"/>
        <v>0</v>
      </c>
      <c r="N370" s="49">
        <f t="shared" si="271"/>
        <v>0</v>
      </c>
      <c r="O370" s="50">
        <f>SUM(C370:N370)</f>
        <v>0</v>
      </c>
    </row>
    <row r="371" spans="1:32" ht="13.5" thickBot="1">
      <c r="A371" s="51"/>
      <c r="B371" s="52" t="s">
        <v>59</v>
      </c>
      <c r="C371" s="53">
        <f t="shared" ref="C371:N371" si="272">C370/C$291</f>
        <v>0</v>
      </c>
      <c r="D371" s="54">
        <f t="shared" si="272"/>
        <v>0</v>
      </c>
      <c r="E371" s="53">
        <f t="shared" si="272"/>
        <v>0</v>
      </c>
      <c r="F371" s="54">
        <f t="shared" si="272"/>
        <v>0</v>
      </c>
      <c r="G371" s="53">
        <f t="shared" si="272"/>
        <v>0</v>
      </c>
      <c r="H371" s="54">
        <f t="shared" si="272"/>
        <v>0</v>
      </c>
      <c r="I371" s="53">
        <f t="shared" si="272"/>
        <v>0</v>
      </c>
      <c r="J371" s="54">
        <f t="shared" si="272"/>
        <v>0</v>
      </c>
      <c r="K371" s="53">
        <f t="shared" si="272"/>
        <v>0</v>
      </c>
      <c r="L371" s="54">
        <f t="shared" si="272"/>
        <v>0</v>
      </c>
      <c r="M371" s="53">
        <f t="shared" si="272"/>
        <v>0</v>
      </c>
      <c r="N371" s="54">
        <f t="shared" si="272"/>
        <v>0</v>
      </c>
      <c r="O371" s="55">
        <f>O370/O$7</f>
        <v>0</v>
      </c>
    </row>
    <row r="372" spans="1:32" ht="13.5" thickBot="1">
      <c r="A372" s="10" t="s">
        <v>1</v>
      </c>
      <c r="B372" s="73" t="s">
        <v>1</v>
      </c>
      <c r="C372" s="74" t="s">
        <v>1</v>
      </c>
      <c r="D372" s="75" t="s">
        <v>1</v>
      </c>
      <c r="E372" s="74" t="s">
        <v>1</v>
      </c>
      <c r="F372" s="75" t="s">
        <v>1</v>
      </c>
      <c r="G372" s="74" t="s">
        <v>1</v>
      </c>
      <c r="H372" s="75" t="s">
        <v>1</v>
      </c>
      <c r="I372" s="74" t="s">
        <v>1</v>
      </c>
      <c r="J372" s="75" t="s">
        <v>1</v>
      </c>
      <c r="K372" s="74" t="s">
        <v>1</v>
      </c>
      <c r="L372" s="75" t="s">
        <v>1</v>
      </c>
      <c r="M372" s="74" t="s">
        <v>1</v>
      </c>
      <c r="N372" s="75" t="s">
        <v>1</v>
      </c>
      <c r="O372" s="6" t="s">
        <v>1</v>
      </c>
      <c r="P372" s="9"/>
      <c r="Q372" s="9"/>
      <c r="R372" s="9"/>
      <c r="S372" s="70"/>
    </row>
    <row r="373" spans="1:32" ht="16.5" thickBot="1">
      <c r="A373" s="104" t="s">
        <v>81</v>
      </c>
      <c r="B373" s="105"/>
      <c r="C373" s="106">
        <v>0</v>
      </c>
      <c r="D373" s="107">
        <v>0</v>
      </c>
      <c r="E373" s="106">
        <v>0</v>
      </c>
      <c r="F373" s="107">
        <v>0</v>
      </c>
      <c r="G373" s="106">
        <v>0</v>
      </c>
      <c r="H373" s="107">
        <v>0</v>
      </c>
      <c r="I373" s="106">
        <v>0</v>
      </c>
      <c r="J373" s="107">
        <v>0</v>
      </c>
      <c r="K373" s="106">
        <v>0</v>
      </c>
      <c r="L373" s="107">
        <v>0</v>
      </c>
      <c r="M373" s="106">
        <v>0</v>
      </c>
      <c r="N373" s="107">
        <v>0</v>
      </c>
      <c r="O373" s="108">
        <f>SUM(C373:N373)</f>
        <v>0</v>
      </c>
      <c r="P373" s="9"/>
      <c r="Q373" s="9"/>
      <c r="R373" s="9"/>
      <c r="S373" s="70"/>
    </row>
    <row r="374" spans="1:32">
      <c r="A374" s="77" t="s">
        <v>82</v>
      </c>
      <c r="B374" s="29" t="s">
        <v>55</v>
      </c>
      <c r="C374" s="78">
        <f t="shared" ref="C374:N374" si="273">C375/C291</f>
        <v>605.92551951169332</v>
      </c>
      <c r="D374" s="79">
        <f t="shared" si="273"/>
        <v>373.18551367331844</v>
      </c>
      <c r="E374" s="78">
        <f t="shared" si="273"/>
        <v>583.57332292022568</v>
      </c>
      <c r="F374" s="79">
        <f t="shared" si="273"/>
        <v>761.29188047590219</v>
      </c>
      <c r="G374" s="78">
        <f t="shared" si="273"/>
        <v>671.64675213083785</v>
      </c>
      <c r="H374" s="79">
        <f t="shared" si="273"/>
        <v>511.64047046812851</v>
      </c>
      <c r="I374" s="78">
        <f t="shared" si="273"/>
        <v>793.41275507958619</v>
      </c>
      <c r="J374" s="79">
        <f t="shared" si="273"/>
        <v>790.87363561068071</v>
      </c>
      <c r="K374" s="78">
        <f t="shared" si="273"/>
        <v>903.52135870924383</v>
      </c>
      <c r="L374" s="79">
        <f t="shared" si="273"/>
        <v>526.02907406096051</v>
      </c>
      <c r="M374" s="78">
        <f t="shared" si="273"/>
        <v>611.20927150778255</v>
      </c>
      <c r="N374" s="79">
        <f t="shared" si="273"/>
        <v>595.13674365877853</v>
      </c>
      <c r="O374" s="32">
        <f>O375/O$7</f>
        <v>432.92498607667943</v>
      </c>
      <c r="P374" s="57"/>
      <c r="Q374" s="57"/>
      <c r="R374" s="57"/>
      <c r="S374" s="41"/>
    </row>
    <row r="375" spans="1:32" ht="15.75">
      <c r="A375" s="34"/>
      <c r="B375" s="35" t="s">
        <v>57</v>
      </c>
      <c r="C375" s="36">
        <f t="shared" ref="C375:N375" si="274">C293+C298+C303+C318+C323+C328+C333+C338+C343+C348+C358+C368+C353+C313+C308+C363</f>
        <v>135315.82812334463</v>
      </c>
      <c r="D375" s="37">
        <f t="shared" si="274"/>
        <v>75274.949063207256</v>
      </c>
      <c r="E375" s="36">
        <f t="shared" si="274"/>
        <v>130324.11561949147</v>
      </c>
      <c r="F375" s="37">
        <f t="shared" si="274"/>
        <v>164528.11219330761</v>
      </c>
      <c r="G375" s="36">
        <f t="shared" si="274"/>
        <v>149992.75248248593</v>
      </c>
      <c r="H375" s="37">
        <f t="shared" si="274"/>
        <v>157963.14300294468</v>
      </c>
      <c r="I375" s="36">
        <f t="shared" si="274"/>
        <v>253122.35000136541</v>
      </c>
      <c r="J375" s="37">
        <f t="shared" si="274"/>
        <v>252312.29510523623</v>
      </c>
      <c r="K375" s="36">
        <f t="shared" si="274"/>
        <v>195266.31938046747</v>
      </c>
      <c r="L375" s="37">
        <f t="shared" si="274"/>
        <v>117473.28257584866</v>
      </c>
      <c r="M375" s="36">
        <f t="shared" si="274"/>
        <v>132092.7100041564</v>
      </c>
      <c r="N375" s="37">
        <f t="shared" si="274"/>
        <v>132906.4690652366</v>
      </c>
      <c r="O375" s="38">
        <f>SUM(C375:N375)</f>
        <v>1896572.3266170926</v>
      </c>
      <c r="P375" s="56"/>
      <c r="Q375" s="47"/>
      <c r="R375" s="47"/>
      <c r="S375" s="41"/>
    </row>
    <row r="376" spans="1:32">
      <c r="A376" s="42"/>
      <c r="B376" s="35" t="s">
        <v>58</v>
      </c>
      <c r="C376" s="81">
        <f t="shared" ref="C376:N376" si="275">C377/C375</f>
        <v>0.19175840851961895</v>
      </c>
      <c r="D376" s="82">
        <f t="shared" si="275"/>
        <v>0.1826160268240514</v>
      </c>
      <c r="E376" s="81">
        <f t="shared" si="275"/>
        <v>0.17443761705513888</v>
      </c>
      <c r="F376" s="82">
        <f t="shared" si="275"/>
        <v>0.16285427948880835</v>
      </c>
      <c r="G376" s="81">
        <f t="shared" si="275"/>
        <v>0.18834435111162073</v>
      </c>
      <c r="H376" s="82">
        <f t="shared" si="275"/>
        <v>0.20692870764431034</v>
      </c>
      <c r="I376" s="81">
        <f t="shared" si="275"/>
        <v>0.18776401962659714</v>
      </c>
      <c r="J376" s="82">
        <f t="shared" si="275"/>
        <v>0.20628602566121804</v>
      </c>
      <c r="K376" s="81">
        <f t="shared" si="275"/>
        <v>0.18808642844240142</v>
      </c>
      <c r="L376" s="82">
        <f t="shared" si="275"/>
        <v>0.18099446369126029</v>
      </c>
      <c r="M376" s="81">
        <f t="shared" si="275"/>
        <v>0.20983546527705135</v>
      </c>
      <c r="N376" s="82">
        <f t="shared" si="275"/>
        <v>0.19781055208958354</v>
      </c>
      <c r="O376" s="45">
        <f>IF(O375=0,0,+O377/O375)</f>
        <v>0.19072937691397304</v>
      </c>
      <c r="P376" s="40"/>
      <c r="Q376" s="40"/>
      <c r="R376" s="40"/>
      <c r="S376" s="41"/>
    </row>
    <row r="377" spans="1:32" ht="15.75">
      <c r="A377" s="83" t="s">
        <v>470</v>
      </c>
      <c r="B377" s="35" t="s">
        <v>15</v>
      </c>
      <c r="C377" s="48">
        <f t="shared" ref="C377:N377" si="276">C295+C300+C310+C305+C320+C325+C330+C335+C340+C345+C350+C360+C370+C373+C355+C315+C365</f>
        <v>25947.947848446864</v>
      </c>
      <c r="D377" s="49">
        <f t="shared" si="276"/>
        <v>13746.412117305759</v>
      </c>
      <c r="E377" s="48">
        <f t="shared" si="276"/>
        <v>22733.428173482494</v>
      </c>
      <c r="F377" s="49">
        <f t="shared" si="276"/>
        <v>26794.107166894933</v>
      </c>
      <c r="G377" s="48">
        <f t="shared" si="276"/>
        <v>28250.287637759753</v>
      </c>
      <c r="H377" s="49">
        <f t="shared" si="276"/>
        <v>32687.109037032726</v>
      </c>
      <c r="I377" s="48">
        <f t="shared" si="276"/>
        <v>47527.269893586767</v>
      </c>
      <c r="J377" s="49">
        <f t="shared" si="276"/>
        <v>52048.500582719578</v>
      </c>
      <c r="K377" s="48">
        <f t="shared" si="276"/>
        <v>36726.944607365396</v>
      </c>
      <c r="L377" s="49">
        <f t="shared" si="276"/>
        <v>21262.0137778676</v>
      </c>
      <c r="M377" s="48">
        <f t="shared" si="276"/>
        <v>27717.735263428774</v>
      </c>
      <c r="N377" s="49">
        <f t="shared" si="276"/>
        <v>26290.302022071606</v>
      </c>
      <c r="O377" s="50">
        <f>SUM(C377:N377)</f>
        <v>361732.05812796223</v>
      </c>
      <c r="P377" s="80"/>
      <c r="Q377" s="57"/>
      <c r="R377" s="57"/>
      <c r="S377" s="41"/>
    </row>
    <row r="378" spans="1:32" ht="13.5" thickBot="1">
      <c r="A378" s="51"/>
      <c r="B378" s="52" t="s">
        <v>59</v>
      </c>
      <c r="C378" s="53">
        <f t="shared" ref="C378:N378" si="277">C377/C291</f>
        <v>116.19131330298563</v>
      </c>
      <c r="D378" s="54">
        <f t="shared" si="277"/>
        <v>68.14965577531413</v>
      </c>
      <c r="E378" s="53">
        <f t="shared" si="277"/>
        <v>101.79713982715323</v>
      </c>
      <c r="F378" s="54">
        <f t="shared" si="277"/>
        <v>123.97964067558306</v>
      </c>
      <c r="G378" s="53">
        <f t="shared" si="277"/>
        <v>126.50087170631024</v>
      </c>
      <c r="H378" s="54">
        <f t="shared" si="277"/>
        <v>105.87310133249676</v>
      </c>
      <c r="I378" s="53">
        <f t="shared" si="277"/>
        <v>148.97436811675593</v>
      </c>
      <c r="J378" s="54">
        <f t="shared" si="277"/>
        <v>163.14617909036568</v>
      </c>
      <c r="K378" s="53">
        <f t="shared" si="277"/>
        <v>169.94010538104749</v>
      </c>
      <c r="L378" s="54">
        <f t="shared" si="277"/>
        <v>95.208350145673776</v>
      </c>
      <c r="M378" s="53">
        <f t="shared" si="277"/>
        <v>128.25338186848316</v>
      </c>
      <c r="N378" s="54">
        <f t="shared" si="277"/>
        <v>117.72432783193993</v>
      </c>
      <c r="O378" s="55">
        <f>O377/O$291</f>
        <v>124.15880043830582</v>
      </c>
      <c r="P378" s="9"/>
      <c r="Q378" s="9"/>
      <c r="R378" s="9"/>
      <c r="S378" s="70"/>
    </row>
    <row r="379" spans="1:32" ht="13.5" thickBot="1">
      <c r="A379" s="10" t="s">
        <v>1</v>
      </c>
      <c r="B379" s="73" t="s">
        <v>1</v>
      </c>
      <c r="C379" s="74" t="s">
        <v>1</v>
      </c>
      <c r="D379" s="75" t="s">
        <v>1</v>
      </c>
      <c r="E379" s="74" t="s">
        <v>1</v>
      </c>
      <c r="F379" s="75" t="s">
        <v>1</v>
      </c>
      <c r="G379" s="74" t="s">
        <v>1</v>
      </c>
      <c r="H379" s="75" t="s">
        <v>1</v>
      </c>
      <c r="I379" s="74" t="s">
        <v>1</v>
      </c>
      <c r="J379" s="75" t="s">
        <v>1</v>
      </c>
      <c r="K379" s="74" t="s">
        <v>1</v>
      </c>
      <c r="L379" s="75" t="s">
        <v>1</v>
      </c>
      <c r="M379" s="74" t="s">
        <v>1</v>
      </c>
      <c r="N379" s="75" t="s">
        <v>1</v>
      </c>
      <c r="O379" s="6" t="s">
        <v>1</v>
      </c>
      <c r="P379" s="39"/>
      <c r="Q379" s="39"/>
      <c r="R379" s="39"/>
      <c r="S379" s="41"/>
    </row>
    <row r="380" spans="1:32" ht="54.75" customHeight="1" thickBot="1">
      <c r="A380" s="580" t="s">
        <v>90</v>
      </c>
      <c r="B380" s="658"/>
      <c r="C380" s="658"/>
      <c r="D380" s="658"/>
      <c r="E380" s="658"/>
      <c r="F380" s="658"/>
      <c r="G380" s="658"/>
      <c r="H380" s="658"/>
      <c r="I380" s="658"/>
      <c r="J380" s="658"/>
      <c r="K380" s="658"/>
      <c r="L380" s="658"/>
      <c r="M380" s="658"/>
      <c r="N380" s="658"/>
      <c r="O380" s="657"/>
    </row>
    <row r="381" spans="1:32">
      <c r="A381" s="10" t="s">
        <v>1</v>
      </c>
      <c r="B381" s="3"/>
      <c r="C381" s="96"/>
      <c r="D381" s="97"/>
      <c r="E381" s="96"/>
      <c r="F381" s="97"/>
      <c r="G381" s="96"/>
      <c r="H381" s="97"/>
      <c r="I381" s="96"/>
      <c r="O381" s="2"/>
    </row>
    <row r="382" spans="1:32">
      <c r="A382" s="99" t="str">
        <f>A4</f>
        <v>2014 BUDGET</v>
      </c>
      <c r="B382" s="3"/>
      <c r="O382" s="2"/>
      <c r="S382" s="8"/>
    </row>
    <row r="383" spans="1:32">
      <c r="A383" s="99" t="str">
        <f>A5</f>
        <v>Bid Dollars</v>
      </c>
      <c r="B383" s="3"/>
      <c r="O383" s="2"/>
      <c r="P383" s="9"/>
      <c r="Q383" s="9"/>
      <c r="R383" s="9"/>
      <c r="S383" s="9"/>
      <c r="Y383" s="9"/>
      <c r="Z383" s="9"/>
      <c r="AA383" s="9"/>
      <c r="AB383" s="9"/>
      <c r="AC383" s="9"/>
      <c r="AD383" s="9"/>
      <c r="AE383" s="9"/>
      <c r="AF383" s="9"/>
    </row>
    <row r="384" spans="1:32">
      <c r="A384" s="4"/>
      <c r="B384" s="3"/>
      <c r="C384" s="22" t="str">
        <f t="shared" ref="C384:N384" si="278">C6</f>
        <v>JAN</v>
      </c>
      <c r="D384" s="23" t="str">
        <f t="shared" si="278"/>
        <v>FEB</v>
      </c>
      <c r="E384" s="22" t="str">
        <f t="shared" si="278"/>
        <v>MAR</v>
      </c>
      <c r="F384" s="23" t="str">
        <f t="shared" si="278"/>
        <v>APR</v>
      </c>
      <c r="G384" s="22" t="str">
        <f t="shared" si="278"/>
        <v>MAY</v>
      </c>
      <c r="H384" s="23" t="str">
        <f t="shared" si="278"/>
        <v>JUNE</v>
      </c>
      <c r="I384" s="22" t="str">
        <f t="shared" si="278"/>
        <v>JULY</v>
      </c>
      <c r="J384" s="23" t="str">
        <f t="shared" si="278"/>
        <v>AUG</v>
      </c>
      <c r="K384" s="22" t="str">
        <f t="shared" si="278"/>
        <v>SEPT</v>
      </c>
      <c r="L384" s="23" t="str">
        <f t="shared" si="278"/>
        <v>OCT</v>
      </c>
      <c r="M384" s="22" t="str">
        <f t="shared" si="278"/>
        <v>NOV</v>
      </c>
      <c r="N384" s="23" t="str">
        <f t="shared" si="278"/>
        <v>DEC</v>
      </c>
      <c r="O384" s="116" t="s">
        <v>13</v>
      </c>
      <c r="P384" s="15"/>
      <c r="Q384" s="15"/>
      <c r="R384" s="15"/>
      <c r="S384" s="15"/>
      <c r="AC384" s="15"/>
      <c r="AD384" s="15"/>
      <c r="AE384" s="15"/>
      <c r="AF384" s="15"/>
    </row>
    <row r="385" spans="1:32" ht="16.5" thickBot="1">
      <c r="A385" s="19" t="s">
        <v>53</v>
      </c>
      <c r="B385" s="3"/>
      <c r="C385" s="117">
        <f>C7+C103+C197+C291</f>
        <v>987.12222147499165</v>
      </c>
      <c r="D385" s="118">
        <f t="shared" ref="D385:N385" si="279">D7+D103+D197+D291</f>
        <v>959.43766398226762</v>
      </c>
      <c r="E385" s="117">
        <f t="shared" si="279"/>
        <v>1029.9817521983377</v>
      </c>
      <c r="F385" s="118">
        <f t="shared" si="279"/>
        <v>1010.0841772128038</v>
      </c>
      <c r="G385" s="117">
        <f t="shared" si="279"/>
        <v>1165.7841251199259</v>
      </c>
      <c r="H385" s="118">
        <f t="shared" si="279"/>
        <v>1440.3371828465822</v>
      </c>
      <c r="I385" s="117">
        <f t="shared" si="279"/>
        <v>1437.6754864428979</v>
      </c>
      <c r="J385" s="118">
        <f t="shared" si="279"/>
        <v>1492.2663237963177</v>
      </c>
      <c r="K385" s="117">
        <f t="shared" si="279"/>
        <v>1255.6034833737133</v>
      </c>
      <c r="L385" s="118">
        <f t="shared" si="279"/>
        <v>1291.5143093205641</v>
      </c>
      <c r="M385" s="117">
        <f t="shared" si="279"/>
        <v>1131.7563997763532</v>
      </c>
      <c r="N385" s="118">
        <f t="shared" si="279"/>
        <v>1051.1812291710207</v>
      </c>
      <c r="O385" s="119">
        <f>SUM(C385:N385)</f>
        <v>14252.744354715776</v>
      </c>
      <c r="P385" s="15"/>
      <c r="Q385" s="72"/>
      <c r="R385" s="15"/>
      <c r="S385" s="15"/>
      <c r="Y385" s="15"/>
      <c r="AC385" s="15"/>
      <c r="AD385" s="15"/>
      <c r="AE385" s="72"/>
      <c r="AF385" s="15"/>
    </row>
    <row r="386" spans="1:32">
      <c r="A386" s="28" t="s">
        <v>54</v>
      </c>
      <c r="B386" s="29" t="s">
        <v>55</v>
      </c>
      <c r="C386" s="120">
        <f t="shared" ref="C386:O386" si="280">C387/C$385</f>
        <v>19.108281353698839</v>
      </c>
      <c r="D386" s="121">
        <f t="shared" si="280"/>
        <v>17.660262771285279</v>
      </c>
      <c r="E386" s="120">
        <f t="shared" si="280"/>
        <v>22.112622778970241</v>
      </c>
      <c r="F386" s="121">
        <f t="shared" si="280"/>
        <v>15.378055513527514</v>
      </c>
      <c r="G386" s="120">
        <f t="shared" si="280"/>
        <v>11.691166503230681</v>
      </c>
      <c r="H386" s="121">
        <f t="shared" si="280"/>
        <v>19.572412420257521</v>
      </c>
      <c r="I386" s="120">
        <f t="shared" si="280"/>
        <v>17.636181802197889</v>
      </c>
      <c r="J386" s="121">
        <f t="shared" si="280"/>
        <v>20.967364449286681</v>
      </c>
      <c r="K386" s="120">
        <f t="shared" si="280"/>
        <v>17.646967403322076</v>
      </c>
      <c r="L386" s="121">
        <f t="shared" si="280"/>
        <v>18.189576480849965</v>
      </c>
      <c r="M386" s="120">
        <f t="shared" si="280"/>
        <v>18.576427509714222</v>
      </c>
      <c r="N386" s="121">
        <f t="shared" si="280"/>
        <v>21.542768146600174</v>
      </c>
      <c r="O386" s="32">
        <f t="shared" si="280"/>
        <v>18.37527822367521</v>
      </c>
    </row>
    <row r="387" spans="1:32">
      <c r="A387" s="34" t="s">
        <v>56</v>
      </c>
      <c r="B387" s="35" t="s">
        <v>57</v>
      </c>
      <c r="C387" s="36">
        <f t="shared" ref="C387:N387" si="281">C9+C105+C293+C199</f>
        <v>18862.209138432358</v>
      </c>
      <c r="D387" s="37">
        <f t="shared" si="281"/>
        <v>16943.921258594957</v>
      </c>
      <c r="E387" s="36">
        <f t="shared" si="281"/>
        <v>22775.597955584646</v>
      </c>
      <c r="F387" s="37">
        <f t="shared" si="281"/>
        <v>15533.130550514259</v>
      </c>
      <c r="G387" s="36">
        <f t="shared" si="281"/>
        <v>13629.376313600162</v>
      </c>
      <c r="H387" s="37">
        <f t="shared" si="281"/>
        <v>28190.873366905173</v>
      </c>
      <c r="I387" s="36">
        <f t="shared" si="281"/>
        <v>25355.106251470235</v>
      </c>
      <c r="J387" s="37">
        <f t="shared" si="281"/>
        <v>31288.891866434638</v>
      </c>
      <c r="K387" s="36">
        <f t="shared" si="281"/>
        <v>22157.59374259357</v>
      </c>
      <c r="L387" s="37">
        <f t="shared" si="281"/>
        <v>23492.098305498519</v>
      </c>
      <c r="M387" s="36">
        <f t="shared" si="281"/>
        <v>21023.990719100573</v>
      </c>
      <c r="N387" s="37">
        <f t="shared" si="281"/>
        <v>22645.353500089484</v>
      </c>
      <c r="O387" s="38">
        <f>SUM(C387:N387)</f>
        <v>261898.14296881857</v>
      </c>
      <c r="P387" s="57"/>
      <c r="Q387" s="57"/>
      <c r="R387" s="57"/>
      <c r="S387" s="41"/>
    </row>
    <row r="388" spans="1:32">
      <c r="A388" s="42"/>
      <c r="B388" s="35" t="s">
        <v>58</v>
      </c>
      <c r="C388" s="81">
        <f t="shared" ref="C388:N388" si="282">IF(C387=0,0,C389/C387)</f>
        <v>0.28463682136187068</v>
      </c>
      <c r="D388" s="82">
        <f t="shared" si="282"/>
        <v>0.30664130450374377</v>
      </c>
      <c r="E388" s="81">
        <f t="shared" si="282"/>
        <v>0.34102848430740806</v>
      </c>
      <c r="F388" s="82">
        <f t="shared" si="282"/>
        <v>0.23429614524788292</v>
      </c>
      <c r="G388" s="81">
        <f t="shared" si="282"/>
        <v>0.30564739395825208</v>
      </c>
      <c r="H388" s="82">
        <f t="shared" si="282"/>
        <v>0.30659597056800036</v>
      </c>
      <c r="I388" s="81">
        <f t="shared" si="282"/>
        <v>0.30613373309402292</v>
      </c>
      <c r="J388" s="82">
        <f t="shared" si="282"/>
        <v>0.30917740995265386</v>
      </c>
      <c r="K388" s="81">
        <f t="shared" si="282"/>
        <v>0.31542647529424561</v>
      </c>
      <c r="L388" s="82">
        <f t="shared" si="282"/>
        <v>0.31552833811206316</v>
      </c>
      <c r="M388" s="81">
        <f t="shared" si="282"/>
        <v>0.36728062950388934</v>
      </c>
      <c r="N388" s="82">
        <f t="shared" si="282"/>
        <v>0.33147704316281951</v>
      </c>
      <c r="O388" s="45">
        <f>IF(O387=0,0,+O389/O387)</f>
        <v>0.31250913776183076</v>
      </c>
      <c r="P388" s="47"/>
      <c r="Q388" s="47"/>
      <c r="R388" s="47"/>
      <c r="S388" s="41"/>
    </row>
    <row r="389" spans="1:32">
      <c r="A389" s="42"/>
      <c r="B389" s="35" t="s">
        <v>15</v>
      </c>
      <c r="C389" s="48">
        <f t="shared" ref="C389:N389" si="283">C11+C107+C295+C201</f>
        <v>5368.8792530262153</v>
      </c>
      <c r="D389" s="49">
        <f t="shared" si="283"/>
        <v>5195.7061181442741</v>
      </c>
      <c r="E389" s="48">
        <f t="shared" si="283"/>
        <v>7767.1276499879332</v>
      </c>
      <c r="F389" s="49">
        <f t="shared" si="283"/>
        <v>3639.3526116176163</v>
      </c>
      <c r="G389" s="48">
        <f t="shared" si="283"/>
        <v>4165.7833515282182</v>
      </c>
      <c r="H389" s="49">
        <f t="shared" si="283"/>
        <v>8643.2081810858836</v>
      </c>
      <c r="I389" s="48">
        <f t="shared" si="283"/>
        <v>7762.0533297581806</v>
      </c>
      <c r="J389" s="49">
        <f t="shared" si="283"/>
        <v>9673.818547552919</v>
      </c>
      <c r="K389" s="48">
        <f t="shared" si="283"/>
        <v>6989.0916952281223</v>
      </c>
      <c r="L389" s="49">
        <f t="shared" si="283"/>
        <v>7412.4227370991621</v>
      </c>
      <c r="M389" s="48">
        <f t="shared" si="283"/>
        <v>7721.704545995186</v>
      </c>
      <c r="N389" s="49">
        <f t="shared" si="283"/>
        <v>7506.4148195864673</v>
      </c>
      <c r="O389" s="50">
        <f>SUM(C389:N389)</f>
        <v>81845.562840610175</v>
      </c>
      <c r="P389" s="40"/>
      <c r="Q389" s="40"/>
      <c r="R389" s="40"/>
      <c r="S389" s="41"/>
    </row>
    <row r="390" spans="1:32" ht="13.5" thickBot="1">
      <c r="A390" s="51"/>
      <c r="B390" s="52" t="s">
        <v>59</v>
      </c>
      <c r="C390" s="53">
        <f t="shared" ref="C390:O390" si="284">C389/C$385</f>
        <v>5.4389204662051407</v>
      </c>
      <c r="D390" s="54">
        <f t="shared" si="284"/>
        <v>5.4153660140658202</v>
      </c>
      <c r="E390" s="53">
        <f t="shared" si="284"/>
        <v>7.541034230373687</v>
      </c>
      <c r="F390" s="54">
        <f t="shared" si="284"/>
        <v>3.6030191282274489</v>
      </c>
      <c r="G390" s="53">
        <f t="shared" si="284"/>
        <v>3.5733745740444682</v>
      </c>
      <c r="H390" s="54">
        <f t="shared" si="284"/>
        <v>6.0008227823460398</v>
      </c>
      <c r="I390" s="53">
        <f t="shared" si="284"/>
        <v>5.3990301726317131</v>
      </c>
      <c r="J390" s="54">
        <f t="shared" si="284"/>
        <v>6.4826354339638081</v>
      </c>
      <c r="K390" s="53">
        <f t="shared" si="284"/>
        <v>5.5663207276623288</v>
      </c>
      <c r="L390" s="54">
        <f t="shared" si="284"/>
        <v>5.7393268379648594</v>
      </c>
      <c r="M390" s="53">
        <f t="shared" si="284"/>
        <v>6.8227619897012071</v>
      </c>
      <c r="N390" s="54">
        <f t="shared" si="284"/>
        <v>7.1409330867771992</v>
      </c>
      <c r="O390" s="55">
        <f t="shared" si="284"/>
        <v>5.7424423538144849</v>
      </c>
      <c r="P390" s="57"/>
      <c r="Q390" s="57"/>
      <c r="R390" s="57"/>
      <c r="S390" s="41"/>
    </row>
    <row r="391" spans="1:32">
      <c r="A391" s="28" t="s">
        <v>60</v>
      </c>
      <c r="B391" s="29" t="s">
        <v>55</v>
      </c>
      <c r="C391" s="120">
        <f t="shared" ref="C391:N391" si="285">C392/C$385</f>
        <v>0.24167213957164893</v>
      </c>
      <c r="D391" s="121">
        <f t="shared" si="285"/>
        <v>0.96275581543275879</v>
      </c>
      <c r="E391" s="120">
        <f t="shared" si="285"/>
        <v>0.60831436199477962</v>
      </c>
      <c r="F391" s="121">
        <f t="shared" si="285"/>
        <v>0.15126613368693015</v>
      </c>
      <c r="G391" s="120">
        <f t="shared" si="285"/>
        <v>0.33955758868052255</v>
      </c>
      <c r="H391" s="121">
        <f t="shared" si="285"/>
        <v>0.65175656376554292</v>
      </c>
      <c r="I391" s="120">
        <f t="shared" si="285"/>
        <v>0.29524646668410964</v>
      </c>
      <c r="J391" s="121">
        <f t="shared" si="285"/>
        <v>0</v>
      </c>
      <c r="K391" s="120">
        <f t="shared" si="285"/>
        <v>1.7109843720667262</v>
      </c>
      <c r="L391" s="121">
        <f t="shared" si="285"/>
        <v>2.1104633041284289</v>
      </c>
      <c r="M391" s="120">
        <f t="shared" si="285"/>
        <v>0.38146073088148086</v>
      </c>
      <c r="N391" s="121">
        <f t="shared" si="285"/>
        <v>0.14838389778042518</v>
      </c>
      <c r="O391" s="32">
        <f>O392/O$385</f>
        <v>0.64285075737633701</v>
      </c>
      <c r="P391" s="58"/>
      <c r="Q391" s="58"/>
      <c r="R391" s="58"/>
      <c r="S391" s="41"/>
    </row>
    <row r="392" spans="1:32">
      <c r="A392" s="34" t="s">
        <v>56</v>
      </c>
      <c r="B392" s="35" t="s">
        <v>57</v>
      </c>
      <c r="C392" s="36">
        <f t="shared" ref="C392:N392" si="286">C14+C110+C298+C204</f>
        <v>238.55993928258033</v>
      </c>
      <c r="D392" s="37">
        <f t="shared" si="286"/>
        <v>923.70419054414924</v>
      </c>
      <c r="E392" s="36">
        <f t="shared" si="286"/>
        <v>626.55269245479701</v>
      </c>
      <c r="F392" s="37">
        <f t="shared" si="286"/>
        <v>152.79152818532481</v>
      </c>
      <c r="G392" s="36">
        <f t="shared" si="286"/>
        <v>395.85084644775463</v>
      </c>
      <c r="H392" s="37">
        <f t="shared" si="286"/>
        <v>938.7492129558309</v>
      </c>
      <c r="I392" s="36">
        <f t="shared" si="286"/>
        <v>424.46860761062413</v>
      </c>
      <c r="J392" s="37">
        <f t="shared" si="286"/>
        <v>0</v>
      </c>
      <c r="K392" s="36">
        <f t="shared" si="286"/>
        <v>2148.317937564967</v>
      </c>
      <c r="L392" s="37">
        <f t="shared" si="286"/>
        <v>2725.6935565778231</v>
      </c>
      <c r="M392" s="36">
        <f t="shared" si="286"/>
        <v>431.72062343848114</v>
      </c>
      <c r="N392" s="37">
        <f t="shared" si="286"/>
        <v>155.97836805801444</v>
      </c>
      <c r="O392" s="38">
        <f>SUM(C392:N392)</f>
        <v>9162.3875031203479</v>
      </c>
      <c r="P392" s="57"/>
      <c r="Q392" s="57"/>
      <c r="R392" s="57"/>
      <c r="S392" s="41"/>
    </row>
    <row r="393" spans="1:32">
      <c r="A393" s="42"/>
      <c r="B393" s="35" t="s">
        <v>58</v>
      </c>
      <c r="C393" s="81">
        <f t="shared" ref="C393:N393" si="287">IF(C392=0,0,C394/C392)</f>
        <v>0.75261894409643293</v>
      </c>
      <c r="D393" s="122">
        <f t="shared" si="287"/>
        <v>0.89465800000000006</v>
      </c>
      <c r="E393" s="123">
        <f t="shared" si="287"/>
        <v>0.89465800000000006</v>
      </c>
      <c r="F393" s="122">
        <f t="shared" si="287"/>
        <v>0.89465799999999995</v>
      </c>
      <c r="G393" s="123">
        <f t="shared" si="287"/>
        <v>0.88973170999746065</v>
      </c>
      <c r="H393" s="122">
        <f t="shared" si="287"/>
        <v>0.53507802460773668</v>
      </c>
      <c r="I393" s="123">
        <f t="shared" si="287"/>
        <v>0.89465800000000006</v>
      </c>
      <c r="J393" s="122">
        <f t="shared" si="287"/>
        <v>0</v>
      </c>
      <c r="K393" s="123">
        <f t="shared" si="287"/>
        <v>0.20897647399761485</v>
      </c>
      <c r="L393" s="122">
        <f t="shared" si="287"/>
        <v>0.46456144601560889</v>
      </c>
      <c r="M393" s="123">
        <f t="shared" si="287"/>
        <v>0.89465800000000006</v>
      </c>
      <c r="N393" s="122">
        <f t="shared" si="287"/>
        <v>0.89465800000000018</v>
      </c>
      <c r="O393" s="45">
        <f>IF(O392=0,0,+O394/O392)</f>
        <v>0.56518452486538251</v>
      </c>
      <c r="P393" s="47"/>
      <c r="Q393" s="47"/>
      <c r="R393" s="47"/>
      <c r="S393" s="41"/>
    </row>
    <row r="394" spans="1:32">
      <c r="A394" s="42"/>
      <c r="B394" s="35" t="s">
        <v>15</v>
      </c>
      <c r="C394" s="48">
        <f t="shared" ref="C394:N394" si="288">C16+C112+C300+C206</f>
        <v>179.54472960656477</v>
      </c>
      <c r="D394" s="49">
        <f t="shared" si="288"/>
        <v>826.39934370384753</v>
      </c>
      <c r="E394" s="48">
        <f t="shared" si="288"/>
        <v>560.55037872622381</v>
      </c>
      <c r="F394" s="49">
        <f t="shared" si="288"/>
        <v>136.69616302322632</v>
      </c>
      <c r="G394" s="48">
        <f t="shared" si="288"/>
        <v>352.20105051390294</v>
      </c>
      <c r="H394" s="49">
        <f t="shared" si="288"/>
        <v>502.30407447047355</v>
      </c>
      <c r="I394" s="48">
        <f t="shared" si="288"/>
        <v>379.75423554770578</v>
      </c>
      <c r="J394" s="49">
        <f t="shared" si="288"/>
        <v>0</v>
      </c>
      <c r="K394" s="48">
        <f t="shared" si="288"/>
        <v>448.94790761815489</v>
      </c>
      <c r="L394" s="49">
        <f t="shared" si="288"/>
        <v>1266.2521400392213</v>
      </c>
      <c r="M394" s="48">
        <f t="shared" si="288"/>
        <v>386.24230952422471</v>
      </c>
      <c r="N394" s="49">
        <f t="shared" si="288"/>
        <v>139.54729481004711</v>
      </c>
      <c r="O394" s="50">
        <f>SUM(C394:N394)</f>
        <v>5178.4396275835925</v>
      </c>
      <c r="P394" s="40"/>
      <c r="Q394" s="40"/>
      <c r="R394" s="40"/>
      <c r="S394" s="41"/>
    </row>
    <row r="395" spans="1:32" ht="13.5" thickBot="1">
      <c r="A395" s="51"/>
      <c r="B395" s="52" t="s">
        <v>59</v>
      </c>
      <c r="C395" s="53">
        <f t="shared" ref="C395:O395" si="289">C394/C$385</f>
        <v>0.18188703050194019</v>
      </c>
      <c r="D395" s="54">
        <f t="shared" si="289"/>
        <v>0.86133719232344108</v>
      </c>
      <c r="E395" s="53">
        <f t="shared" si="289"/>
        <v>0.54423331047352552</v>
      </c>
      <c r="F395" s="54">
        <f t="shared" si="289"/>
        <v>0.13533145663208154</v>
      </c>
      <c r="G395" s="53">
        <f t="shared" si="289"/>
        <v>0.3021151540193357</v>
      </c>
      <c r="H395" s="54">
        <f t="shared" si="289"/>
        <v>0.34874061466479311</v>
      </c>
      <c r="I395" s="53">
        <f t="shared" si="289"/>
        <v>0.26414461339067213</v>
      </c>
      <c r="J395" s="54">
        <f t="shared" si="289"/>
        <v>0</v>
      </c>
      <c r="K395" s="53">
        <f t="shared" si="289"/>
        <v>0.35755548113952756</v>
      </c>
      <c r="L395" s="54">
        <f t="shared" si="289"/>
        <v>0.9804398843287826</v>
      </c>
      <c r="M395" s="53">
        <f t="shared" si="289"/>
        <v>0.34127689456896393</v>
      </c>
      <c r="N395" s="54">
        <f t="shared" si="289"/>
        <v>0.13275284122043965</v>
      </c>
      <c r="O395" s="55">
        <f t="shared" si="289"/>
        <v>0.36332929986709633</v>
      </c>
      <c r="P395" s="57"/>
      <c r="Q395" s="57"/>
      <c r="R395" s="57"/>
      <c r="S395" s="41"/>
    </row>
    <row r="396" spans="1:32">
      <c r="A396" s="28" t="s">
        <v>61</v>
      </c>
      <c r="B396" s="29" t="s">
        <v>55</v>
      </c>
      <c r="C396" s="120">
        <f t="shared" ref="C396:N396" si="290">C397/C$385</f>
        <v>52.775676541313622</v>
      </c>
      <c r="D396" s="121">
        <f t="shared" si="290"/>
        <v>54.145070064771922</v>
      </c>
      <c r="E396" s="120">
        <f t="shared" si="290"/>
        <v>57.022209383723151</v>
      </c>
      <c r="F396" s="121">
        <f t="shared" si="290"/>
        <v>55.01268082047708</v>
      </c>
      <c r="G396" s="120">
        <f t="shared" si="290"/>
        <v>55.461331679788657</v>
      </c>
      <c r="H396" s="121">
        <f t="shared" si="290"/>
        <v>59.989643892547718</v>
      </c>
      <c r="I396" s="120">
        <f t="shared" si="290"/>
        <v>65.132975585357599</v>
      </c>
      <c r="J396" s="121">
        <f t="shared" si="290"/>
        <v>65.613476805227606</v>
      </c>
      <c r="K396" s="120">
        <f t="shared" si="290"/>
        <v>65.761643309221753</v>
      </c>
      <c r="L396" s="121">
        <f t="shared" si="290"/>
        <v>61.268703949813748</v>
      </c>
      <c r="M396" s="120">
        <f t="shared" si="290"/>
        <v>57.943045102785874</v>
      </c>
      <c r="N396" s="121">
        <f t="shared" si="290"/>
        <v>55.5240082074924</v>
      </c>
      <c r="O396" s="32">
        <f>O397/O$385</f>
        <v>59.399186402333036</v>
      </c>
      <c r="Z396" s="124"/>
      <c r="AD396" s="33"/>
      <c r="AF396" s="58"/>
    </row>
    <row r="397" spans="1:32">
      <c r="A397" s="34" t="s">
        <v>56</v>
      </c>
      <c r="B397" s="35" t="s">
        <v>57</v>
      </c>
      <c r="C397" s="36">
        <f t="shared" ref="C397:N397" si="291">C19+C115+C303+C209</f>
        <v>52096.04306730711</v>
      </c>
      <c r="D397" s="37">
        <f t="shared" si="291"/>
        <v>51948.819539100979</v>
      </c>
      <c r="E397" s="36">
        <f t="shared" si="291"/>
        <v>58731.835135267669</v>
      </c>
      <c r="F397" s="37">
        <f t="shared" si="291"/>
        <v>55567.438442822182</v>
      </c>
      <c r="G397" s="36">
        <f t="shared" si="291"/>
        <v>64655.940030308448</v>
      </c>
      <c r="H397" s="37">
        <f t="shared" si="291"/>
        <v>86405.314684161858</v>
      </c>
      <c r="I397" s="36">
        <f t="shared" si="291"/>
        <v>93640.082358152373</v>
      </c>
      <c r="J397" s="37">
        <f t="shared" si="291"/>
        <v>97912.781823631958</v>
      </c>
      <c r="K397" s="36">
        <f t="shared" si="291"/>
        <v>82570.548411438474</v>
      </c>
      <c r="L397" s="37">
        <f t="shared" si="291"/>
        <v>79129.407864709821</v>
      </c>
      <c r="M397" s="36">
        <f t="shared" si="291"/>
        <v>65577.41211760779</v>
      </c>
      <c r="N397" s="37">
        <f t="shared" si="291"/>
        <v>58365.795196053703</v>
      </c>
      <c r="O397" s="38">
        <f>SUM(C397:N397)</f>
        <v>846601.41867056233</v>
      </c>
      <c r="P397" s="57"/>
      <c r="Q397" s="57"/>
      <c r="R397" s="57"/>
      <c r="S397" s="41"/>
      <c r="Y397" s="15"/>
      <c r="Z397" s="124"/>
      <c r="AA397" s="15"/>
      <c r="AC397" s="57"/>
      <c r="AD397" s="33"/>
      <c r="AE397" s="57"/>
      <c r="AF397" s="58"/>
    </row>
    <row r="398" spans="1:32">
      <c r="A398" s="42"/>
      <c r="B398" s="35" t="s">
        <v>58</v>
      </c>
      <c r="C398" s="81">
        <f t="shared" ref="C398:N398" si="292">IF(C397=0,0,C399/C397)</f>
        <v>0.21630000000000002</v>
      </c>
      <c r="D398" s="82">
        <f t="shared" si="292"/>
        <v>0.21629999999999996</v>
      </c>
      <c r="E398" s="81">
        <f t="shared" si="292"/>
        <v>0.21630000000000005</v>
      </c>
      <c r="F398" s="82">
        <f t="shared" si="292"/>
        <v>0.21629999999999999</v>
      </c>
      <c r="G398" s="81">
        <f t="shared" si="292"/>
        <v>0.21630000000000002</v>
      </c>
      <c r="H398" s="82">
        <f t="shared" si="292"/>
        <v>0.21629999999999999</v>
      </c>
      <c r="I398" s="81">
        <f t="shared" si="292"/>
        <v>0.21629999999999999</v>
      </c>
      <c r="J398" s="82">
        <f t="shared" si="292"/>
        <v>0.21630000000000005</v>
      </c>
      <c r="K398" s="81">
        <f t="shared" si="292"/>
        <v>0.21629999999999996</v>
      </c>
      <c r="L398" s="82">
        <f t="shared" si="292"/>
        <v>0.21630000000000005</v>
      </c>
      <c r="M398" s="81">
        <f t="shared" si="292"/>
        <v>0.21629999999999999</v>
      </c>
      <c r="N398" s="82">
        <f t="shared" si="292"/>
        <v>0.21629999999999999</v>
      </c>
      <c r="O398" s="45">
        <f>IF(O397=0,0,+O399/O397)</f>
        <v>0.21629999999999999</v>
      </c>
      <c r="P398" s="47"/>
      <c r="Q398" s="47"/>
      <c r="R398" s="47"/>
      <c r="S398" s="41"/>
      <c r="Z398" s="124"/>
      <c r="AA398" s="15"/>
      <c r="AC398" s="47"/>
      <c r="AD398" s="33"/>
      <c r="AE398" s="47"/>
      <c r="AF398" s="58"/>
    </row>
    <row r="399" spans="1:32">
      <c r="A399" s="42"/>
      <c r="B399" s="35" t="s">
        <v>15</v>
      </c>
      <c r="C399" s="48">
        <f t="shared" ref="C399:N399" si="293">C21+C117+C305+C211</f>
        <v>11268.37411545853</v>
      </c>
      <c r="D399" s="49">
        <f t="shared" si="293"/>
        <v>11236.529666307541</v>
      </c>
      <c r="E399" s="48">
        <f t="shared" si="293"/>
        <v>12703.6959397584</v>
      </c>
      <c r="F399" s="49">
        <f t="shared" si="293"/>
        <v>12019.236935182438</v>
      </c>
      <c r="G399" s="48">
        <f t="shared" si="293"/>
        <v>13985.079828555719</v>
      </c>
      <c r="H399" s="49">
        <f t="shared" si="293"/>
        <v>18689.469566184209</v>
      </c>
      <c r="I399" s="48">
        <f t="shared" si="293"/>
        <v>20254.349814068359</v>
      </c>
      <c r="J399" s="49">
        <f t="shared" si="293"/>
        <v>21178.534708451596</v>
      </c>
      <c r="K399" s="48">
        <f t="shared" si="293"/>
        <v>17860.00962139414</v>
      </c>
      <c r="L399" s="49">
        <f t="shared" si="293"/>
        <v>17115.690921136738</v>
      </c>
      <c r="M399" s="48">
        <f t="shared" si="293"/>
        <v>14184.394241038564</v>
      </c>
      <c r="N399" s="49">
        <f t="shared" si="293"/>
        <v>12624.521500906416</v>
      </c>
      <c r="O399" s="50">
        <f>SUM(C399:N399)</f>
        <v>183119.88685844262</v>
      </c>
      <c r="P399" s="40"/>
      <c r="Q399" s="40"/>
      <c r="R399" s="40"/>
      <c r="S399" s="41"/>
      <c r="Z399" s="124"/>
      <c r="AA399" s="15"/>
      <c r="AC399" s="40"/>
      <c r="AD399" s="33"/>
      <c r="AE399" s="40"/>
      <c r="AF399" s="58"/>
    </row>
    <row r="400" spans="1:32" ht="13.5" thickBot="1">
      <c r="A400" s="51"/>
      <c r="B400" s="52" t="s">
        <v>59</v>
      </c>
      <c r="C400" s="53">
        <f t="shared" ref="C400:O400" si="294">C399/C$385</f>
        <v>11.415378835886139</v>
      </c>
      <c r="D400" s="54">
        <f t="shared" si="294"/>
        <v>11.711578655010165</v>
      </c>
      <c r="E400" s="53">
        <f t="shared" si="294"/>
        <v>12.33390388969932</v>
      </c>
      <c r="F400" s="54">
        <f t="shared" si="294"/>
        <v>11.899242861469192</v>
      </c>
      <c r="G400" s="53">
        <f t="shared" si="294"/>
        <v>11.996286042338289</v>
      </c>
      <c r="H400" s="54">
        <f t="shared" si="294"/>
        <v>12.975759973958072</v>
      </c>
      <c r="I400" s="53">
        <f t="shared" si="294"/>
        <v>14.088262619112848</v>
      </c>
      <c r="J400" s="54">
        <f t="shared" si="294"/>
        <v>14.192195032970734</v>
      </c>
      <c r="K400" s="53">
        <f t="shared" si="294"/>
        <v>14.224243447784662</v>
      </c>
      <c r="L400" s="54">
        <f t="shared" si="294"/>
        <v>13.252420664344717</v>
      </c>
      <c r="M400" s="53">
        <f t="shared" si="294"/>
        <v>12.533080655732583</v>
      </c>
      <c r="N400" s="54">
        <f t="shared" si="294"/>
        <v>12.009842975280606</v>
      </c>
      <c r="O400" s="55">
        <f t="shared" si="294"/>
        <v>12.848044018824636</v>
      </c>
      <c r="P400" s="57"/>
      <c r="Q400" s="57"/>
      <c r="R400" s="57"/>
      <c r="S400" s="41"/>
      <c r="Z400" s="124"/>
      <c r="AA400" s="15"/>
      <c r="AC400" s="57"/>
      <c r="AD400" s="33"/>
      <c r="AE400" s="57"/>
      <c r="AF400" s="58"/>
    </row>
    <row r="401" spans="1:32">
      <c r="A401" s="28" t="s">
        <v>62</v>
      </c>
      <c r="B401" s="29" t="s">
        <v>55</v>
      </c>
      <c r="C401" s="120">
        <f t="shared" ref="C401:N401" si="295">C402/C$385</f>
        <v>0</v>
      </c>
      <c r="D401" s="121">
        <f t="shared" si="295"/>
        <v>0</v>
      </c>
      <c r="E401" s="120">
        <f t="shared" si="295"/>
        <v>1.9605827273158274</v>
      </c>
      <c r="F401" s="121">
        <f t="shared" si="295"/>
        <v>0</v>
      </c>
      <c r="G401" s="120">
        <f t="shared" si="295"/>
        <v>1.5894273188811348</v>
      </c>
      <c r="H401" s="121">
        <f t="shared" si="295"/>
        <v>2.500131996169066</v>
      </c>
      <c r="I401" s="120">
        <f t="shared" si="295"/>
        <v>1.322706616700744</v>
      </c>
      <c r="J401" s="121">
        <f t="shared" si="295"/>
        <v>0</v>
      </c>
      <c r="K401" s="120">
        <f t="shared" si="295"/>
        <v>0.70105718573706766</v>
      </c>
      <c r="L401" s="121">
        <f t="shared" si="295"/>
        <v>0</v>
      </c>
      <c r="M401" s="120">
        <f t="shared" si="295"/>
        <v>2.7770607466623725</v>
      </c>
      <c r="N401" s="121">
        <f t="shared" si="295"/>
        <v>0</v>
      </c>
      <c r="O401" s="32">
        <f>O402/O$385</f>
        <v>0.94004040958699964</v>
      </c>
    </row>
    <row r="402" spans="1:32">
      <c r="A402" s="34" t="s">
        <v>56</v>
      </c>
      <c r="B402" s="35" t="s">
        <v>57</v>
      </c>
      <c r="C402" s="36">
        <f t="shared" ref="C402:N402" si="296">C24+C120+C308+C214</f>
        <v>0</v>
      </c>
      <c r="D402" s="66">
        <f t="shared" si="296"/>
        <v>0</v>
      </c>
      <c r="E402" s="65">
        <f t="shared" si="296"/>
        <v>2019.3644328105518</v>
      </c>
      <c r="F402" s="66">
        <f t="shared" si="296"/>
        <v>0</v>
      </c>
      <c r="G402" s="65">
        <f t="shared" si="296"/>
        <v>1852.9291363835532</v>
      </c>
      <c r="H402" s="66">
        <f t="shared" si="296"/>
        <v>3601.0330761067548</v>
      </c>
      <c r="I402" s="65">
        <f t="shared" si="296"/>
        <v>1901.6228785864819</v>
      </c>
      <c r="J402" s="66">
        <f t="shared" si="296"/>
        <v>0</v>
      </c>
      <c r="K402" s="65">
        <f t="shared" si="296"/>
        <v>880.2498444556345</v>
      </c>
      <c r="L402" s="66">
        <f t="shared" si="296"/>
        <v>0</v>
      </c>
      <c r="M402" s="65">
        <f t="shared" si="296"/>
        <v>3142.956272602838</v>
      </c>
      <c r="N402" s="66">
        <f t="shared" si="296"/>
        <v>0</v>
      </c>
      <c r="O402" s="67">
        <f>SUM(C402:N402)</f>
        <v>13398.155640945815</v>
      </c>
      <c r="P402" s="39"/>
      <c r="Q402" s="39"/>
      <c r="R402" s="39"/>
      <c r="S402" s="41"/>
    </row>
    <row r="403" spans="1:32">
      <c r="A403" s="42"/>
      <c r="B403" s="35" t="s">
        <v>58</v>
      </c>
      <c r="C403" s="81">
        <f t="shared" ref="C403:N403" si="297">IF(C402=0,0,C404/C402)</f>
        <v>0</v>
      </c>
      <c r="D403" s="82">
        <f t="shared" si="297"/>
        <v>0</v>
      </c>
      <c r="E403" s="81">
        <f t="shared" si="297"/>
        <v>0.74901600000000002</v>
      </c>
      <c r="F403" s="82">
        <f t="shared" si="297"/>
        <v>0</v>
      </c>
      <c r="G403" s="81">
        <f t="shared" si="297"/>
        <v>0.74901600000000013</v>
      </c>
      <c r="H403" s="82">
        <f t="shared" si="297"/>
        <v>0.74901600000000002</v>
      </c>
      <c r="I403" s="81">
        <f t="shared" si="297"/>
        <v>0.74901600000000002</v>
      </c>
      <c r="J403" s="82">
        <f t="shared" si="297"/>
        <v>0</v>
      </c>
      <c r="K403" s="81">
        <f t="shared" si="297"/>
        <v>0.74901600000000002</v>
      </c>
      <c r="L403" s="82">
        <f t="shared" si="297"/>
        <v>0</v>
      </c>
      <c r="M403" s="81">
        <f t="shared" si="297"/>
        <v>0.74901600000000002</v>
      </c>
      <c r="N403" s="82">
        <f t="shared" si="297"/>
        <v>0</v>
      </c>
      <c r="O403" s="45">
        <f>IF(O402=0,0,+O404/O402)</f>
        <v>0.74901600000000002</v>
      </c>
      <c r="P403" s="47"/>
      <c r="Q403" s="68"/>
      <c r="R403" s="47"/>
      <c r="S403" s="41"/>
    </row>
    <row r="404" spans="1:32">
      <c r="A404" s="42"/>
      <c r="B404" s="35" t="s">
        <v>15</v>
      </c>
      <c r="C404" s="48">
        <f t="shared" ref="C404:N404" si="298">C26+C122+C310+C216</f>
        <v>0</v>
      </c>
      <c r="D404" s="49">
        <f t="shared" si="298"/>
        <v>0</v>
      </c>
      <c r="E404" s="48">
        <f t="shared" si="298"/>
        <v>1512.5362700060282</v>
      </c>
      <c r="F404" s="49">
        <f t="shared" si="298"/>
        <v>0</v>
      </c>
      <c r="G404" s="48">
        <f t="shared" si="298"/>
        <v>1387.8735700174636</v>
      </c>
      <c r="H404" s="49">
        <f t="shared" si="298"/>
        <v>2697.2313905331771</v>
      </c>
      <c r="I404" s="48">
        <f t="shared" si="298"/>
        <v>1424.3459620273322</v>
      </c>
      <c r="J404" s="49">
        <f t="shared" si="298"/>
        <v>0</v>
      </c>
      <c r="K404" s="48">
        <f t="shared" si="298"/>
        <v>659.32121749478154</v>
      </c>
      <c r="L404" s="49">
        <f t="shared" si="298"/>
        <v>0</v>
      </c>
      <c r="M404" s="48">
        <f t="shared" si="298"/>
        <v>2354.1245354798875</v>
      </c>
      <c r="N404" s="49">
        <f t="shared" si="298"/>
        <v>0</v>
      </c>
      <c r="O404" s="50">
        <f>SUM(C404:N404)</f>
        <v>10035.43294555867</v>
      </c>
      <c r="P404" s="40"/>
      <c r="Q404" s="40"/>
      <c r="R404" s="39"/>
      <c r="S404" s="41"/>
    </row>
    <row r="405" spans="1:32" ht="13.5" thickBot="1">
      <c r="A405" s="51"/>
      <c r="B405" s="52" t="s">
        <v>59</v>
      </c>
      <c r="C405" s="53">
        <f t="shared" ref="C405:O405" si="299">C404/C$385</f>
        <v>0</v>
      </c>
      <c r="D405" s="54">
        <f t="shared" si="299"/>
        <v>0</v>
      </c>
      <c r="E405" s="53">
        <f t="shared" si="299"/>
        <v>1.4685078320831917</v>
      </c>
      <c r="F405" s="54">
        <f t="shared" si="299"/>
        <v>0</v>
      </c>
      <c r="G405" s="53">
        <f t="shared" si="299"/>
        <v>1.1905064926790723</v>
      </c>
      <c r="H405" s="54">
        <f t="shared" si="299"/>
        <v>1.8726388672425693</v>
      </c>
      <c r="I405" s="53">
        <f t="shared" si="299"/>
        <v>0.99072841921472443</v>
      </c>
      <c r="J405" s="54">
        <f t="shared" si="299"/>
        <v>0</v>
      </c>
      <c r="K405" s="53">
        <f t="shared" si="299"/>
        <v>0.52510304903203553</v>
      </c>
      <c r="L405" s="54">
        <f t="shared" si="299"/>
        <v>0</v>
      </c>
      <c r="M405" s="53">
        <f t="shared" si="299"/>
        <v>2.0800629322220638</v>
      </c>
      <c r="N405" s="54">
        <f t="shared" si="299"/>
        <v>0</v>
      </c>
      <c r="O405" s="55">
        <f t="shared" si="299"/>
        <v>0.70410530742721611</v>
      </c>
      <c r="P405" s="57"/>
      <c r="Q405" s="57"/>
      <c r="R405" s="57"/>
      <c r="S405" s="41"/>
    </row>
    <row r="406" spans="1:32">
      <c r="A406" s="181" t="s">
        <v>63</v>
      </c>
      <c r="B406" s="29" t="s">
        <v>55</v>
      </c>
      <c r="C406" s="120">
        <f t="shared" ref="C406:N406" si="300">C407/C$385</f>
        <v>27.274056940385442</v>
      </c>
      <c r="D406" s="121">
        <f t="shared" si="300"/>
        <v>26.614190256883663</v>
      </c>
      <c r="E406" s="120">
        <f t="shared" si="300"/>
        <v>24.905958248947691</v>
      </c>
      <c r="F406" s="121">
        <f t="shared" si="300"/>
        <v>24.274643107017145</v>
      </c>
      <c r="G406" s="120">
        <f t="shared" si="300"/>
        <v>25.934855015382762</v>
      </c>
      <c r="H406" s="121">
        <f t="shared" si="300"/>
        <v>26.115979668319856</v>
      </c>
      <c r="I406" s="120">
        <f t="shared" si="300"/>
        <v>25.519034584085755</v>
      </c>
      <c r="J406" s="121">
        <f t="shared" si="300"/>
        <v>25.785753430373166</v>
      </c>
      <c r="K406" s="120">
        <f t="shared" si="300"/>
        <v>26.45786844092197</v>
      </c>
      <c r="L406" s="121">
        <f t="shared" si="300"/>
        <v>27.392794418332343</v>
      </c>
      <c r="M406" s="120">
        <f t="shared" si="300"/>
        <v>27.098737399705751</v>
      </c>
      <c r="N406" s="121">
        <f t="shared" si="300"/>
        <v>27.871695818347607</v>
      </c>
      <c r="O406" s="32">
        <f>O407/O$385</f>
        <v>26.255526780709751</v>
      </c>
    </row>
    <row r="407" spans="1:32">
      <c r="A407" s="34" t="s">
        <v>64</v>
      </c>
      <c r="B407" s="35" t="s">
        <v>57</v>
      </c>
      <c r="C407" s="36">
        <f t="shared" ref="C407:N407" si="301">C29+C125+C313+C219</f>
        <v>26922.82767562869</v>
      </c>
      <c r="D407" s="37">
        <f t="shared" si="301"/>
        <v>25534.656528844091</v>
      </c>
      <c r="E407" s="36">
        <f t="shared" si="301"/>
        <v>25652.682517429788</v>
      </c>
      <c r="F407" s="37">
        <f t="shared" si="301"/>
        <v>24519.432909885869</v>
      </c>
      <c r="G407" s="36">
        <f t="shared" si="301"/>
        <v>30234.442264220117</v>
      </c>
      <c r="H407" s="37">
        <f t="shared" si="301"/>
        <v>37615.81658274644</v>
      </c>
      <c r="I407" s="36">
        <f t="shared" si="301"/>
        <v>36688.090459228624</v>
      </c>
      <c r="J407" s="37">
        <f t="shared" si="301"/>
        <v>38479.211477861252</v>
      </c>
      <c r="K407" s="36">
        <f t="shared" si="301"/>
        <v>33220.591777065063</v>
      </c>
      <c r="L407" s="37">
        <f t="shared" si="301"/>
        <v>35378.1859635527</v>
      </c>
      <c r="M407" s="36">
        <f t="shared" si="301"/>
        <v>30669.169477975796</v>
      </c>
      <c r="N407" s="37">
        <f t="shared" si="301"/>
        <v>29298.203469411437</v>
      </c>
      <c r="O407" s="38">
        <f>SUM(C407:N407)</f>
        <v>374213.31110384979</v>
      </c>
    </row>
    <row r="408" spans="1:32">
      <c r="A408" s="103"/>
      <c r="B408" s="35" t="s">
        <v>58</v>
      </c>
      <c r="C408" s="81">
        <f t="shared" ref="C408:N408" si="302">IF(C407=0,0,C409/C407)</f>
        <v>0.345744</v>
      </c>
      <c r="D408" s="82">
        <f t="shared" si="302"/>
        <v>0.34574400000000005</v>
      </c>
      <c r="E408" s="81">
        <f t="shared" si="302"/>
        <v>0.34574399999999994</v>
      </c>
      <c r="F408" s="82">
        <f t="shared" si="302"/>
        <v>0.345744</v>
      </c>
      <c r="G408" s="81">
        <f t="shared" si="302"/>
        <v>0.345744</v>
      </c>
      <c r="H408" s="82">
        <f t="shared" si="302"/>
        <v>0.345744</v>
      </c>
      <c r="I408" s="81">
        <f t="shared" si="302"/>
        <v>0.345744</v>
      </c>
      <c r="J408" s="82">
        <f t="shared" si="302"/>
        <v>0.34574400000000005</v>
      </c>
      <c r="K408" s="81">
        <f t="shared" si="302"/>
        <v>0.345744</v>
      </c>
      <c r="L408" s="82">
        <f t="shared" si="302"/>
        <v>0.34574400000000005</v>
      </c>
      <c r="M408" s="81">
        <f t="shared" si="302"/>
        <v>0.34574399999999994</v>
      </c>
      <c r="N408" s="82">
        <f t="shared" si="302"/>
        <v>0.345744</v>
      </c>
      <c r="O408" s="45">
        <f>IF(O407=0,0,+O409/O407)</f>
        <v>0.34574400000000011</v>
      </c>
    </row>
    <row r="409" spans="1:32">
      <c r="A409" s="42"/>
      <c r="B409" s="35" t="s">
        <v>15</v>
      </c>
      <c r="C409" s="48">
        <f t="shared" ref="C409:N409" si="303">C31+C127+C315+C221</f>
        <v>9308.4061318825661</v>
      </c>
      <c r="D409" s="49">
        <f t="shared" si="303"/>
        <v>8828.4542869086727</v>
      </c>
      <c r="E409" s="48">
        <f t="shared" si="303"/>
        <v>8869.2610643062435</v>
      </c>
      <c r="F409" s="49">
        <f t="shared" si="303"/>
        <v>8477.44681199558</v>
      </c>
      <c r="G409" s="48">
        <f t="shared" si="303"/>
        <v>10453.377006200521</v>
      </c>
      <c r="H409" s="49">
        <f t="shared" si="303"/>
        <v>13005.442888585085</v>
      </c>
      <c r="I409" s="48">
        <f t="shared" si="303"/>
        <v>12684.687147735542</v>
      </c>
      <c r="J409" s="49">
        <f t="shared" si="303"/>
        <v>13303.956493201662</v>
      </c>
      <c r="K409" s="48">
        <f t="shared" si="303"/>
        <v>11485.820283369583</v>
      </c>
      <c r="L409" s="49">
        <f t="shared" si="303"/>
        <v>12231.795527782566</v>
      </c>
      <c r="M409" s="48">
        <f t="shared" si="303"/>
        <v>10603.681331993263</v>
      </c>
      <c r="N409" s="49">
        <f t="shared" si="303"/>
        <v>10129.678060328188</v>
      </c>
      <c r="O409" s="50">
        <f>SUM(C409:N409)</f>
        <v>129382.00703428948</v>
      </c>
    </row>
    <row r="410" spans="1:32" ht="13.5" thickBot="1">
      <c r="A410" s="51"/>
      <c r="B410" s="52" t="s">
        <v>59</v>
      </c>
      <c r="C410" s="53">
        <f t="shared" ref="C410:O410" si="304">C409/C$385</f>
        <v>9.4298415427966233</v>
      </c>
      <c r="D410" s="54">
        <f t="shared" si="304"/>
        <v>9.2016965961759869</v>
      </c>
      <c r="E410" s="53">
        <f t="shared" si="304"/>
        <v>8.6110856288241706</v>
      </c>
      <c r="F410" s="54">
        <f t="shared" si="304"/>
        <v>8.3928122063925343</v>
      </c>
      <c r="G410" s="53">
        <f t="shared" si="304"/>
        <v>8.966820512438499</v>
      </c>
      <c r="H410" s="54">
        <f t="shared" si="304"/>
        <v>9.0294432744435795</v>
      </c>
      <c r="I410" s="53">
        <f t="shared" si="304"/>
        <v>8.8230530932401461</v>
      </c>
      <c r="J410" s="54">
        <f t="shared" si="304"/>
        <v>8.9152695340309407</v>
      </c>
      <c r="K410" s="53">
        <f t="shared" si="304"/>
        <v>9.1476492662381261</v>
      </c>
      <c r="L410" s="54">
        <f t="shared" si="304"/>
        <v>9.4708943133718986</v>
      </c>
      <c r="M410" s="53">
        <f t="shared" si="304"/>
        <v>9.3692258635238641</v>
      </c>
      <c r="N410" s="54">
        <f t="shared" si="304"/>
        <v>9.6364715990187744</v>
      </c>
      <c r="O410" s="55">
        <f t="shared" si="304"/>
        <v>9.0776908512697148</v>
      </c>
    </row>
    <row r="411" spans="1:32">
      <c r="A411" s="28" t="s">
        <v>65</v>
      </c>
      <c r="B411" s="29" t="s">
        <v>55</v>
      </c>
      <c r="C411" s="120">
        <f t="shared" ref="C411:N411" si="305">C412/C$385</f>
        <v>0.5732981212283228</v>
      </c>
      <c r="D411" s="121">
        <f t="shared" si="305"/>
        <v>7.4825388499538521</v>
      </c>
      <c r="E411" s="120">
        <f t="shared" si="305"/>
        <v>13.299186417452194</v>
      </c>
      <c r="F411" s="121">
        <f t="shared" si="305"/>
        <v>0</v>
      </c>
      <c r="G411" s="120">
        <f t="shared" si="305"/>
        <v>6.0774390391300219</v>
      </c>
      <c r="H411" s="121">
        <f t="shared" si="305"/>
        <v>3.7001646037718063</v>
      </c>
      <c r="I411" s="120">
        <f t="shared" si="305"/>
        <v>18.171144123998555</v>
      </c>
      <c r="J411" s="121">
        <f t="shared" si="305"/>
        <v>81.688076126023375</v>
      </c>
      <c r="K411" s="120">
        <f t="shared" si="305"/>
        <v>84.075694975757415</v>
      </c>
      <c r="L411" s="121">
        <f t="shared" si="305"/>
        <v>106.7121464393926</v>
      </c>
      <c r="M411" s="120">
        <f t="shared" si="305"/>
        <v>59.102029761005753</v>
      </c>
      <c r="N411" s="121">
        <f t="shared" si="305"/>
        <v>3.9461428587381593</v>
      </c>
      <c r="O411" s="32">
        <f>O412/O$385</f>
        <v>34.82172298428771</v>
      </c>
      <c r="Z411" s="124"/>
      <c r="AD411" s="33"/>
      <c r="AF411" s="58"/>
    </row>
    <row r="412" spans="1:32">
      <c r="A412" s="34" t="s">
        <v>64</v>
      </c>
      <c r="B412" s="35" t="s">
        <v>57</v>
      </c>
      <c r="C412" s="36">
        <f t="shared" ref="C412:N412" si="306">C34+C130+C318+C224</f>
        <v>565.91531499434109</v>
      </c>
      <c r="D412" s="37">
        <f t="shared" si="306"/>
        <v>7179.0295948562871</v>
      </c>
      <c r="E412" s="36">
        <f t="shared" si="306"/>
        <v>13697.919329059745</v>
      </c>
      <c r="F412" s="37">
        <f t="shared" si="306"/>
        <v>0</v>
      </c>
      <c r="G412" s="36">
        <f t="shared" si="306"/>
        <v>7084.9819532018755</v>
      </c>
      <c r="H412" s="37">
        <f t="shared" si="306"/>
        <v>5329.4846614653234</v>
      </c>
      <c r="I412" s="36">
        <f t="shared" si="306"/>
        <v>26124.208467693628</v>
      </c>
      <c r="J412" s="37">
        <f t="shared" si="306"/>
        <v>121900.36505857465</v>
      </c>
      <c r="K412" s="36">
        <f t="shared" si="306"/>
        <v>105565.73547862681</v>
      </c>
      <c r="L412" s="37">
        <f t="shared" si="306"/>
        <v>137820.26410478703</v>
      </c>
      <c r="M412" s="36">
        <f t="shared" si="306"/>
        <v>66889.100421790747</v>
      </c>
      <c r="N412" s="37">
        <f t="shared" si="306"/>
        <v>4148.111300732824</v>
      </c>
      <c r="O412" s="38">
        <f>SUM(C412:N412)</f>
        <v>496305.11568578327</v>
      </c>
      <c r="P412" s="60"/>
      <c r="Q412" s="60"/>
      <c r="R412" s="57"/>
      <c r="S412" s="41"/>
      <c r="Y412" s="15"/>
      <c r="Z412" s="124"/>
      <c r="AA412" s="15"/>
      <c r="AC412" s="60"/>
      <c r="AD412" s="33"/>
      <c r="AE412" s="60"/>
      <c r="AF412" s="58"/>
    </row>
    <row r="413" spans="1:32">
      <c r="A413" s="42"/>
      <c r="B413" s="35" t="s">
        <v>58</v>
      </c>
      <c r="C413" s="81">
        <f t="shared" ref="C413:N413" si="307">IF(C412=0,0,C414/C412)</f>
        <v>0.1112616</v>
      </c>
      <c r="D413" s="82">
        <f t="shared" si="307"/>
        <v>0.1112616</v>
      </c>
      <c r="E413" s="81">
        <f t="shared" si="307"/>
        <v>0.1112616</v>
      </c>
      <c r="F413" s="82">
        <f t="shared" si="307"/>
        <v>0</v>
      </c>
      <c r="G413" s="81">
        <f t="shared" si="307"/>
        <v>5.4951767409598992E-2</v>
      </c>
      <c r="H413" s="82">
        <f t="shared" si="307"/>
        <v>0.11126159999999999</v>
      </c>
      <c r="I413" s="81">
        <f t="shared" si="307"/>
        <v>0.10285396385132489</v>
      </c>
      <c r="J413" s="82">
        <f t="shared" si="307"/>
        <v>0.1112616</v>
      </c>
      <c r="K413" s="81">
        <f t="shared" si="307"/>
        <v>0.10317234591723662</v>
      </c>
      <c r="L413" s="82">
        <f t="shared" si="307"/>
        <v>0.1112616</v>
      </c>
      <c r="M413" s="81">
        <f t="shared" si="307"/>
        <v>0.10441787635866884</v>
      </c>
      <c r="N413" s="82">
        <f t="shared" si="307"/>
        <v>8.4482000071083141E-2</v>
      </c>
      <c r="O413" s="45">
        <f>IF(O412=0,0,+O414/O412)</f>
        <v>0.10714840378589854</v>
      </c>
      <c r="P413" s="47"/>
      <c r="Q413" s="47"/>
      <c r="R413" s="47"/>
      <c r="S413" s="41"/>
      <c r="Z413" s="124"/>
      <c r="AA413" s="15"/>
      <c r="AC413" s="47"/>
      <c r="AD413" s="33"/>
      <c r="AE413" s="47"/>
      <c r="AF413" s="58"/>
    </row>
    <row r="414" spans="1:32">
      <c r="A414" s="42"/>
      <c r="B414" s="35" t="s">
        <v>15</v>
      </c>
      <c r="C414" s="48">
        <f t="shared" ref="C414:N414" si="308">C36+C132+C320+C226</f>
        <v>62.964643410774379</v>
      </c>
      <c r="D414" s="49">
        <f t="shared" si="308"/>
        <v>798.7503191710623</v>
      </c>
      <c r="E414" s="48">
        <f t="shared" si="308"/>
        <v>1524.0524212221137</v>
      </c>
      <c r="F414" s="49">
        <f t="shared" si="308"/>
        <v>0</v>
      </c>
      <c r="G414" s="48">
        <f t="shared" si="308"/>
        <v>389.33228039355583</v>
      </c>
      <c r="H414" s="49">
        <f t="shared" si="308"/>
        <v>592.96699061009019</v>
      </c>
      <c r="I414" s="48">
        <f t="shared" si="308"/>
        <v>2686.9783933806361</v>
      </c>
      <c r="J414" s="49">
        <f t="shared" si="308"/>
        <v>13562.82965700111</v>
      </c>
      <c r="K414" s="48">
        <f t="shared" si="308"/>
        <v>10891.464577808383</v>
      </c>
      <c r="L414" s="49">
        <f t="shared" si="308"/>
        <v>15334.103096721172</v>
      </c>
      <c r="M414" s="48">
        <f t="shared" si="308"/>
        <v>6984.4178175851293</v>
      </c>
      <c r="N414" s="49">
        <f t="shared" si="308"/>
        <v>350.44073920337121</v>
      </c>
      <c r="O414" s="50">
        <f>SUM(C414:N414)</f>
        <v>53178.300936507396</v>
      </c>
      <c r="P414" s="40"/>
      <c r="Q414" s="40"/>
      <c r="R414" s="40"/>
      <c r="S414" s="41"/>
      <c r="Z414" s="124"/>
      <c r="AA414" s="15"/>
      <c r="AC414" s="40"/>
      <c r="AD414" s="33"/>
      <c r="AE414" s="40"/>
      <c r="AF414" s="58"/>
    </row>
    <row r="415" spans="1:32" ht="13.5" thickBot="1">
      <c r="A415" s="51"/>
      <c r="B415" s="52" t="s">
        <v>59</v>
      </c>
      <c r="C415" s="53">
        <f t="shared" ref="C415:O415" si="309">C414/C$385</f>
        <v>6.3786066244857165E-2</v>
      </c>
      <c r="D415" s="54">
        <f t="shared" si="309"/>
        <v>0.8325192445080255</v>
      </c>
      <c r="E415" s="53">
        <f t="shared" si="309"/>
        <v>1.4796887595039991</v>
      </c>
      <c r="F415" s="54">
        <f t="shared" si="309"/>
        <v>0</v>
      </c>
      <c r="G415" s="53">
        <f t="shared" si="309"/>
        <v>0.33396601652428975</v>
      </c>
      <c r="H415" s="54">
        <f t="shared" si="309"/>
        <v>0.41168623407901717</v>
      </c>
      <c r="I415" s="53">
        <f t="shared" si="309"/>
        <v>1.8689742008669621</v>
      </c>
      <c r="J415" s="54">
        <f t="shared" si="309"/>
        <v>9.088746050703163</v>
      </c>
      <c r="K415" s="53">
        <f t="shared" si="309"/>
        <v>8.674286685270916</v>
      </c>
      <c r="L415" s="54">
        <f t="shared" si="309"/>
        <v>11.872964152281124</v>
      </c>
      <c r="M415" s="53">
        <f t="shared" si="309"/>
        <v>6.1713084361310635</v>
      </c>
      <c r="N415" s="54">
        <f t="shared" si="309"/>
        <v>0.33337804127242138</v>
      </c>
      <c r="O415" s="55">
        <f t="shared" si="309"/>
        <v>3.7310920348411636</v>
      </c>
      <c r="P415" s="57"/>
      <c r="Q415" s="57"/>
      <c r="R415" s="57"/>
      <c r="S415" s="41"/>
      <c r="Z415" s="124"/>
      <c r="AA415" s="15"/>
      <c r="AC415" s="57"/>
      <c r="AD415" s="33"/>
      <c r="AE415" s="57"/>
      <c r="AF415" s="58"/>
    </row>
    <row r="416" spans="1:32">
      <c r="A416" s="28" t="s">
        <v>66</v>
      </c>
      <c r="B416" s="29" t="s">
        <v>55</v>
      </c>
      <c r="C416" s="120">
        <f t="shared" ref="C416:N416" si="310">C417/C$385</f>
        <v>39.493834930197877</v>
      </c>
      <c r="D416" s="121">
        <f t="shared" si="310"/>
        <v>42.273519169967656</v>
      </c>
      <c r="E416" s="120">
        <f t="shared" si="310"/>
        <v>37.952858171261298</v>
      </c>
      <c r="F416" s="121">
        <f t="shared" si="310"/>
        <v>35.031338798414154</v>
      </c>
      <c r="G416" s="120">
        <f t="shared" si="310"/>
        <v>39.452671291518037</v>
      </c>
      <c r="H416" s="121">
        <f t="shared" si="310"/>
        <v>38.764331663538641</v>
      </c>
      <c r="I416" s="120">
        <f t="shared" si="310"/>
        <v>38.62664277813397</v>
      </c>
      <c r="J416" s="121">
        <f t="shared" si="310"/>
        <v>39.221423720001297</v>
      </c>
      <c r="K416" s="120">
        <f t="shared" si="310"/>
        <v>38.605365162350829</v>
      </c>
      <c r="L416" s="121">
        <f t="shared" si="310"/>
        <v>38.585831972997191</v>
      </c>
      <c r="M416" s="120">
        <f t="shared" si="310"/>
        <v>38.153745356543574</v>
      </c>
      <c r="N416" s="121">
        <f t="shared" si="310"/>
        <v>37.738049144561003</v>
      </c>
      <c r="O416" s="32">
        <f>O417/O$385</f>
        <v>38.66379976239925</v>
      </c>
      <c r="Z416" s="124"/>
      <c r="AD416" s="33"/>
      <c r="AF416" s="58"/>
    </row>
    <row r="417" spans="1:32">
      <c r="A417" s="34" t="s">
        <v>64</v>
      </c>
      <c r="B417" s="35" t="s">
        <v>57</v>
      </c>
      <c r="C417" s="36">
        <f t="shared" ref="C417:N417" si="311">C39+C135+C323+C229</f>
        <v>38985.242070863547</v>
      </c>
      <c r="D417" s="37">
        <f t="shared" si="311"/>
        <v>40558.806480743377</v>
      </c>
      <c r="E417" s="36">
        <f t="shared" si="311"/>
        <v>39090.751360170711</v>
      </c>
      <c r="F417" s="37">
        <f t="shared" si="311"/>
        <v>35384.601026859127</v>
      </c>
      <c r="G417" s="36">
        <f t="shared" si="311"/>
        <v>45993.29788522637</v>
      </c>
      <c r="H417" s="37">
        <f t="shared" si="311"/>
        <v>55833.708263191817</v>
      </c>
      <c r="I417" s="36">
        <f t="shared" si="311"/>
        <v>55532.577445709801</v>
      </c>
      <c r="J417" s="37">
        <f t="shared" si="311"/>
        <v>58528.809788704035</v>
      </c>
      <c r="K417" s="36">
        <f t="shared" si="311"/>
        <v>48473.030974761903</v>
      </c>
      <c r="L417" s="37">
        <f t="shared" si="311"/>
        <v>49834.154130164803</v>
      </c>
      <c r="M417" s="36">
        <f t="shared" si="311"/>
        <v>43180.745482705512</v>
      </c>
      <c r="N417" s="37">
        <f t="shared" si="311"/>
        <v>39669.528886296022</v>
      </c>
      <c r="O417" s="38">
        <f>SUM(C417:N417)</f>
        <v>551065.25379539712</v>
      </c>
      <c r="P417" s="57"/>
      <c r="Q417" s="57"/>
      <c r="R417" s="57"/>
      <c r="S417" s="41"/>
      <c r="Y417" s="15"/>
      <c r="Z417" s="124"/>
      <c r="AA417" s="15"/>
      <c r="AC417" s="57"/>
      <c r="AD417" s="33"/>
      <c r="AE417" s="57"/>
      <c r="AF417" s="58"/>
    </row>
    <row r="418" spans="1:32">
      <c r="A418" s="42"/>
      <c r="B418" s="35" t="s">
        <v>58</v>
      </c>
      <c r="C418" s="81">
        <f t="shared" ref="C418:N418" si="312">IF(C417=0,0,C419/C417)</f>
        <v>0.2185</v>
      </c>
      <c r="D418" s="82">
        <f t="shared" si="312"/>
        <v>0.21850000000000003</v>
      </c>
      <c r="E418" s="81">
        <f t="shared" si="312"/>
        <v>0.2185</v>
      </c>
      <c r="F418" s="82">
        <f t="shared" si="312"/>
        <v>0.21849999999999997</v>
      </c>
      <c r="G418" s="81">
        <f t="shared" si="312"/>
        <v>0.21849999999999997</v>
      </c>
      <c r="H418" s="82">
        <f t="shared" si="312"/>
        <v>0.2185</v>
      </c>
      <c r="I418" s="81">
        <f t="shared" si="312"/>
        <v>0.2185</v>
      </c>
      <c r="J418" s="82">
        <f t="shared" si="312"/>
        <v>0.21849999999999997</v>
      </c>
      <c r="K418" s="81">
        <f t="shared" si="312"/>
        <v>0.21849999999999997</v>
      </c>
      <c r="L418" s="82">
        <f t="shared" si="312"/>
        <v>0.21849999999999994</v>
      </c>
      <c r="M418" s="81">
        <f t="shared" si="312"/>
        <v>0.21849999999999997</v>
      </c>
      <c r="N418" s="82">
        <f t="shared" si="312"/>
        <v>0.21849999999999997</v>
      </c>
      <c r="O418" s="45">
        <f>IF(O417=0,0,+O419/O417)</f>
        <v>0.21849999999999994</v>
      </c>
      <c r="P418" s="47"/>
      <c r="Q418" s="47"/>
      <c r="R418" s="47"/>
      <c r="S418" s="41"/>
      <c r="Z418" s="124"/>
      <c r="AA418" s="15"/>
      <c r="AC418" s="47"/>
      <c r="AD418" s="33"/>
      <c r="AE418" s="47"/>
      <c r="AF418" s="58"/>
    </row>
    <row r="419" spans="1:32">
      <c r="A419" s="42"/>
      <c r="B419" s="35" t="s">
        <v>15</v>
      </c>
      <c r="C419" s="48">
        <f t="shared" ref="C419:N419" si="313">C41+C137+C325+C231</f>
        <v>8518.2753924836852</v>
      </c>
      <c r="D419" s="49">
        <f t="shared" si="313"/>
        <v>8862.0992160424285</v>
      </c>
      <c r="E419" s="48">
        <f t="shared" si="313"/>
        <v>8541.3291721973001</v>
      </c>
      <c r="F419" s="49">
        <f t="shared" si="313"/>
        <v>7731.5353243687186</v>
      </c>
      <c r="G419" s="48">
        <f t="shared" si="313"/>
        <v>10049.535587921961</v>
      </c>
      <c r="H419" s="49">
        <f t="shared" si="313"/>
        <v>12199.665255507412</v>
      </c>
      <c r="I419" s="48">
        <f t="shared" si="313"/>
        <v>12133.868171887592</v>
      </c>
      <c r="J419" s="49">
        <f t="shared" si="313"/>
        <v>12788.54493883183</v>
      </c>
      <c r="K419" s="48">
        <f t="shared" si="313"/>
        <v>10591.357267985475</v>
      </c>
      <c r="L419" s="49">
        <f t="shared" si="313"/>
        <v>10888.762677441007</v>
      </c>
      <c r="M419" s="48">
        <f t="shared" si="313"/>
        <v>9434.9928879711533</v>
      </c>
      <c r="N419" s="49">
        <f t="shared" si="313"/>
        <v>8667.7920616556803</v>
      </c>
      <c r="O419" s="50">
        <f>SUM(C419:N419)</f>
        <v>120407.75795429424</v>
      </c>
      <c r="P419" s="40"/>
      <c r="Q419" s="40"/>
      <c r="R419" s="40"/>
      <c r="S419" s="41"/>
      <c r="Z419" s="124"/>
      <c r="AA419" s="15"/>
      <c r="AC419" s="40"/>
      <c r="AD419" s="33"/>
      <c r="AE419" s="40"/>
      <c r="AF419" s="58"/>
    </row>
    <row r="420" spans="1:32" ht="13.5" thickBot="1">
      <c r="A420" s="51"/>
      <c r="B420" s="52" t="s">
        <v>59</v>
      </c>
      <c r="C420" s="53">
        <f t="shared" ref="C420:O420" si="314">C419/C$385</f>
        <v>8.6294029322482348</v>
      </c>
      <c r="D420" s="54">
        <f t="shared" si="314"/>
        <v>9.2367639386379334</v>
      </c>
      <c r="E420" s="53">
        <f t="shared" si="314"/>
        <v>8.2926995104205936</v>
      </c>
      <c r="F420" s="54">
        <f t="shared" si="314"/>
        <v>7.6543475274534911</v>
      </c>
      <c r="G420" s="53">
        <f t="shared" si="314"/>
        <v>8.6204086771966892</v>
      </c>
      <c r="H420" s="54">
        <f t="shared" si="314"/>
        <v>8.4700064684831933</v>
      </c>
      <c r="I420" s="53">
        <f t="shared" si="314"/>
        <v>8.4399214470222734</v>
      </c>
      <c r="J420" s="54">
        <f t="shared" si="314"/>
        <v>8.5698810828202827</v>
      </c>
      <c r="K420" s="53">
        <f t="shared" si="314"/>
        <v>8.4352722879736568</v>
      </c>
      <c r="L420" s="54">
        <f t="shared" si="314"/>
        <v>8.4310042860998848</v>
      </c>
      <c r="M420" s="53">
        <f t="shared" si="314"/>
        <v>8.3365933604047715</v>
      </c>
      <c r="N420" s="54">
        <f t="shared" si="314"/>
        <v>8.2457637380865787</v>
      </c>
      <c r="O420" s="55">
        <f t="shared" si="314"/>
        <v>8.4480402480842347</v>
      </c>
      <c r="P420" s="57"/>
      <c r="Q420" s="57"/>
      <c r="R420" s="57"/>
      <c r="S420" s="41"/>
      <c r="Z420" s="124"/>
      <c r="AA420" s="15"/>
      <c r="AC420" s="57"/>
      <c r="AD420" s="33"/>
      <c r="AE420" s="57"/>
      <c r="AF420" s="58"/>
    </row>
    <row r="421" spans="1:32">
      <c r="A421" s="28" t="s">
        <v>67</v>
      </c>
      <c r="B421" s="29" t="s">
        <v>55</v>
      </c>
      <c r="C421" s="120">
        <f t="shared" ref="C421:N421" si="315">C422/C$385</f>
        <v>431.85852861017509</v>
      </c>
      <c r="D421" s="121">
        <f t="shared" si="315"/>
        <v>353.63353782270389</v>
      </c>
      <c r="E421" s="120">
        <f t="shared" si="315"/>
        <v>384.83869779037548</v>
      </c>
      <c r="F421" s="121">
        <f t="shared" si="315"/>
        <v>419.75750037710242</v>
      </c>
      <c r="G421" s="120">
        <f t="shared" si="315"/>
        <v>398.84066242391037</v>
      </c>
      <c r="H421" s="121">
        <f t="shared" si="315"/>
        <v>364.64137398984138</v>
      </c>
      <c r="I421" s="120">
        <f t="shared" si="315"/>
        <v>383.17645801322794</v>
      </c>
      <c r="J421" s="121">
        <f t="shared" si="315"/>
        <v>359.61012977965333</v>
      </c>
      <c r="K421" s="120">
        <f t="shared" si="315"/>
        <v>374.03642125813565</v>
      </c>
      <c r="L421" s="121">
        <f t="shared" si="315"/>
        <v>308.52109613233495</v>
      </c>
      <c r="M421" s="120">
        <f t="shared" si="315"/>
        <v>360.41642053675571</v>
      </c>
      <c r="N421" s="121">
        <f t="shared" si="315"/>
        <v>448.94724378669952</v>
      </c>
      <c r="O421" s="32">
        <f>O422/O$385</f>
        <v>379.68612047949631</v>
      </c>
    </row>
    <row r="422" spans="1:32">
      <c r="A422" s="34" t="s">
        <v>64</v>
      </c>
      <c r="B422" s="35" t="s">
        <v>57</v>
      </c>
      <c r="C422" s="36">
        <f t="shared" ref="C422:N422" si="316">C44+C140+C328+C234</f>
        <v>426297.15012459725</v>
      </c>
      <c r="D422" s="37">
        <f t="shared" si="316"/>
        <v>339289.33543439989</v>
      </c>
      <c r="E422" s="36">
        <f t="shared" si="316"/>
        <v>396376.83626385749</v>
      </c>
      <c r="F422" s="37">
        <f t="shared" si="316"/>
        <v>423990.40939730866</v>
      </c>
      <c r="G422" s="36">
        <f t="shared" si="316"/>
        <v>464962.11270611006</v>
      </c>
      <c r="H422" s="37">
        <f t="shared" si="316"/>
        <v>525206.5293618351</v>
      </c>
      <c r="I422" s="36">
        <f t="shared" si="316"/>
        <v>550883.40066763409</v>
      </c>
      <c r="J422" s="37">
        <f t="shared" si="316"/>
        <v>536634.0863662</v>
      </c>
      <c r="K422" s="36">
        <f t="shared" si="316"/>
        <v>469641.43344035273</v>
      </c>
      <c r="L422" s="37">
        <f t="shared" si="316"/>
        <v>398459.41038217593</v>
      </c>
      <c r="M422" s="36">
        <f t="shared" si="316"/>
        <v>407903.59052695869</v>
      </c>
      <c r="N422" s="37">
        <f t="shared" si="316"/>
        <v>471924.91555664467</v>
      </c>
      <c r="O422" s="38">
        <f>SUM(C422:N422)</f>
        <v>5411569.2102280753</v>
      </c>
    </row>
    <row r="423" spans="1:32">
      <c r="A423" s="34"/>
      <c r="B423" s="35" t="s">
        <v>58</v>
      </c>
      <c r="C423" s="81">
        <f t="shared" ref="C423:N423" si="317">IF(C422=0,0,C424/C422)</f>
        <v>0.16124649999999996</v>
      </c>
      <c r="D423" s="125">
        <f t="shared" si="317"/>
        <v>0.16124649999999999</v>
      </c>
      <c r="E423" s="126">
        <f t="shared" si="317"/>
        <v>0.16124649999999999</v>
      </c>
      <c r="F423" s="125">
        <f t="shared" si="317"/>
        <v>0.16124649999999999</v>
      </c>
      <c r="G423" s="126">
        <f t="shared" si="317"/>
        <v>0.16124649999999996</v>
      </c>
      <c r="H423" s="125">
        <f t="shared" si="317"/>
        <v>0.16124649999999996</v>
      </c>
      <c r="I423" s="126">
        <f t="shared" si="317"/>
        <v>0.16124650000000001</v>
      </c>
      <c r="J423" s="125">
        <f t="shared" si="317"/>
        <v>0.16124649999999999</v>
      </c>
      <c r="K423" s="126">
        <f t="shared" si="317"/>
        <v>0.16124649999999996</v>
      </c>
      <c r="L423" s="125">
        <f t="shared" si="317"/>
        <v>0.16124649999999996</v>
      </c>
      <c r="M423" s="126">
        <f t="shared" si="317"/>
        <v>0.16124649999999999</v>
      </c>
      <c r="N423" s="125">
        <f t="shared" si="317"/>
        <v>0.16124649999999999</v>
      </c>
      <c r="O423" s="45">
        <f>IF(O422=0,0,+O424/O422)</f>
        <v>0.16124649999999996</v>
      </c>
    </row>
    <row r="424" spans="1:32">
      <c r="A424" s="34"/>
      <c r="B424" s="35" t="s">
        <v>15</v>
      </c>
      <c r="C424" s="48">
        <f t="shared" ref="C424:N424" si="318">C46+C142+C330+C236</f>
        <v>68738.923417565849</v>
      </c>
      <c r="D424" s="49">
        <f t="shared" si="318"/>
        <v>54709.217826122956</v>
      </c>
      <c r="E424" s="48">
        <f t="shared" si="318"/>
        <v>63914.377528620091</v>
      </c>
      <c r="F424" s="49">
        <f t="shared" si="318"/>
        <v>68366.96954888312</v>
      </c>
      <c r="G424" s="48">
        <f t="shared" si="318"/>
        <v>74973.513306465757</v>
      </c>
      <c r="H424" s="49">
        <f t="shared" si="318"/>
        <v>84687.714636743127</v>
      </c>
      <c r="I424" s="48">
        <f t="shared" si="318"/>
        <v>88828.020265753672</v>
      </c>
      <c r="J424" s="49">
        <f t="shared" si="318"/>
        <v>86530.368207247462</v>
      </c>
      <c r="K424" s="48">
        <f t="shared" si="318"/>
        <v>75728.037397239823</v>
      </c>
      <c r="L424" s="49">
        <f t="shared" si="318"/>
        <v>64250.18531618952</v>
      </c>
      <c r="M424" s="48">
        <f t="shared" si="318"/>
        <v>65773.026309905239</v>
      </c>
      <c r="N424" s="49">
        <f t="shared" si="318"/>
        <v>76096.240896304502</v>
      </c>
      <c r="O424" s="50">
        <f>SUM(C424:N424)</f>
        <v>872596.59465704113</v>
      </c>
    </row>
    <row r="425" spans="1:32" ht="13.5" thickBot="1">
      <c r="A425" s="127"/>
      <c r="B425" s="52" t="s">
        <v>59</v>
      </c>
      <c r="C425" s="53">
        <f t="shared" ref="C425:O425" si="319">C424/C$385</f>
        <v>69.635676233540579</v>
      </c>
      <c r="D425" s="128">
        <f t="shared" si="319"/>
        <v>57.022170256528618</v>
      </c>
      <c r="E425" s="129">
        <f t="shared" si="319"/>
        <v>62.053893083255772</v>
      </c>
      <c r="F425" s="128">
        <f t="shared" si="319"/>
        <v>67.684427784556433</v>
      </c>
      <c r="G425" s="129">
        <f t="shared" si="319"/>
        <v>64.311660873537051</v>
      </c>
      <c r="H425" s="128">
        <f t="shared" si="319"/>
        <v>58.797145311052944</v>
      </c>
      <c r="I425" s="129">
        <f t="shared" si="319"/>
        <v>61.785862737029966</v>
      </c>
      <c r="J425" s="128">
        <f t="shared" si="319"/>
        <v>57.985874791514867</v>
      </c>
      <c r="K425" s="129">
        <f t="shared" si="319"/>
        <v>60.312063800399955</v>
      </c>
      <c r="L425" s="128">
        <f t="shared" si="319"/>
        <v>49.747946927502539</v>
      </c>
      <c r="M425" s="129">
        <f t="shared" si="319"/>
        <v>58.115886354079969</v>
      </c>
      <c r="N425" s="128">
        <f t="shared" si="319"/>
        <v>72.391171745252038</v>
      </c>
      <c r="O425" s="55">
        <f t="shared" si="319"/>
        <v>61.223058025897089</v>
      </c>
    </row>
    <row r="426" spans="1:32">
      <c r="A426" s="28" t="s">
        <v>68</v>
      </c>
      <c r="B426" s="29" t="s">
        <v>55</v>
      </c>
      <c r="C426" s="120">
        <f t="shared" ref="C426:N426" si="320">C427/C$385</f>
        <v>16.334856528366931</v>
      </c>
      <c r="D426" s="121">
        <f t="shared" si="320"/>
        <v>18.572588492452233</v>
      </c>
      <c r="E426" s="120">
        <f t="shared" si="320"/>
        <v>18.052097558643066</v>
      </c>
      <c r="F426" s="121">
        <f t="shared" si="320"/>
        <v>17.15674016529406</v>
      </c>
      <c r="G426" s="120">
        <f t="shared" si="320"/>
        <v>17.709113185467</v>
      </c>
      <c r="H426" s="121">
        <f t="shared" si="320"/>
        <v>15.54509179514427</v>
      </c>
      <c r="I426" s="120">
        <f t="shared" si="320"/>
        <v>15.917654598590921</v>
      </c>
      <c r="J426" s="121">
        <f t="shared" si="320"/>
        <v>16.532158833951751</v>
      </c>
      <c r="K426" s="120">
        <f t="shared" si="320"/>
        <v>18.303125950392413</v>
      </c>
      <c r="L426" s="121">
        <f t="shared" si="320"/>
        <v>18.112854228561112</v>
      </c>
      <c r="M426" s="120">
        <f t="shared" si="320"/>
        <v>20.155309998388855</v>
      </c>
      <c r="N426" s="121">
        <f t="shared" si="320"/>
        <v>18.95895977106866</v>
      </c>
      <c r="O426" s="32">
        <f>O427/O$385</f>
        <v>17.510416429498022</v>
      </c>
      <c r="Z426" s="124"/>
      <c r="AD426" s="33"/>
      <c r="AF426" s="58"/>
    </row>
    <row r="427" spans="1:32">
      <c r="A427" s="34" t="s">
        <v>64</v>
      </c>
      <c r="B427" s="35" t="s">
        <v>57</v>
      </c>
      <c r="C427" s="36">
        <f t="shared" ref="C427:N427" si="321">C49+C145+C333+C239</f>
        <v>16124.499863756833</v>
      </c>
      <c r="D427" s="37">
        <f t="shared" si="321"/>
        <v>17819.240917302315</v>
      </c>
      <c r="E427" s="36">
        <f t="shared" si="321"/>
        <v>18593.331074306519</v>
      </c>
      <c r="F427" s="37">
        <f t="shared" si="321"/>
        <v>17329.751773514912</v>
      </c>
      <c r="G427" s="36">
        <f t="shared" si="321"/>
        <v>20645.003021569391</v>
      </c>
      <c r="H427" s="37">
        <f t="shared" si="321"/>
        <v>22390.173723309617</v>
      </c>
      <c r="I427" s="36">
        <f t="shared" si="321"/>
        <v>22884.421818059232</v>
      </c>
      <c r="J427" s="37">
        <f t="shared" si="321"/>
        <v>24670.383887558</v>
      </c>
      <c r="K427" s="36">
        <f t="shared" si="321"/>
        <v>22981.46869994052</v>
      </c>
      <c r="L427" s="37">
        <f t="shared" si="321"/>
        <v>23393.010418824164</v>
      </c>
      <c r="M427" s="36">
        <f t="shared" si="321"/>
        <v>22810.901080152908</v>
      </c>
      <c r="N427" s="37">
        <f t="shared" si="321"/>
        <v>19929.302635955886</v>
      </c>
      <c r="O427" s="38">
        <f>SUM(C427:N427)</f>
        <v>249571.48891425031</v>
      </c>
      <c r="P427" s="57"/>
      <c r="Q427" s="57"/>
      <c r="R427" s="57"/>
      <c r="S427" s="41"/>
      <c r="Y427" s="15"/>
      <c r="Z427" s="124"/>
      <c r="AA427" s="15"/>
      <c r="AC427" s="57"/>
      <c r="AD427" s="33"/>
      <c r="AE427" s="57"/>
      <c r="AF427" s="58"/>
    </row>
    <row r="428" spans="1:32">
      <c r="A428" s="42"/>
      <c r="B428" s="35" t="s">
        <v>58</v>
      </c>
      <c r="C428" s="81">
        <f t="shared" ref="C428:N428" si="322">IF(C427=0,0,C429/C427)</f>
        <v>0.38010681819150099</v>
      </c>
      <c r="D428" s="122">
        <f t="shared" si="322"/>
        <v>0.38586040149655426</v>
      </c>
      <c r="E428" s="123">
        <f t="shared" si="322"/>
        <v>0.38597629263061056</v>
      </c>
      <c r="F428" s="122">
        <f t="shared" si="322"/>
        <v>0.37897200000000009</v>
      </c>
      <c r="G428" s="123">
        <f t="shared" si="322"/>
        <v>0.37897200000000009</v>
      </c>
      <c r="H428" s="122">
        <f t="shared" si="322"/>
        <v>0.37984296399722656</v>
      </c>
      <c r="I428" s="123">
        <f t="shared" si="322"/>
        <v>0.37897200000000009</v>
      </c>
      <c r="J428" s="122">
        <f t="shared" si="322"/>
        <v>0.37897200000000014</v>
      </c>
      <c r="K428" s="123">
        <f t="shared" si="322"/>
        <v>0.37897200000000003</v>
      </c>
      <c r="L428" s="122">
        <f t="shared" si="322"/>
        <v>0.37951593696094926</v>
      </c>
      <c r="M428" s="123">
        <f t="shared" si="322"/>
        <v>0.37897200000000009</v>
      </c>
      <c r="N428" s="122">
        <f t="shared" si="322"/>
        <v>0.38033790384880634</v>
      </c>
      <c r="O428" s="45">
        <f>IF(O427=0,0,+O429/O427)</f>
        <v>0.3802971692499465</v>
      </c>
      <c r="P428" s="47"/>
      <c r="Q428" s="68"/>
      <c r="R428" s="47"/>
      <c r="S428" s="41"/>
      <c r="Z428" s="124"/>
      <c r="AA428" s="15"/>
      <c r="AC428" s="47"/>
      <c r="AD428" s="33"/>
      <c r="AE428" s="68"/>
      <c r="AF428" s="58"/>
    </row>
    <row r="429" spans="1:32">
      <c r="A429" s="42"/>
      <c r="B429" s="35" t="s">
        <v>15</v>
      </c>
      <c r="C429" s="48">
        <f t="shared" ref="C429:N429" si="323">C51+C147+C335+C241</f>
        <v>6129.0323381419012</v>
      </c>
      <c r="D429" s="49">
        <f t="shared" si="323"/>
        <v>6875.7394547140993</v>
      </c>
      <c r="E429" s="48">
        <f t="shared" si="323"/>
        <v>7176.5849957143573</v>
      </c>
      <c r="F429" s="49">
        <f t="shared" si="323"/>
        <v>6567.4906891124947</v>
      </c>
      <c r="G429" s="48">
        <f t="shared" si="323"/>
        <v>7823.8780850901967</v>
      </c>
      <c r="H429" s="49">
        <f t="shared" si="323"/>
        <v>8504.7499514747433</v>
      </c>
      <c r="I429" s="48">
        <f t="shared" si="323"/>
        <v>8672.555105233545</v>
      </c>
      <c r="J429" s="49">
        <f t="shared" si="323"/>
        <v>9349.3847226356338</v>
      </c>
      <c r="K429" s="48">
        <f t="shared" si="323"/>
        <v>8709.3331561538598</v>
      </c>
      <c r="L429" s="49">
        <f t="shared" si="323"/>
        <v>8878.0202674373013</v>
      </c>
      <c r="M429" s="48">
        <f t="shared" si="323"/>
        <v>8644.6928041477095</v>
      </c>
      <c r="N429" s="49">
        <f t="shared" si="323"/>
        <v>7579.8691897279523</v>
      </c>
      <c r="O429" s="50">
        <f>SUM(C429:N429)</f>
        <v>94911.330759583798</v>
      </c>
      <c r="P429" s="40"/>
      <c r="Q429" s="40"/>
      <c r="R429" s="40"/>
      <c r="S429" s="41"/>
      <c r="Z429" s="124"/>
      <c r="AA429" s="15"/>
      <c r="AC429" s="40"/>
      <c r="AD429" s="33"/>
      <c r="AE429" s="40"/>
      <c r="AF429" s="58"/>
    </row>
    <row r="430" spans="1:32" ht="13.5" thickBot="1">
      <c r="A430" s="51"/>
      <c r="B430" s="52" t="s">
        <v>59</v>
      </c>
      <c r="C430" s="53">
        <f t="shared" ref="C430:O430" si="324">C429/C$385</f>
        <v>6.2089903406122211</v>
      </c>
      <c r="D430" s="54">
        <f t="shared" si="324"/>
        <v>7.1664264525279018</v>
      </c>
      <c r="E430" s="53">
        <f t="shared" si="324"/>
        <v>6.9676816898911458</v>
      </c>
      <c r="F430" s="54">
        <f t="shared" si="324"/>
        <v>6.5019241339218219</v>
      </c>
      <c r="G430" s="53">
        <f t="shared" si="324"/>
        <v>6.7112580421228012</v>
      </c>
      <c r="H430" s="54">
        <f t="shared" si="324"/>
        <v>5.9046937430765674</v>
      </c>
      <c r="I430" s="53">
        <f t="shared" si="324"/>
        <v>6.0323453985372</v>
      </c>
      <c r="J430" s="54">
        <f t="shared" si="324"/>
        <v>6.2652252976203657</v>
      </c>
      <c r="K430" s="53">
        <f t="shared" si="324"/>
        <v>6.9363722476721144</v>
      </c>
      <c r="L430" s="54">
        <f t="shared" si="324"/>
        <v>6.8741168435894631</v>
      </c>
      <c r="M430" s="53">
        <f t="shared" si="324"/>
        <v>7.6382981407094235</v>
      </c>
      <c r="N430" s="54">
        <f t="shared" si="324"/>
        <v>7.2108110184820982</v>
      </c>
      <c r="O430" s="55">
        <f t="shared" si="324"/>
        <v>6.6591618005258528</v>
      </c>
      <c r="P430" s="57"/>
      <c r="Q430" s="57"/>
      <c r="R430" s="57"/>
      <c r="S430" s="41"/>
      <c r="Z430" s="124"/>
      <c r="AA430" s="15"/>
      <c r="AC430" s="57"/>
      <c r="AD430" s="33"/>
      <c r="AE430" s="57"/>
      <c r="AF430" s="58"/>
    </row>
    <row r="431" spans="1:32">
      <c r="A431" s="28" t="s">
        <v>69</v>
      </c>
      <c r="B431" s="29" t="s">
        <v>55</v>
      </c>
      <c r="C431" s="120">
        <f t="shared" ref="C431:N431" si="325">C432/C$385</f>
        <v>0.55652133948405136</v>
      </c>
      <c r="D431" s="121">
        <f t="shared" si="325"/>
        <v>0.64537431060782846</v>
      </c>
      <c r="E431" s="120">
        <f t="shared" si="325"/>
        <v>0.63909125298875491</v>
      </c>
      <c r="F431" s="121">
        <f t="shared" si="325"/>
        <v>0.41936901529870124</v>
      </c>
      <c r="G431" s="120">
        <f t="shared" si="325"/>
        <v>0.79447313213305759</v>
      </c>
      <c r="H431" s="121">
        <f t="shared" si="325"/>
        <v>0.22332716692311813</v>
      </c>
      <c r="I431" s="120">
        <f t="shared" si="325"/>
        <v>0.74209071274269256</v>
      </c>
      <c r="J431" s="121">
        <f t="shared" si="325"/>
        <v>0.76896172917124672</v>
      </c>
      <c r="K431" s="120">
        <f t="shared" si="325"/>
        <v>0.52865975141861232</v>
      </c>
      <c r="L431" s="121">
        <f t="shared" si="325"/>
        <v>0.34556713836281966</v>
      </c>
      <c r="M431" s="120">
        <f t="shared" si="325"/>
        <v>0.55593968344723088</v>
      </c>
      <c r="N431" s="121">
        <f t="shared" si="325"/>
        <v>0.44327100833102934</v>
      </c>
      <c r="O431" s="32">
        <f>O432/O$385</f>
        <v>0.55553312642919273</v>
      </c>
    </row>
    <row r="432" spans="1:32">
      <c r="A432" s="34" t="s">
        <v>56</v>
      </c>
      <c r="B432" s="35" t="s">
        <v>57</v>
      </c>
      <c r="C432" s="36">
        <f t="shared" ref="C432:N432" si="326">C54+C150+C338+C244</f>
        <v>549.35458092973477</v>
      </c>
      <c r="D432" s="37">
        <f t="shared" si="326"/>
        <v>619.19642096374139</v>
      </c>
      <c r="E432" s="36">
        <f t="shared" si="326"/>
        <v>658.25232856798891</v>
      </c>
      <c r="F432" s="37">
        <f t="shared" si="326"/>
        <v>423.59800676653236</v>
      </c>
      <c r="G432" s="36">
        <f t="shared" si="326"/>
        <v>926.18416527502382</v>
      </c>
      <c r="H432" s="37">
        <f t="shared" si="326"/>
        <v>321.66642245915239</v>
      </c>
      <c r="I432" s="36">
        <f t="shared" si="326"/>
        <v>1066.8856264271074</v>
      </c>
      <c r="J432" s="37">
        <f t="shared" si="326"/>
        <v>1147.4956927304361</v>
      </c>
      <c r="K432" s="36">
        <f t="shared" si="326"/>
        <v>663.78702540069094</v>
      </c>
      <c r="L432" s="37">
        <f t="shared" si="326"/>
        <v>446.30490402654084</v>
      </c>
      <c r="M432" s="36">
        <f t="shared" si="326"/>
        <v>629.1882946310435</v>
      </c>
      <c r="N432" s="37">
        <f t="shared" si="326"/>
        <v>465.95816339328917</v>
      </c>
      <c r="O432" s="38">
        <f>SUM(C432:N432)</f>
        <v>7917.8716315712818</v>
      </c>
      <c r="P432" s="57"/>
      <c r="Q432" s="57"/>
      <c r="R432" s="57"/>
      <c r="S432" s="41"/>
    </row>
    <row r="433" spans="1:32">
      <c r="A433" s="42"/>
      <c r="B433" s="35" t="s">
        <v>58</v>
      </c>
      <c r="C433" s="81">
        <f t="shared" ref="C433:N433" si="327">IF(C432=0,0,C434/C432)</f>
        <v>1.2684142367153914</v>
      </c>
      <c r="D433" s="122">
        <f t="shared" si="327"/>
        <v>1.2466042028599935</v>
      </c>
      <c r="E433" s="123">
        <f t="shared" si="327"/>
        <v>1.2455534651807703</v>
      </c>
      <c r="F433" s="122">
        <f t="shared" si="327"/>
        <v>1.2415830147856781</v>
      </c>
      <c r="G433" s="123">
        <f t="shared" si="327"/>
        <v>0.81500001322085558</v>
      </c>
      <c r="H433" s="122">
        <f t="shared" si="327"/>
        <v>1.2398244756752608</v>
      </c>
      <c r="I433" s="123">
        <f t="shared" si="327"/>
        <v>0.86583581304717383</v>
      </c>
      <c r="J433" s="122">
        <f t="shared" si="327"/>
        <v>0.97496411004243411</v>
      </c>
      <c r="K433" s="123">
        <f t="shared" si="327"/>
        <v>0.77194405860226112</v>
      </c>
      <c r="L433" s="122">
        <f t="shared" si="327"/>
        <v>1.2464880300179138</v>
      </c>
      <c r="M433" s="123">
        <f t="shared" si="327"/>
        <v>1.245078648415634</v>
      </c>
      <c r="N433" s="122">
        <f t="shared" si="327"/>
        <v>1.1393856859481919</v>
      </c>
      <c r="O433" s="45">
        <f>IF(O432=0,0,+O434/O432)</f>
        <v>1.0600958233708149</v>
      </c>
      <c r="P433" s="47"/>
      <c r="Q433" s="47"/>
      <c r="R433" s="47"/>
      <c r="S433" s="41"/>
    </row>
    <row r="434" spans="1:32">
      <c r="A434" s="42"/>
      <c r="B434" s="35" t="s">
        <v>15</v>
      </c>
      <c r="C434" s="48">
        <f t="shared" ref="C434:N434" si="328">C56+C152+C340+C246</f>
        <v>696.80917145609328</v>
      </c>
      <c r="D434" s="49">
        <f t="shared" si="328"/>
        <v>771.89286076926578</v>
      </c>
      <c r="E434" s="48">
        <f t="shared" si="328"/>
        <v>819.88846881116956</v>
      </c>
      <c r="F434" s="49">
        <f t="shared" si="328"/>
        <v>525.93209029839534</v>
      </c>
      <c r="G434" s="48">
        <f t="shared" si="328"/>
        <v>754.84010694409153</v>
      </c>
      <c r="H434" s="49">
        <f t="shared" si="328"/>
        <v>398.80990356775555</v>
      </c>
      <c r="I434" s="48">
        <f t="shared" si="328"/>
        <v>923.74778378585791</v>
      </c>
      <c r="J434" s="49">
        <f t="shared" si="328"/>
        <v>1118.7671168404561</v>
      </c>
      <c r="K434" s="48">
        <f t="shared" si="328"/>
        <v>512.40645043533152</v>
      </c>
      <c r="L434" s="49">
        <f t="shared" si="328"/>
        <v>556.31372060737692</v>
      </c>
      <c r="M434" s="48">
        <f t="shared" si="328"/>
        <v>783.38891147815741</v>
      </c>
      <c r="N434" s="49">
        <f t="shared" si="328"/>
        <v>530.90606162102245</v>
      </c>
      <c r="O434" s="50">
        <f>SUM(C434:N434)</f>
        <v>8393.7026466149746</v>
      </c>
      <c r="P434" s="40"/>
      <c r="Q434" s="40"/>
      <c r="R434" s="40"/>
      <c r="S434" s="41"/>
    </row>
    <row r="435" spans="1:32" ht="13.5" thickBot="1">
      <c r="A435" s="51"/>
      <c r="B435" s="52" t="s">
        <v>59</v>
      </c>
      <c r="C435" s="53">
        <f t="shared" ref="C435:O435" si="329">C434/C$385</f>
        <v>0.70589959003749025</v>
      </c>
      <c r="D435" s="54">
        <f t="shared" si="329"/>
        <v>0.80452632802158985</v>
      </c>
      <c r="E435" s="53">
        <f t="shared" si="329"/>
        <v>0.79602232472686396</v>
      </c>
      <c r="F435" s="54">
        <f t="shared" si="329"/>
        <v>0.52068144632226265</v>
      </c>
      <c r="G435" s="53">
        <f t="shared" si="329"/>
        <v>0.64749561319205651</v>
      </c>
      <c r="H435" s="54">
        <f t="shared" si="329"/>
        <v>0.27688648763449641</v>
      </c>
      <c r="I435" s="53">
        <f t="shared" si="329"/>
        <v>0.64252871562232594</v>
      </c>
      <c r="J435" s="54">
        <f t="shared" si="329"/>
        <v>0.74971008793813587</v>
      </c>
      <c r="K435" s="53">
        <f t="shared" si="329"/>
        <v>0.40809575412974602</v>
      </c>
      <c r="L435" s="54">
        <f t="shared" si="329"/>
        <v>0.43074530153679891</v>
      </c>
      <c r="M435" s="53">
        <f t="shared" si="329"/>
        <v>0.69218862966709371</v>
      </c>
      <c r="N435" s="54">
        <f t="shared" si="329"/>
        <v>0.50505664188819654</v>
      </c>
      <c r="O435" s="55">
        <f t="shared" si="329"/>
        <v>0.58891834707171797</v>
      </c>
      <c r="P435" s="57"/>
      <c r="Q435" s="57"/>
      <c r="R435" s="57"/>
      <c r="S435" s="41"/>
    </row>
    <row r="436" spans="1:32">
      <c r="A436" s="181" t="s">
        <v>70</v>
      </c>
      <c r="B436" s="29" t="s">
        <v>55</v>
      </c>
      <c r="C436" s="120">
        <f t="shared" ref="C436:N436" si="330">C437/C$385</f>
        <v>1.6921882709997929</v>
      </c>
      <c r="D436" s="121">
        <f t="shared" si="330"/>
        <v>2.2761539394698413</v>
      </c>
      <c r="E436" s="120">
        <f t="shared" si="330"/>
        <v>2.251888078206822</v>
      </c>
      <c r="F436" s="121">
        <f t="shared" si="330"/>
        <v>1.9214528725083722</v>
      </c>
      <c r="G436" s="120">
        <f t="shared" si="330"/>
        <v>2.6095005079424145</v>
      </c>
      <c r="H436" s="121">
        <f t="shared" si="330"/>
        <v>2.5191570946477801</v>
      </c>
      <c r="I436" s="120">
        <f t="shared" si="330"/>
        <v>3.6701308994387261</v>
      </c>
      <c r="J436" s="121">
        <f t="shared" si="330"/>
        <v>3.5463789376416601</v>
      </c>
      <c r="K436" s="120">
        <f t="shared" si="330"/>
        <v>2.1827854831386455</v>
      </c>
      <c r="L436" s="121">
        <f t="shared" si="330"/>
        <v>1.6803803934156711</v>
      </c>
      <c r="M436" s="120">
        <f t="shared" si="330"/>
        <v>3.4540542094919946</v>
      </c>
      <c r="N436" s="121">
        <f t="shared" si="330"/>
        <v>4.0164894188392815</v>
      </c>
      <c r="O436" s="32">
        <f>O437/O$385</f>
        <v>2.6939205451630803</v>
      </c>
      <c r="P436" s="9"/>
      <c r="Q436" s="9"/>
      <c r="R436" s="9"/>
      <c r="S436" s="70"/>
    </row>
    <row r="437" spans="1:32">
      <c r="A437" s="34" t="s">
        <v>71</v>
      </c>
      <c r="B437" s="35" t="s">
        <v>57</v>
      </c>
      <c r="C437" s="36">
        <f t="shared" ref="C437:N437" si="331">C59+C155+C343+C249</f>
        <v>1670.3966452232407</v>
      </c>
      <c r="D437" s="37">
        <f t="shared" si="331"/>
        <v>2183.8278185489803</v>
      </c>
      <c r="E437" s="36">
        <f t="shared" si="331"/>
        <v>2319.4036285460102</v>
      </c>
      <c r="F437" s="37">
        <f t="shared" si="331"/>
        <v>1940.8291437807975</v>
      </c>
      <c r="G437" s="36">
        <f t="shared" si="331"/>
        <v>3042.1142666516498</v>
      </c>
      <c r="H437" s="37">
        <f t="shared" si="331"/>
        <v>3628.4356328529648</v>
      </c>
      <c r="I437" s="36">
        <f t="shared" si="331"/>
        <v>5276.4572261596804</v>
      </c>
      <c r="J437" s="37">
        <f t="shared" si="331"/>
        <v>5292.1418600632105</v>
      </c>
      <c r="K437" s="36">
        <f t="shared" si="331"/>
        <v>2740.7130560864571</v>
      </c>
      <c r="L437" s="37">
        <f t="shared" si="331"/>
        <v>2170.2353231980583</v>
      </c>
      <c r="M437" s="36">
        <f t="shared" si="331"/>
        <v>3909.1479567670176</v>
      </c>
      <c r="N437" s="37">
        <f t="shared" si="331"/>
        <v>4222.0582842478743</v>
      </c>
      <c r="O437" s="38">
        <f>SUM(C437:N437)</f>
        <v>38395.760842125943</v>
      </c>
      <c r="P437" s="15"/>
      <c r="Q437" s="15"/>
      <c r="R437" s="15"/>
      <c r="S437" s="71"/>
    </row>
    <row r="438" spans="1:32" ht="15.75">
      <c r="A438" s="34" t="s">
        <v>56</v>
      </c>
      <c r="B438" s="35" t="s">
        <v>58</v>
      </c>
      <c r="C438" s="81">
        <f t="shared" ref="C438:N438" si="332">IF(C437=0,0,C439/C437)</f>
        <v>2.626796174263486</v>
      </c>
      <c r="D438" s="122">
        <f t="shared" si="332"/>
        <v>2.6111529999999998</v>
      </c>
      <c r="E438" s="123">
        <f t="shared" si="332"/>
        <v>2.6111529999999998</v>
      </c>
      <c r="F438" s="122">
        <f t="shared" si="332"/>
        <v>2.6111529999999998</v>
      </c>
      <c r="G438" s="123">
        <f t="shared" si="332"/>
        <v>2.6237630226322173</v>
      </c>
      <c r="H438" s="122">
        <f t="shared" si="332"/>
        <v>2.3804069310136096</v>
      </c>
      <c r="I438" s="123">
        <f t="shared" si="332"/>
        <v>2.3022788793095095</v>
      </c>
      <c r="J438" s="122">
        <f t="shared" si="332"/>
        <v>2.4758620361814825</v>
      </c>
      <c r="K438" s="123">
        <f t="shared" si="332"/>
        <v>2.598151195571349</v>
      </c>
      <c r="L438" s="122">
        <f t="shared" si="332"/>
        <v>2.5826027166866248</v>
      </c>
      <c r="M438" s="123">
        <f t="shared" si="332"/>
        <v>2.6259245012215384</v>
      </c>
      <c r="N438" s="122">
        <f t="shared" si="332"/>
        <v>2.6204348924261405</v>
      </c>
      <c r="O438" s="45">
        <f>IF(O437=0,0,+O439/O437)</f>
        <v>2.5299159522703993</v>
      </c>
      <c r="P438" s="15"/>
      <c r="Q438" s="72"/>
      <c r="R438" s="15"/>
      <c r="S438" s="15"/>
    </row>
    <row r="439" spans="1:32">
      <c r="A439" s="42"/>
      <c r="B439" s="35" t="s">
        <v>15</v>
      </c>
      <c r="C439" s="48">
        <f t="shared" ref="C439:N439" si="333">C61+C157+C345+C251</f>
        <v>4387.7915171749701</v>
      </c>
      <c r="D439" s="49">
        <f t="shared" si="333"/>
        <v>5702.3085598876251</v>
      </c>
      <c r="E439" s="48">
        <f t="shared" si="333"/>
        <v>6056.3177428887993</v>
      </c>
      <c r="F439" s="49">
        <f t="shared" si="333"/>
        <v>5067.8018412706606</v>
      </c>
      <c r="G439" s="48">
        <f t="shared" si="333"/>
        <v>7981.7869234625232</v>
      </c>
      <c r="H439" s="49">
        <f t="shared" si="333"/>
        <v>8637.1533291799497</v>
      </c>
      <c r="I439" s="48">
        <f t="shared" si="333"/>
        <v>12147.876029367471</v>
      </c>
      <c r="J439" s="49">
        <f t="shared" si="333"/>
        <v>13102.613121417358</v>
      </c>
      <c r="K439" s="48">
        <f t="shared" si="333"/>
        <v>7120.7869033890347</v>
      </c>
      <c r="L439" s="49">
        <f t="shared" si="333"/>
        <v>5604.8556415405801</v>
      </c>
      <c r="M439" s="48">
        <f t="shared" si="333"/>
        <v>10265.127398574627</v>
      </c>
      <c r="N439" s="49">
        <f t="shared" si="333"/>
        <v>11063.628845899973</v>
      </c>
      <c r="O439" s="50">
        <f>SUM(C439:N439)</f>
        <v>97138.04785405357</v>
      </c>
      <c r="P439" s="15"/>
      <c r="Q439" s="15"/>
      <c r="R439" s="15"/>
      <c r="S439" s="15"/>
    </row>
    <row r="440" spans="1:32" ht="13.5" thickBot="1">
      <c r="A440" s="51"/>
      <c r="B440" s="52" t="s">
        <v>59</v>
      </c>
      <c r="C440" s="53">
        <f t="shared" ref="C440:O440" si="334">C439/C$385</f>
        <v>4.4450336763957985</v>
      </c>
      <c r="D440" s="54">
        <f t="shared" si="334"/>
        <v>5.9433861875084943</v>
      </c>
      <c r="E440" s="53">
        <f t="shared" si="334"/>
        <v>5.8800243110739778</v>
      </c>
      <c r="F440" s="54">
        <f t="shared" si="334"/>
        <v>5.0172074324088536</v>
      </c>
      <c r="G440" s="53">
        <f t="shared" si="334"/>
        <v>6.8467109402792952</v>
      </c>
      <c r="H440" s="54">
        <f t="shared" si="334"/>
        <v>5.9966190084116837</v>
      </c>
      <c r="I440" s="53">
        <f t="shared" si="334"/>
        <v>8.4496648540789909</v>
      </c>
      <c r="J440" s="54">
        <f t="shared" si="334"/>
        <v>8.7803449776206026</v>
      </c>
      <c r="K440" s="53">
        <f t="shared" si="334"/>
        <v>5.6712067126924568</v>
      </c>
      <c r="L440" s="54">
        <f t="shared" si="334"/>
        <v>4.3397549691022519</v>
      </c>
      <c r="M440" s="53">
        <f t="shared" si="334"/>
        <v>9.0700855772524207</v>
      </c>
      <c r="N440" s="54">
        <f t="shared" si="334"/>
        <v>10.524949018186843</v>
      </c>
      <c r="O440" s="55">
        <f t="shared" si="334"/>
        <v>6.815392561357049</v>
      </c>
      <c r="P440" s="8"/>
      <c r="S440" s="41"/>
    </row>
    <row r="441" spans="1:32">
      <c r="A441" s="28" t="s">
        <v>72</v>
      </c>
      <c r="B441" s="29" t="s">
        <v>55</v>
      </c>
      <c r="C441" s="120">
        <f t="shared" ref="C441:N441" si="335">C442/C$385</f>
        <v>3.2076749738664976</v>
      </c>
      <c r="D441" s="121">
        <f t="shared" si="335"/>
        <v>3.5248742068151078</v>
      </c>
      <c r="E441" s="120">
        <f t="shared" si="335"/>
        <v>3.9585948362443024</v>
      </c>
      <c r="F441" s="121">
        <f t="shared" si="335"/>
        <v>3.1287596030727336</v>
      </c>
      <c r="G441" s="120">
        <f t="shared" si="335"/>
        <v>3.5319526311222913</v>
      </c>
      <c r="H441" s="121">
        <f t="shared" si="335"/>
        <v>3.8011811548756831</v>
      </c>
      <c r="I441" s="120">
        <f t="shared" si="335"/>
        <v>3.189006098452003</v>
      </c>
      <c r="J441" s="121">
        <f t="shared" si="335"/>
        <v>2.8993222405713652</v>
      </c>
      <c r="K441" s="120">
        <f t="shared" si="335"/>
        <v>3.8177888409654255</v>
      </c>
      <c r="L441" s="121">
        <f t="shared" si="335"/>
        <v>3.2841193473021892</v>
      </c>
      <c r="M441" s="120">
        <f t="shared" si="335"/>
        <v>4.9446979018842834</v>
      </c>
      <c r="N441" s="121">
        <f t="shared" si="335"/>
        <v>2.9151131076838444</v>
      </c>
      <c r="O441" s="32">
        <f>O442/O$385</f>
        <v>3.5070628900968366</v>
      </c>
    </row>
    <row r="442" spans="1:32">
      <c r="A442" s="34" t="s">
        <v>56</v>
      </c>
      <c r="B442" s="35" t="s">
        <v>57</v>
      </c>
      <c r="C442" s="36">
        <f t="shared" ref="C442:N442" si="336">C64+C160+C348+C254</f>
        <v>3166.3672459728327</v>
      </c>
      <c r="D442" s="37">
        <f t="shared" si="336"/>
        <v>3381.8970748180354</v>
      </c>
      <c r="E442" s="36">
        <f t="shared" si="336"/>
        <v>4077.2804456781987</v>
      </c>
      <c r="F442" s="37">
        <f t="shared" si="336"/>
        <v>3160.3105693663806</v>
      </c>
      <c r="G442" s="36">
        <f t="shared" si="336"/>
        <v>4117.4943080379207</v>
      </c>
      <c r="H442" s="37">
        <f t="shared" si="336"/>
        <v>5474.9825561031594</v>
      </c>
      <c r="I442" s="36">
        <f t="shared" si="336"/>
        <v>4584.7558938613511</v>
      </c>
      <c r="J442" s="37">
        <f t="shared" si="336"/>
        <v>4326.5609414383343</v>
      </c>
      <c r="K442" s="36">
        <f t="shared" si="336"/>
        <v>4793.6289675014796</v>
      </c>
      <c r="L442" s="37">
        <f t="shared" si="336"/>
        <v>4241.4871305572888</v>
      </c>
      <c r="M442" s="36">
        <f t="shared" si="336"/>
        <v>5596.1934954182434</v>
      </c>
      <c r="N442" s="37">
        <f t="shared" si="336"/>
        <v>3064.3121797076578</v>
      </c>
      <c r="O442" s="38">
        <f>SUM(C442:N442)</f>
        <v>49985.270808460882</v>
      </c>
      <c r="P442" s="57"/>
      <c r="Q442" s="57"/>
      <c r="R442" s="60"/>
      <c r="S442" s="41"/>
    </row>
    <row r="443" spans="1:32" ht="15.75">
      <c r="A443" s="42"/>
      <c r="B443" s="35" t="s">
        <v>58</v>
      </c>
      <c r="C443" s="81">
        <f t="shared" ref="C443:N443" si="337">IF(C442=0,0,C444/C442)</f>
        <v>0.16644799999999996</v>
      </c>
      <c r="D443" s="44">
        <f t="shared" si="337"/>
        <v>0.16644799999999998</v>
      </c>
      <c r="E443" s="43">
        <f t="shared" si="337"/>
        <v>0.16644799999999998</v>
      </c>
      <c r="F443" s="44">
        <f t="shared" si="337"/>
        <v>0.16644799999999998</v>
      </c>
      <c r="G443" s="43">
        <f t="shared" si="337"/>
        <v>0.16644799999999998</v>
      </c>
      <c r="H443" s="44">
        <f t="shared" si="337"/>
        <v>0.16644800000000001</v>
      </c>
      <c r="I443" s="43">
        <f t="shared" si="337"/>
        <v>0.16644799999999998</v>
      </c>
      <c r="J443" s="44">
        <f t="shared" si="337"/>
        <v>0.16644800000000001</v>
      </c>
      <c r="K443" s="43">
        <f t="shared" si="337"/>
        <v>0.16644800000000001</v>
      </c>
      <c r="L443" s="44">
        <f t="shared" si="337"/>
        <v>0.16644799999999993</v>
      </c>
      <c r="M443" s="43">
        <f t="shared" si="337"/>
        <v>0.16644800000000001</v>
      </c>
      <c r="N443" s="44">
        <f t="shared" si="337"/>
        <v>0.16644799999999998</v>
      </c>
      <c r="O443" s="45">
        <f>IF(O442=0,0,+O444/O442)</f>
        <v>0.16644799999999998</v>
      </c>
      <c r="P443" s="46"/>
      <c r="Q443" s="47"/>
      <c r="R443" s="47"/>
      <c r="S443" s="41"/>
    </row>
    <row r="444" spans="1:32">
      <c r="A444" s="42"/>
      <c r="B444" s="35" t="s">
        <v>15</v>
      </c>
      <c r="C444" s="48">
        <f t="shared" ref="C444:N444" si="338">C66+C162+C350+C256</f>
        <v>527.03549535768593</v>
      </c>
      <c r="D444" s="49">
        <f t="shared" si="338"/>
        <v>562.91000430931228</v>
      </c>
      <c r="E444" s="48">
        <f t="shared" si="338"/>
        <v>678.65517562224477</v>
      </c>
      <c r="F444" s="49">
        <f t="shared" si="338"/>
        <v>526.02737364989525</v>
      </c>
      <c r="G444" s="48">
        <f t="shared" si="338"/>
        <v>685.3486925842958</v>
      </c>
      <c r="H444" s="49">
        <f t="shared" si="338"/>
        <v>911.2998964982587</v>
      </c>
      <c r="I444" s="48">
        <f t="shared" si="338"/>
        <v>763.12344902143411</v>
      </c>
      <c r="J444" s="49">
        <f t="shared" si="338"/>
        <v>720.14741558052788</v>
      </c>
      <c r="K444" s="48">
        <f t="shared" si="338"/>
        <v>797.88995438268637</v>
      </c>
      <c r="L444" s="49">
        <f t="shared" si="338"/>
        <v>705.98704990699935</v>
      </c>
      <c r="M444" s="48">
        <f t="shared" si="338"/>
        <v>931.47521492537578</v>
      </c>
      <c r="N444" s="49">
        <f t="shared" si="338"/>
        <v>510.04863368798016</v>
      </c>
      <c r="O444" s="50">
        <f>SUM(C444:N444)</f>
        <v>8319.9483555266961</v>
      </c>
      <c r="P444" s="40"/>
      <c r="Q444" s="40"/>
      <c r="R444" s="40"/>
      <c r="S444" s="41"/>
    </row>
    <row r="445" spans="1:32" ht="16.5" thickBot="1">
      <c r="A445" s="51"/>
      <c r="B445" s="52" t="s">
        <v>59</v>
      </c>
      <c r="C445" s="53">
        <f t="shared" ref="C445:O445" si="339">C444/C$385</f>
        <v>0.53391108405013066</v>
      </c>
      <c r="D445" s="54">
        <f t="shared" si="339"/>
        <v>0.58670826197596093</v>
      </c>
      <c r="E445" s="53">
        <f t="shared" si="339"/>
        <v>0.65890019330319161</v>
      </c>
      <c r="F445" s="54">
        <f t="shared" si="339"/>
        <v>0.52077577841225031</v>
      </c>
      <c r="G445" s="53">
        <f t="shared" si="339"/>
        <v>0.58788645154504315</v>
      </c>
      <c r="H445" s="54">
        <f t="shared" si="339"/>
        <v>0.63269900086674769</v>
      </c>
      <c r="I445" s="53">
        <f t="shared" si="339"/>
        <v>0.53080368707513892</v>
      </c>
      <c r="J445" s="54">
        <f t="shared" si="339"/>
        <v>0.4825863882986226</v>
      </c>
      <c r="K445" s="53">
        <f t="shared" si="339"/>
        <v>0.63546331700101322</v>
      </c>
      <c r="L445" s="54">
        <f t="shared" si="339"/>
        <v>0.54663509711975466</v>
      </c>
      <c r="M445" s="53">
        <f t="shared" si="339"/>
        <v>0.82303507637283513</v>
      </c>
      <c r="N445" s="54">
        <f t="shared" si="339"/>
        <v>0.48521474654776048</v>
      </c>
      <c r="O445" s="55">
        <f t="shared" si="339"/>
        <v>0.58374360393083824</v>
      </c>
      <c r="P445" s="56"/>
      <c r="Q445" s="57"/>
      <c r="R445" s="57"/>
      <c r="S445" s="41"/>
    </row>
    <row r="446" spans="1:32">
      <c r="A446" s="181" t="s">
        <v>73</v>
      </c>
      <c r="B446" s="29" t="s">
        <v>55</v>
      </c>
      <c r="C446" s="120">
        <f t="shared" ref="C446:N446" si="340">C447/C$385</f>
        <v>0.77707751603937825</v>
      </c>
      <c r="D446" s="121">
        <f t="shared" si="340"/>
        <v>0</v>
      </c>
      <c r="E446" s="120">
        <f t="shared" si="340"/>
        <v>2.0202360097416228</v>
      </c>
      <c r="F446" s="121">
        <f t="shared" si="340"/>
        <v>24.568185377951181</v>
      </c>
      <c r="G446" s="120">
        <f t="shared" si="340"/>
        <v>10.596852387281826</v>
      </c>
      <c r="H446" s="121">
        <f t="shared" si="340"/>
        <v>2.1773894171274861</v>
      </c>
      <c r="I446" s="120">
        <f t="shared" si="340"/>
        <v>22.996121506932372</v>
      </c>
      <c r="J446" s="121">
        <f t="shared" si="340"/>
        <v>12.735517363156898</v>
      </c>
      <c r="K446" s="120">
        <f t="shared" si="340"/>
        <v>0.35454482485046229</v>
      </c>
      <c r="L446" s="121">
        <f t="shared" si="340"/>
        <v>1.7492386572607165E-2</v>
      </c>
      <c r="M446" s="120">
        <f t="shared" si="340"/>
        <v>0</v>
      </c>
      <c r="N446" s="121">
        <f t="shared" si="340"/>
        <v>3.6294003819212772</v>
      </c>
      <c r="O446" s="32">
        <f>O447/O$385</f>
        <v>6.9812723475822454</v>
      </c>
      <c r="Z446" s="124"/>
      <c r="AD446" s="33"/>
      <c r="AF446" s="58"/>
    </row>
    <row r="447" spans="1:32">
      <c r="A447" s="34" t="s">
        <v>64</v>
      </c>
      <c r="B447" s="35" t="s">
        <v>57</v>
      </c>
      <c r="C447" s="36">
        <f t="shared" ref="C447:N447" si="341">C69+C165+C353+C259</f>
        <v>767.07048389105955</v>
      </c>
      <c r="D447" s="66">
        <f t="shared" si="341"/>
        <v>0</v>
      </c>
      <c r="E447" s="65">
        <f t="shared" si="341"/>
        <v>2080.8062251678548</v>
      </c>
      <c r="F447" s="66">
        <f t="shared" si="341"/>
        <v>24815.935313099453</v>
      </c>
      <c r="G447" s="65">
        <f t="shared" si="341"/>
        <v>12353.642289332342</v>
      </c>
      <c r="H447" s="66">
        <f t="shared" si="341"/>
        <v>3136.1749390253653</v>
      </c>
      <c r="I447" s="65">
        <f t="shared" si="341"/>
        <v>33060.960173778985</v>
      </c>
      <c r="J447" s="66">
        <f t="shared" si="341"/>
        <v>19004.783677162319</v>
      </c>
      <c r="K447" s="65">
        <f t="shared" si="341"/>
        <v>445.16771709436352</v>
      </c>
      <c r="L447" s="66">
        <f t="shared" si="341"/>
        <v>22.59166756268905</v>
      </c>
      <c r="M447" s="65">
        <f t="shared" si="341"/>
        <v>0</v>
      </c>
      <c r="N447" s="66">
        <f t="shared" si="341"/>
        <v>3815.1575546217805</v>
      </c>
      <c r="O447" s="67">
        <f>SUM(C447:N447)</f>
        <v>99502.290040736203</v>
      </c>
      <c r="P447" s="57"/>
      <c r="Q447" s="57"/>
      <c r="R447" s="60"/>
      <c r="S447" s="41"/>
      <c r="Y447" s="15"/>
      <c r="Z447" s="124"/>
      <c r="AA447" s="15"/>
      <c r="AC447" s="57"/>
      <c r="AD447" s="33"/>
      <c r="AE447" s="57"/>
      <c r="AF447" s="58"/>
    </row>
    <row r="448" spans="1:32">
      <c r="A448" s="42"/>
      <c r="B448" s="35" t="s">
        <v>58</v>
      </c>
      <c r="C448" s="81">
        <f t="shared" ref="C448:N448" si="342">IF(C447=0,0,C449/C447)</f>
        <v>0.11025000000000001</v>
      </c>
      <c r="D448" s="82">
        <f t="shared" si="342"/>
        <v>0</v>
      </c>
      <c r="E448" s="81">
        <f t="shared" si="342"/>
        <v>0.11025000000000001</v>
      </c>
      <c r="F448" s="82">
        <f t="shared" si="342"/>
        <v>0.11025000000000001</v>
      </c>
      <c r="G448" s="81">
        <f t="shared" si="342"/>
        <v>0.11025000000000001</v>
      </c>
      <c r="H448" s="82">
        <f t="shared" si="342"/>
        <v>0.11025000000000001</v>
      </c>
      <c r="I448" s="81">
        <f t="shared" si="342"/>
        <v>0.11025000000000001</v>
      </c>
      <c r="J448" s="82">
        <f t="shared" si="342"/>
        <v>0.11025</v>
      </c>
      <c r="K448" s="81">
        <f t="shared" si="342"/>
        <v>0.11025000000000001</v>
      </c>
      <c r="L448" s="82">
        <f t="shared" si="342"/>
        <v>0.11025000000000001</v>
      </c>
      <c r="M448" s="81">
        <f t="shared" si="342"/>
        <v>0</v>
      </c>
      <c r="N448" s="82">
        <f t="shared" si="342"/>
        <v>0.11025000000000001</v>
      </c>
      <c r="O448" s="45">
        <f>IF(O447=0,0,+O449/O447)</f>
        <v>0.11025</v>
      </c>
      <c r="P448" s="47"/>
      <c r="Q448" s="47"/>
      <c r="R448" s="47"/>
      <c r="S448" s="41"/>
      <c r="Z448" s="124"/>
      <c r="AA448" s="15"/>
      <c r="AC448" s="47"/>
      <c r="AD448" s="33"/>
      <c r="AE448" s="47"/>
      <c r="AF448" s="58"/>
    </row>
    <row r="449" spans="1:32">
      <c r="A449" s="42"/>
      <c r="B449" s="35" t="s">
        <v>15</v>
      </c>
      <c r="C449" s="48">
        <f t="shared" ref="C449:N449" si="343">C71+C167+C355+C261</f>
        <v>84.569520848989328</v>
      </c>
      <c r="D449" s="49">
        <f t="shared" si="343"/>
        <v>0</v>
      </c>
      <c r="E449" s="48">
        <f t="shared" si="343"/>
        <v>229.40888632475603</v>
      </c>
      <c r="F449" s="49">
        <f t="shared" si="343"/>
        <v>2735.9568682692152</v>
      </c>
      <c r="G449" s="48">
        <f t="shared" si="343"/>
        <v>1361.9890623988908</v>
      </c>
      <c r="H449" s="49">
        <f t="shared" si="343"/>
        <v>345.7632870275466</v>
      </c>
      <c r="I449" s="48">
        <f t="shared" si="343"/>
        <v>3644.9708591591334</v>
      </c>
      <c r="J449" s="49">
        <f t="shared" si="343"/>
        <v>2095.2774004071457</v>
      </c>
      <c r="K449" s="48">
        <f t="shared" si="343"/>
        <v>49.079740809653586</v>
      </c>
      <c r="L449" s="49">
        <f t="shared" si="343"/>
        <v>2.490731348786468</v>
      </c>
      <c r="M449" s="48">
        <f t="shared" si="343"/>
        <v>0</v>
      </c>
      <c r="N449" s="49">
        <f t="shared" si="343"/>
        <v>420.62112039705136</v>
      </c>
      <c r="O449" s="50">
        <f>SUM(C449:N449)</f>
        <v>10970.127476991167</v>
      </c>
      <c r="P449" s="40"/>
      <c r="Q449" s="40"/>
      <c r="R449" s="40"/>
      <c r="S449" s="41"/>
      <c r="Z449" s="124"/>
      <c r="AA449" s="15"/>
      <c r="AC449" s="40"/>
      <c r="AD449" s="33"/>
      <c r="AE449" s="40"/>
      <c r="AF449" s="58"/>
    </row>
    <row r="450" spans="1:32" ht="13.5" thickBot="1">
      <c r="A450" s="51"/>
      <c r="B450" s="52" t="s">
        <v>59</v>
      </c>
      <c r="C450" s="53">
        <f t="shared" ref="C450:O450" si="344">C449/C$385</f>
        <v>8.5672796143341473E-2</v>
      </c>
      <c r="D450" s="54">
        <f t="shared" si="344"/>
        <v>0</v>
      </c>
      <c r="E450" s="53">
        <f t="shared" si="344"/>
        <v>0.22273102007401394</v>
      </c>
      <c r="F450" s="54">
        <f t="shared" si="344"/>
        <v>2.7086424379191181</v>
      </c>
      <c r="G450" s="53">
        <f t="shared" si="344"/>
        <v>1.1683029756978214</v>
      </c>
      <c r="H450" s="54">
        <f t="shared" si="344"/>
        <v>0.24005718323830541</v>
      </c>
      <c r="I450" s="53">
        <f t="shared" si="344"/>
        <v>2.5353223961392946</v>
      </c>
      <c r="J450" s="54">
        <f t="shared" si="344"/>
        <v>1.4040907892880481</v>
      </c>
      <c r="K450" s="53">
        <f t="shared" si="344"/>
        <v>3.9088566939763474E-2</v>
      </c>
      <c r="L450" s="54">
        <f t="shared" si="344"/>
        <v>1.9285356196299399E-3</v>
      </c>
      <c r="M450" s="53">
        <f t="shared" si="344"/>
        <v>0</v>
      </c>
      <c r="N450" s="54">
        <f t="shared" si="344"/>
        <v>0.40014139210682087</v>
      </c>
      <c r="O450" s="55">
        <f t="shared" si="344"/>
        <v>0.76968527632094264</v>
      </c>
      <c r="P450" s="57"/>
      <c r="Q450" s="57"/>
      <c r="R450" s="57"/>
      <c r="S450" s="41"/>
      <c r="Z450" s="124"/>
      <c r="AA450" s="15"/>
      <c r="AC450" s="57"/>
      <c r="AD450" s="33"/>
      <c r="AE450" s="57"/>
      <c r="AF450" s="58"/>
    </row>
    <row r="451" spans="1:32">
      <c r="A451" s="28" t="s">
        <v>74</v>
      </c>
      <c r="B451" s="29" t="s">
        <v>55</v>
      </c>
      <c r="C451" s="120">
        <f t="shared" ref="C451:N451" si="345">C452/C$385</f>
        <v>4.4232284333759093</v>
      </c>
      <c r="D451" s="121">
        <f t="shared" si="345"/>
        <v>7.3631401498555196</v>
      </c>
      <c r="E451" s="120">
        <f t="shared" si="345"/>
        <v>11.401304343891784</v>
      </c>
      <c r="F451" s="121">
        <f t="shared" si="345"/>
        <v>18.473421887309545</v>
      </c>
      <c r="G451" s="120">
        <f t="shared" si="345"/>
        <v>25.827486778779143</v>
      </c>
      <c r="H451" s="121">
        <f t="shared" si="345"/>
        <v>18.487542392506722</v>
      </c>
      <c r="I451" s="120">
        <f t="shared" si="345"/>
        <v>22.866969631144883</v>
      </c>
      <c r="J451" s="121">
        <f t="shared" si="345"/>
        <v>36.660228776382283</v>
      </c>
      <c r="K451" s="120">
        <f t="shared" si="345"/>
        <v>29.08640664214953</v>
      </c>
      <c r="L451" s="121">
        <f t="shared" si="345"/>
        <v>29.290668616080065</v>
      </c>
      <c r="M451" s="120">
        <f t="shared" si="345"/>
        <v>14.589689811294505</v>
      </c>
      <c r="N451" s="121">
        <f t="shared" si="345"/>
        <v>8.2887664217342962</v>
      </c>
      <c r="O451" s="32">
        <f>O452/O$385</f>
        <v>20.047265107651437</v>
      </c>
      <c r="Z451" s="124"/>
      <c r="AD451" s="33"/>
      <c r="AF451" s="58"/>
    </row>
    <row r="452" spans="1:32">
      <c r="A452" s="34" t="s">
        <v>64</v>
      </c>
      <c r="B452" s="35" t="s">
        <v>57</v>
      </c>
      <c r="C452" s="36">
        <f t="shared" ref="C452:N452" si="346">C74+C170+C358+C264</f>
        <v>4366.2670772453748</v>
      </c>
      <c r="D452" s="37">
        <f t="shared" si="346"/>
        <v>7064.4739849514235</v>
      </c>
      <c r="E452" s="36">
        <f t="shared" si="346"/>
        <v>11743.135425468179</v>
      </c>
      <c r="F452" s="37">
        <f t="shared" si="346"/>
        <v>18659.711147348062</v>
      </c>
      <c r="G452" s="36">
        <f t="shared" si="346"/>
        <v>30109.274078445495</v>
      </c>
      <c r="H452" s="37">
        <f t="shared" si="346"/>
        <v>26628.294727379893</v>
      </c>
      <c r="I452" s="36">
        <f t="shared" si="346"/>
        <v>32875.281687931194</v>
      </c>
      <c r="J452" s="37">
        <f t="shared" si="346"/>
        <v>54706.824825663964</v>
      </c>
      <c r="K452" s="36">
        <f t="shared" si="346"/>
        <v>36520.993498707263</v>
      </c>
      <c r="L452" s="37">
        <f t="shared" si="346"/>
        <v>37829.317647234166</v>
      </c>
      <c r="M452" s="36">
        <f t="shared" si="346"/>
        <v>16511.97481468441</v>
      </c>
      <c r="N452" s="37">
        <f t="shared" si="346"/>
        <v>8712.9956755101412</v>
      </c>
      <c r="O452" s="38">
        <f>SUM(C452:N452)</f>
        <v>285728.54459056957</v>
      </c>
      <c r="P452" s="57"/>
      <c r="Q452" s="57"/>
      <c r="R452" s="60"/>
      <c r="S452" s="41"/>
      <c r="Y452" s="15"/>
      <c r="Z452" s="124"/>
      <c r="AA452" s="15"/>
      <c r="AC452" s="57"/>
      <c r="AD452" s="33"/>
      <c r="AE452" s="57"/>
      <c r="AF452" s="58"/>
    </row>
    <row r="453" spans="1:32">
      <c r="A453" s="42"/>
      <c r="B453" s="35" t="s">
        <v>58</v>
      </c>
      <c r="C453" s="81">
        <f t="shared" ref="C453:N453" si="347">IF(C452=0,0,C454/C452)</f>
        <v>0.17640000000000003</v>
      </c>
      <c r="D453" s="82">
        <f t="shared" si="347"/>
        <v>0.17640000000000003</v>
      </c>
      <c r="E453" s="81">
        <f t="shared" si="347"/>
        <v>0.17640000000000003</v>
      </c>
      <c r="F453" s="82">
        <f t="shared" si="347"/>
        <v>0.1764</v>
      </c>
      <c r="G453" s="81">
        <f t="shared" si="347"/>
        <v>0.17640000000000003</v>
      </c>
      <c r="H453" s="82">
        <f t="shared" si="347"/>
        <v>0.17640000000000003</v>
      </c>
      <c r="I453" s="81">
        <f t="shared" si="347"/>
        <v>0.17640000000000006</v>
      </c>
      <c r="J453" s="82">
        <f t="shared" si="347"/>
        <v>0.17640000000000003</v>
      </c>
      <c r="K453" s="81">
        <f t="shared" si="347"/>
        <v>0.17640000000000006</v>
      </c>
      <c r="L453" s="82">
        <f t="shared" si="347"/>
        <v>0.17640000000000006</v>
      </c>
      <c r="M453" s="81">
        <f t="shared" si="347"/>
        <v>0.17640000000000006</v>
      </c>
      <c r="N453" s="82">
        <f t="shared" si="347"/>
        <v>0.17640000000000003</v>
      </c>
      <c r="O453" s="45">
        <f>IF(O452=0,0,+O454/O452)</f>
        <v>0.17640000000000006</v>
      </c>
      <c r="P453" s="47"/>
      <c r="Q453" s="47"/>
      <c r="R453" s="47"/>
      <c r="S453" s="41"/>
      <c r="Z453" s="124"/>
      <c r="AA453" s="15"/>
      <c r="AC453" s="47"/>
      <c r="AD453" s="33"/>
      <c r="AE453" s="47"/>
      <c r="AF453" s="58"/>
    </row>
    <row r="454" spans="1:32">
      <c r="A454" s="42"/>
      <c r="B454" s="35" t="s">
        <v>15</v>
      </c>
      <c r="C454" s="48">
        <f t="shared" ref="C454:N454" si="348">C76+C172+C360+C266</f>
        <v>770.20951242608419</v>
      </c>
      <c r="D454" s="49">
        <f t="shared" si="348"/>
        <v>1246.1732109454313</v>
      </c>
      <c r="E454" s="48">
        <f t="shared" si="348"/>
        <v>2071.4890890525871</v>
      </c>
      <c r="F454" s="49">
        <f t="shared" si="348"/>
        <v>3291.5730463921982</v>
      </c>
      <c r="G454" s="48">
        <f t="shared" si="348"/>
        <v>5311.2759474377863</v>
      </c>
      <c r="H454" s="49">
        <f t="shared" si="348"/>
        <v>4697.231189909814</v>
      </c>
      <c r="I454" s="48">
        <f t="shared" si="348"/>
        <v>5799.1996897510644</v>
      </c>
      <c r="J454" s="49">
        <f t="shared" si="348"/>
        <v>9650.2838992471243</v>
      </c>
      <c r="K454" s="48">
        <f t="shared" si="348"/>
        <v>6442.3032531719628</v>
      </c>
      <c r="L454" s="49">
        <f t="shared" si="348"/>
        <v>6673.0916329721085</v>
      </c>
      <c r="M454" s="48">
        <f t="shared" si="348"/>
        <v>2912.7123573103308</v>
      </c>
      <c r="N454" s="49">
        <f t="shared" si="348"/>
        <v>1536.9724371599891</v>
      </c>
      <c r="O454" s="50">
        <f>SUM(C454:N454)</f>
        <v>50402.515265776485</v>
      </c>
      <c r="P454" s="40"/>
      <c r="Q454" s="40"/>
      <c r="R454" s="40"/>
      <c r="S454" s="41"/>
      <c r="Z454" s="124"/>
      <c r="AA454" s="15"/>
      <c r="AC454" s="40"/>
      <c r="AD454" s="33"/>
      <c r="AE454" s="40"/>
      <c r="AF454" s="58"/>
    </row>
    <row r="455" spans="1:32" ht="13.5" thickBot="1">
      <c r="A455" s="51"/>
      <c r="B455" s="52" t="s">
        <v>59</v>
      </c>
      <c r="C455" s="53">
        <f t="shared" ref="C455:O455" si="349">C454/C$385</f>
        <v>0.78025749564751046</v>
      </c>
      <c r="D455" s="54">
        <f t="shared" si="349"/>
        <v>1.2988579224345138</v>
      </c>
      <c r="E455" s="53">
        <f t="shared" si="349"/>
        <v>2.0111900862625109</v>
      </c>
      <c r="F455" s="54">
        <f t="shared" si="349"/>
        <v>3.258711620921404</v>
      </c>
      <c r="G455" s="53">
        <f t="shared" si="349"/>
        <v>4.5559686677766411</v>
      </c>
      <c r="H455" s="54">
        <f t="shared" si="349"/>
        <v>3.2612024780381863</v>
      </c>
      <c r="I455" s="53">
        <f t="shared" si="349"/>
        <v>4.0337334429339586</v>
      </c>
      <c r="J455" s="54">
        <f t="shared" si="349"/>
        <v>6.4668643561538346</v>
      </c>
      <c r="K455" s="53">
        <f t="shared" si="349"/>
        <v>5.1308421316751787</v>
      </c>
      <c r="L455" s="54">
        <f t="shared" si="349"/>
        <v>5.1668739438765243</v>
      </c>
      <c r="M455" s="53">
        <f t="shared" si="349"/>
        <v>2.5736212827123515</v>
      </c>
      <c r="N455" s="54">
        <f t="shared" si="349"/>
        <v>1.4621383967939301</v>
      </c>
      <c r="O455" s="55">
        <f t="shared" si="349"/>
        <v>3.5363375649897142</v>
      </c>
      <c r="P455" s="57"/>
      <c r="Q455" s="57"/>
      <c r="R455" s="57"/>
      <c r="S455" s="41"/>
      <c r="Z455" s="124"/>
      <c r="AA455" s="15"/>
      <c r="AC455" s="57"/>
      <c r="AD455" s="33"/>
      <c r="AE455" s="57"/>
      <c r="AF455" s="58"/>
    </row>
    <row r="456" spans="1:32">
      <c r="A456" s="181" t="s">
        <v>75</v>
      </c>
      <c r="B456" s="29" t="s">
        <v>55</v>
      </c>
      <c r="C456" s="120">
        <f t="shared" ref="C456:N456" si="350">C457/C$385</f>
        <v>0</v>
      </c>
      <c r="D456" s="121">
        <f t="shared" si="350"/>
        <v>0</v>
      </c>
      <c r="E456" s="120">
        <f t="shared" si="350"/>
        <v>0</v>
      </c>
      <c r="F456" s="121">
        <f t="shared" si="350"/>
        <v>0</v>
      </c>
      <c r="G456" s="120">
        <f t="shared" si="350"/>
        <v>0</v>
      </c>
      <c r="H456" s="121">
        <f t="shared" si="350"/>
        <v>0</v>
      </c>
      <c r="I456" s="120">
        <f t="shared" si="350"/>
        <v>0</v>
      </c>
      <c r="J456" s="121">
        <f t="shared" si="350"/>
        <v>0</v>
      </c>
      <c r="K456" s="120">
        <f t="shared" si="350"/>
        <v>0</v>
      </c>
      <c r="L456" s="121">
        <f t="shared" si="350"/>
        <v>0</v>
      </c>
      <c r="M456" s="120">
        <f t="shared" si="350"/>
        <v>0</v>
      </c>
      <c r="N456" s="121">
        <f t="shared" si="350"/>
        <v>0</v>
      </c>
      <c r="O456" s="32">
        <f>O457/O$385</f>
        <v>0</v>
      </c>
      <c r="P456" s="9"/>
      <c r="Q456" s="9"/>
      <c r="R456" s="9"/>
      <c r="S456" s="70"/>
    </row>
    <row r="457" spans="1:32">
      <c r="A457" s="34" t="s">
        <v>71</v>
      </c>
      <c r="B457" s="35" t="s">
        <v>57</v>
      </c>
      <c r="C457" s="36">
        <f t="shared" ref="C457:N457" si="351">C79+C175+C363+C269</f>
        <v>0</v>
      </c>
      <c r="D457" s="66">
        <f t="shared" si="351"/>
        <v>0</v>
      </c>
      <c r="E457" s="65">
        <f t="shared" si="351"/>
        <v>0</v>
      </c>
      <c r="F457" s="66">
        <f t="shared" si="351"/>
        <v>0</v>
      </c>
      <c r="G457" s="65">
        <f t="shared" si="351"/>
        <v>0</v>
      </c>
      <c r="H457" s="66">
        <f t="shared" si="351"/>
        <v>0</v>
      </c>
      <c r="I457" s="65">
        <f t="shared" si="351"/>
        <v>0</v>
      </c>
      <c r="J457" s="66">
        <f t="shared" si="351"/>
        <v>0</v>
      </c>
      <c r="K457" s="65">
        <f t="shared" si="351"/>
        <v>0</v>
      </c>
      <c r="L457" s="66">
        <f t="shared" si="351"/>
        <v>0</v>
      </c>
      <c r="M457" s="65">
        <f t="shared" si="351"/>
        <v>0</v>
      </c>
      <c r="N457" s="66">
        <f t="shared" si="351"/>
        <v>0</v>
      </c>
      <c r="O457" s="67">
        <f>SUM(C457:N457)</f>
        <v>0</v>
      </c>
      <c r="P457" s="15"/>
      <c r="Q457" s="15"/>
      <c r="R457" s="15"/>
      <c r="S457" s="71"/>
    </row>
    <row r="458" spans="1:32" ht="15.75">
      <c r="A458" s="182" t="s">
        <v>64</v>
      </c>
      <c r="B458" s="35" t="s">
        <v>58</v>
      </c>
      <c r="C458" s="81">
        <f t="shared" ref="C458:N458" si="352">IF(C457=0,0,C459/C457)</f>
        <v>0</v>
      </c>
      <c r="D458" s="122">
        <f t="shared" si="352"/>
        <v>0</v>
      </c>
      <c r="E458" s="123">
        <f t="shared" si="352"/>
        <v>0</v>
      </c>
      <c r="F458" s="122">
        <f t="shared" si="352"/>
        <v>0</v>
      </c>
      <c r="G458" s="123">
        <f t="shared" si="352"/>
        <v>0</v>
      </c>
      <c r="H458" s="122">
        <f t="shared" si="352"/>
        <v>0</v>
      </c>
      <c r="I458" s="123">
        <f t="shared" si="352"/>
        <v>0</v>
      </c>
      <c r="J458" s="122">
        <f t="shared" si="352"/>
        <v>0</v>
      </c>
      <c r="K458" s="123">
        <f t="shared" si="352"/>
        <v>0</v>
      </c>
      <c r="L458" s="122">
        <f t="shared" si="352"/>
        <v>0</v>
      </c>
      <c r="M458" s="123">
        <f t="shared" si="352"/>
        <v>0</v>
      </c>
      <c r="N458" s="122">
        <f t="shared" si="352"/>
        <v>0</v>
      </c>
      <c r="O458" s="45">
        <f>IF(O457=0,0,+O459/O457)</f>
        <v>0</v>
      </c>
      <c r="P458" s="15"/>
      <c r="Q458" s="72"/>
      <c r="R458" s="15"/>
      <c r="S458" s="15"/>
    </row>
    <row r="459" spans="1:32">
      <c r="A459" s="42"/>
      <c r="B459" s="35" t="s">
        <v>15</v>
      </c>
      <c r="C459" s="48">
        <f t="shared" ref="C459:N459" si="353">C81+C177+C365+C271</f>
        <v>0</v>
      </c>
      <c r="D459" s="49">
        <f t="shared" si="353"/>
        <v>0</v>
      </c>
      <c r="E459" s="48">
        <f t="shared" si="353"/>
        <v>0</v>
      </c>
      <c r="F459" s="49">
        <f t="shared" si="353"/>
        <v>0</v>
      </c>
      <c r="G459" s="48">
        <f t="shared" si="353"/>
        <v>0</v>
      </c>
      <c r="H459" s="49">
        <f t="shared" si="353"/>
        <v>0</v>
      </c>
      <c r="I459" s="48">
        <f t="shared" si="353"/>
        <v>0</v>
      </c>
      <c r="J459" s="49">
        <f t="shared" si="353"/>
        <v>0</v>
      </c>
      <c r="K459" s="48">
        <f t="shared" si="353"/>
        <v>0</v>
      </c>
      <c r="L459" s="49">
        <f t="shared" si="353"/>
        <v>0</v>
      </c>
      <c r="M459" s="48">
        <f t="shared" si="353"/>
        <v>0</v>
      </c>
      <c r="N459" s="49">
        <f t="shared" si="353"/>
        <v>0</v>
      </c>
      <c r="O459" s="50">
        <f>SUM(C459:N459)</f>
        <v>0</v>
      </c>
      <c r="P459" s="15"/>
      <c r="Q459" s="15"/>
      <c r="R459" s="15"/>
      <c r="S459" s="15"/>
    </row>
    <row r="460" spans="1:32" ht="13.5" thickBot="1">
      <c r="A460" s="51"/>
      <c r="B460" s="52" t="s">
        <v>59</v>
      </c>
      <c r="C460" s="53">
        <f t="shared" ref="C460:O460" si="354">C459/C$385</f>
        <v>0</v>
      </c>
      <c r="D460" s="54">
        <f t="shared" si="354"/>
        <v>0</v>
      </c>
      <c r="E460" s="53">
        <f t="shared" si="354"/>
        <v>0</v>
      </c>
      <c r="F460" s="54">
        <f t="shared" si="354"/>
        <v>0</v>
      </c>
      <c r="G460" s="53">
        <f t="shared" si="354"/>
        <v>0</v>
      </c>
      <c r="H460" s="54">
        <f t="shared" si="354"/>
        <v>0</v>
      </c>
      <c r="I460" s="53">
        <f t="shared" si="354"/>
        <v>0</v>
      </c>
      <c r="J460" s="54">
        <f t="shared" si="354"/>
        <v>0</v>
      </c>
      <c r="K460" s="53">
        <f t="shared" si="354"/>
        <v>0</v>
      </c>
      <c r="L460" s="54">
        <f t="shared" si="354"/>
        <v>0</v>
      </c>
      <c r="M460" s="53">
        <f t="shared" si="354"/>
        <v>0</v>
      </c>
      <c r="N460" s="54">
        <f t="shared" si="354"/>
        <v>0</v>
      </c>
      <c r="O460" s="55">
        <f t="shared" si="354"/>
        <v>0</v>
      </c>
      <c r="P460" s="8"/>
      <c r="S460" s="41"/>
    </row>
    <row r="461" spans="1:32">
      <c r="A461" s="181" t="s">
        <v>76</v>
      </c>
      <c r="B461" s="29" t="s">
        <v>55</v>
      </c>
      <c r="C461" s="120">
        <f t="shared" ref="C461:N461" si="355">C462/C$385</f>
        <v>0</v>
      </c>
      <c r="D461" s="121">
        <f t="shared" si="355"/>
        <v>0</v>
      </c>
      <c r="E461" s="120">
        <f t="shared" si="355"/>
        <v>0</v>
      </c>
      <c r="F461" s="121">
        <f t="shared" si="355"/>
        <v>0</v>
      </c>
      <c r="G461" s="120">
        <f t="shared" si="355"/>
        <v>0</v>
      </c>
      <c r="H461" s="121">
        <f t="shared" si="355"/>
        <v>0</v>
      </c>
      <c r="I461" s="120">
        <f t="shared" si="355"/>
        <v>0</v>
      </c>
      <c r="J461" s="121">
        <f t="shared" si="355"/>
        <v>0</v>
      </c>
      <c r="K461" s="120">
        <f t="shared" si="355"/>
        <v>0</v>
      </c>
      <c r="L461" s="121">
        <f t="shared" si="355"/>
        <v>0</v>
      </c>
      <c r="M461" s="120">
        <f t="shared" si="355"/>
        <v>0</v>
      </c>
      <c r="N461" s="121">
        <f t="shared" si="355"/>
        <v>0</v>
      </c>
      <c r="O461" s="32">
        <f>O462/O$385</f>
        <v>0</v>
      </c>
    </row>
    <row r="462" spans="1:32">
      <c r="A462" s="34" t="s">
        <v>64</v>
      </c>
      <c r="B462" s="35" t="s">
        <v>57</v>
      </c>
      <c r="C462" s="36">
        <f t="shared" ref="C462:N462" si="356">C84+C180+C368+C274</f>
        <v>0</v>
      </c>
      <c r="D462" s="66">
        <f t="shared" si="356"/>
        <v>0</v>
      </c>
      <c r="E462" s="65">
        <f t="shared" si="356"/>
        <v>0</v>
      </c>
      <c r="F462" s="66">
        <f t="shared" si="356"/>
        <v>0</v>
      </c>
      <c r="G462" s="65">
        <f t="shared" si="356"/>
        <v>0</v>
      </c>
      <c r="H462" s="66">
        <f t="shared" si="356"/>
        <v>0</v>
      </c>
      <c r="I462" s="65">
        <f t="shared" si="356"/>
        <v>0</v>
      </c>
      <c r="J462" s="66">
        <f t="shared" si="356"/>
        <v>0</v>
      </c>
      <c r="K462" s="65">
        <f t="shared" si="356"/>
        <v>0</v>
      </c>
      <c r="L462" s="66">
        <f t="shared" si="356"/>
        <v>0</v>
      </c>
      <c r="M462" s="65">
        <f t="shared" si="356"/>
        <v>0</v>
      </c>
      <c r="N462" s="66">
        <f t="shared" si="356"/>
        <v>0</v>
      </c>
      <c r="O462" s="67">
        <f>SUM(C462:N462)</f>
        <v>0</v>
      </c>
    </row>
    <row r="463" spans="1:32">
      <c r="A463" s="103"/>
      <c r="B463" s="35" t="s">
        <v>58</v>
      </c>
      <c r="C463" s="81">
        <f t="shared" ref="C463:N463" si="357">IF(C462=0,0,C464/C462)</f>
        <v>0</v>
      </c>
      <c r="D463" s="82">
        <f t="shared" si="357"/>
        <v>0</v>
      </c>
      <c r="E463" s="81">
        <f t="shared" si="357"/>
        <v>0</v>
      </c>
      <c r="F463" s="82">
        <f t="shared" si="357"/>
        <v>0</v>
      </c>
      <c r="G463" s="81">
        <f t="shared" si="357"/>
        <v>0</v>
      </c>
      <c r="H463" s="82">
        <f t="shared" si="357"/>
        <v>0</v>
      </c>
      <c r="I463" s="81">
        <f t="shared" si="357"/>
        <v>0</v>
      </c>
      <c r="J463" s="82">
        <f t="shared" si="357"/>
        <v>0</v>
      </c>
      <c r="K463" s="81">
        <f t="shared" si="357"/>
        <v>0</v>
      </c>
      <c r="L463" s="82">
        <f t="shared" si="357"/>
        <v>0</v>
      </c>
      <c r="M463" s="81">
        <f t="shared" si="357"/>
        <v>0</v>
      </c>
      <c r="N463" s="82">
        <f t="shared" si="357"/>
        <v>0</v>
      </c>
      <c r="O463" s="45">
        <f>IF(O462=0,0,+O464/O462)</f>
        <v>0</v>
      </c>
    </row>
    <row r="464" spans="1:32">
      <c r="A464" s="42"/>
      <c r="B464" s="35" t="s">
        <v>15</v>
      </c>
      <c r="C464" s="48">
        <f t="shared" ref="C464:N464" si="358">C86+C182+C370+C276</f>
        <v>0</v>
      </c>
      <c r="D464" s="49">
        <f t="shared" si="358"/>
        <v>0</v>
      </c>
      <c r="E464" s="48">
        <f t="shared" si="358"/>
        <v>0</v>
      </c>
      <c r="F464" s="49">
        <f t="shared" si="358"/>
        <v>0</v>
      </c>
      <c r="G464" s="48">
        <f t="shared" si="358"/>
        <v>0</v>
      </c>
      <c r="H464" s="49">
        <f t="shared" si="358"/>
        <v>0</v>
      </c>
      <c r="I464" s="48">
        <f t="shared" si="358"/>
        <v>0</v>
      </c>
      <c r="J464" s="49">
        <f t="shared" si="358"/>
        <v>0</v>
      </c>
      <c r="K464" s="48">
        <f t="shared" si="358"/>
        <v>0</v>
      </c>
      <c r="L464" s="49">
        <f t="shared" si="358"/>
        <v>0</v>
      </c>
      <c r="M464" s="48">
        <f t="shared" si="358"/>
        <v>0</v>
      </c>
      <c r="N464" s="49">
        <f t="shared" si="358"/>
        <v>0</v>
      </c>
      <c r="O464" s="50">
        <f>SUM(C464:N464)</f>
        <v>0</v>
      </c>
    </row>
    <row r="465" spans="1:19" ht="13.5" thickBot="1">
      <c r="A465" s="51"/>
      <c r="B465" s="52" t="s">
        <v>59</v>
      </c>
      <c r="C465" s="53">
        <f t="shared" ref="C465:O465" si="359">C464/C$385</f>
        <v>0</v>
      </c>
      <c r="D465" s="54">
        <f t="shared" si="359"/>
        <v>0</v>
      </c>
      <c r="E465" s="53">
        <f t="shared" si="359"/>
        <v>0</v>
      </c>
      <c r="F465" s="54">
        <f t="shared" si="359"/>
        <v>0</v>
      </c>
      <c r="G465" s="53">
        <f t="shared" si="359"/>
        <v>0</v>
      </c>
      <c r="H465" s="54">
        <f t="shared" si="359"/>
        <v>0</v>
      </c>
      <c r="I465" s="53">
        <f t="shared" si="359"/>
        <v>0</v>
      </c>
      <c r="J465" s="54">
        <f t="shared" si="359"/>
        <v>0</v>
      </c>
      <c r="K465" s="53">
        <f t="shared" si="359"/>
        <v>0</v>
      </c>
      <c r="L465" s="54">
        <f t="shared" si="359"/>
        <v>0</v>
      </c>
      <c r="M465" s="53">
        <f t="shared" si="359"/>
        <v>0</v>
      </c>
      <c r="N465" s="54">
        <f t="shared" si="359"/>
        <v>0</v>
      </c>
      <c r="O465" s="55">
        <f t="shared" si="359"/>
        <v>0</v>
      </c>
    </row>
    <row r="466" spans="1:19">
      <c r="A466" s="34" t="s">
        <v>91</v>
      </c>
      <c r="B466" s="35" t="s">
        <v>15</v>
      </c>
      <c r="C466" s="48">
        <f t="shared" ref="C466:N466" si="360">C95</f>
        <v>0</v>
      </c>
      <c r="D466" s="49">
        <f t="shared" si="360"/>
        <v>0</v>
      </c>
      <c r="E466" s="48">
        <f t="shared" si="360"/>
        <v>0</v>
      </c>
      <c r="F466" s="49">
        <f t="shared" si="360"/>
        <v>0</v>
      </c>
      <c r="G466" s="48">
        <f t="shared" si="360"/>
        <v>0</v>
      </c>
      <c r="H466" s="49">
        <f t="shared" si="360"/>
        <v>0</v>
      </c>
      <c r="I466" s="48">
        <f t="shared" si="360"/>
        <v>0</v>
      </c>
      <c r="J466" s="49">
        <f t="shared" si="360"/>
        <v>0</v>
      </c>
      <c r="K466" s="48">
        <f t="shared" si="360"/>
        <v>0</v>
      </c>
      <c r="L466" s="49">
        <f t="shared" si="360"/>
        <v>0</v>
      </c>
      <c r="M466" s="48">
        <f t="shared" si="360"/>
        <v>0</v>
      </c>
      <c r="N466" s="49">
        <f t="shared" si="360"/>
        <v>0</v>
      </c>
      <c r="O466" s="50">
        <f>SUM(C466:N466)</f>
        <v>0</v>
      </c>
    </row>
    <row r="467" spans="1:19" ht="13.5" thickBot="1">
      <c r="A467" s="130"/>
      <c r="B467" s="91"/>
      <c r="C467" s="92"/>
      <c r="D467" s="94"/>
      <c r="E467" s="92"/>
      <c r="F467" s="94"/>
      <c r="G467" s="92"/>
      <c r="H467" s="94"/>
      <c r="I467" s="92"/>
      <c r="J467" s="94"/>
      <c r="K467" s="92"/>
      <c r="L467" s="94"/>
      <c r="M467" s="92"/>
      <c r="N467" s="94"/>
      <c r="O467" s="95"/>
    </row>
    <row r="468" spans="1:19" ht="13.5" thickBot="1">
      <c r="A468" s="10" t="s">
        <v>1</v>
      </c>
      <c r="B468" s="73" t="s">
        <v>1</v>
      </c>
      <c r="C468" s="74" t="s">
        <v>1</v>
      </c>
      <c r="D468" s="75" t="s">
        <v>1</v>
      </c>
      <c r="E468" s="74" t="s">
        <v>1</v>
      </c>
      <c r="F468" s="75" t="s">
        <v>1</v>
      </c>
      <c r="G468" s="74" t="s">
        <v>1</v>
      </c>
      <c r="H468" s="75" t="s">
        <v>1</v>
      </c>
      <c r="I468" s="74" t="s">
        <v>1</v>
      </c>
      <c r="J468" s="75" t="s">
        <v>1</v>
      </c>
      <c r="K468" s="74" t="s">
        <v>1</v>
      </c>
      <c r="L468" s="75" t="s">
        <v>1</v>
      </c>
      <c r="M468" s="74" t="s">
        <v>1</v>
      </c>
      <c r="N468" s="75" t="s">
        <v>1</v>
      </c>
      <c r="O468" s="6" t="s">
        <v>1</v>
      </c>
    </row>
    <row r="469" spans="1:19" ht="15.75">
      <c r="A469" s="131" t="s">
        <v>92</v>
      </c>
      <c r="B469" s="29" t="s">
        <v>55</v>
      </c>
      <c r="C469" s="78">
        <f t="shared" ref="C469:O469" si="361">C$470/(C$385-C$197-C$291)</f>
        <v>596.09227968756613</v>
      </c>
      <c r="D469" s="79">
        <f t="shared" si="361"/>
        <v>578.2704192395978</v>
      </c>
      <c r="E469" s="78">
        <f t="shared" si="361"/>
        <v>580.31777279238383</v>
      </c>
      <c r="F469" s="79">
        <f t="shared" si="361"/>
        <v>575.52734778640354</v>
      </c>
      <c r="G469" s="78">
        <f t="shared" si="361"/>
        <v>583.58763721650064</v>
      </c>
      <c r="H469" s="79">
        <f t="shared" si="361"/>
        <v>571.5260536464782</v>
      </c>
      <c r="I469" s="78">
        <f t="shared" si="361"/>
        <v>569.59589989472454</v>
      </c>
      <c r="J469" s="79">
        <f t="shared" si="361"/>
        <v>632.08062222688829</v>
      </c>
      <c r="K469" s="78">
        <f t="shared" si="361"/>
        <v>613.31912174694673</v>
      </c>
      <c r="L469" s="79">
        <f t="shared" si="361"/>
        <v>634.21929819767274</v>
      </c>
      <c r="M469" s="78">
        <f t="shared" si="361"/>
        <v>607.4262174768528</v>
      </c>
      <c r="N469" s="79">
        <f t="shared" si="361"/>
        <v>644.44590278172109</v>
      </c>
      <c r="O469" s="132">
        <f t="shared" si="361"/>
        <v>599.57431339746563</v>
      </c>
      <c r="P469" s="57"/>
      <c r="Q469" s="57"/>
      <c r="R469" s="57"/>
      <c r="S469" s="41"/>
    </row>
    <row r="470" spans="1:19">
      <c r="A470" s="34" t="s">
        <v>95</v>
      </c>
      <c r="B470" s="35" t="s">
        <v>57</v>
      </c>
      <c r="C470" s="36">
        <f t="shared" ref="C470:N470" si="362">C$387+C$392+C$397+C$402+C$407+C$412+C$417+C$422+C$427+C$432+C$437+C$442+C$447+C$452+C$457+C$462-C$281-C$375</f>
        <v>455296.07510478032</v>
      </c>
      <c r="D470" s="37">
        <f t="shared" si="362"/>
        <v>438171.960180461</v>
      </c>
      <c r="E470" s="36">
        <f t="shared" si="362"/>
        <v>468119.6331948787</v>
      </c>
      <c r="F470" s="37">
        <f t="shared" si="362"/>
        <v>456949.82761614374</v>
      </c>
      <c r="G470" s="36">
        <f t="shared" si="362"/>
        <v>550009.89078232425</v>
      </c>
      <c r="H470" s="37">
        <f t="shared" si="362"/>
        <v>646738.09420755389</v>
      </c>
      <c r="I470" s="36">
        <f t="shared" si="362"/>
        <v>637175.96956093796</v>
      </c>
      <c r="J470" s="37">
        <f t="shared" si="362"/>
        <v>741580.04216078657</v>
      </c>
      <c r="K470" s="36">
        <f t="shared" si="362"/>
        <v>637536.94119112263</v>
      </c>
      <c r="L470" s="37">
        <f t="shared" si="362"/>
        <v>677468.87882302096</v>
      </c>
      <c r="M470" s="36">
        <f t="shared" si="362"/>
        <v>556183.38127967762</v>
      </c>
      <c r="N470" s="37">
        <f t="shared" si="362"/>
        <v>533511.20170548616</v>
      </c>
      <c r="O470" s="38">
        <f>SUM(C470:N470)</f>
        <v>6798741.895807174</v>
      </c>
      <c r="P470" s="47"/>
      <c r="Q470" s="68"/>
      <c r="R470" s="47"/>
      <c r="S470" s="41"/>
    </row>
    <row r="471" spans="1:19">
      <c r="A471" s="42"/>
      <c r="B471" s="35" t="s">
        <v>58</v>
      </c>
      <c r="C471" s="133">
        <f t="shared" ref="C471:N471" si="363">C472/C470</f>
        <v>0.19787754016912923</v>
      </c>
      <c r="D471" s="134">
        <f t="shared" si="363"/>
        <v>0.20966601494053658</v>
      </c>
      <c r="E471" s="133">
        <f t="shared" si="363"/>
        <v>0.21296232744900476</v>
      </c>
      <c r="F471" s="134">
        <f t="shared" si="363"/>
        <v>0.20197384167676619</v>
      </c>
      <c r="G471" s="133">
        <f t="shared" si="363"/>
        <v>0.202588224374048</v>
      </c>
      <c r="H471" s="134">
        <f t="shared" si="363"/>
        <v>0.20383197260998001</v>
      </c>
      <c r="I471" s="133">
        <f t="shared" si="363"/>
        <v>0.20493280754587928</v>
      </c>
      <c r="J471" s="134">
        <f t="shared" si="363"/>
        <v>0.19016966157123003</v>
      </c>
      <c r="K471" s="133">
        <f t="shared" si="363"/>
        <v>0.19066958628625463</v>
      </c>
      <c r="L471" s="134">
        <f t="shared" si="363"/>
        <v>0.19138585067938776</v>
      </c>
      <c r="M471" s="133">
        <f t="shared" si="363"/>
        <v>0.20364190879257144</v>
      </c>
      <c r="N471" s="134">
        <f t="shared" si="363"/>
        <v>0.20780515813877609</v>
      </c>
      <c r="O471" s="135">
        <f>IF(O470=0,0,O472/O470)</f>
        <v>0.20064706352894346</v>
      </c>
      <c r="P471" s="40"/>
      <c r="Q471" s="40"/>
      <c r="R471" s="39"/>
      <c r="S471" s="41"/>
    </row>
    <row r="472" spans="1:19">
      <c r="A472" s="34" t="s">
        <v>94</v>
      </c>
      <c r="B472" s="35" t="s">
        <v>15</v>
      </c>
      <c r="C472" s="144">
        <f t="shared" ref="C472:N472" si="364">C$185+C$389+C$394+C$399+C$404+C$414+C$419+C$424+C$429+C$434+C$439+C444+C$454+C$464+C$279+C$449+C$409+C$459-C$283-C$377+C466</f>
        <v>90092.867390393047</v>
      </c>
      <c r="D472" s="145">
        <f t="shared" si="364"/>
        <v>91869.768749720737</v>
      </c>
      <c r="E472" s="144">
        <f t="shared" si="364"/>
        <v>99691.846609755754</v>
      </c>
      <c r="F472" s="145">
        <f t="shared" si="364"/>
        <v>92291.91213716862</v>
      </c>
      <c r="G472" s="144">
        <f t="shared" si="364"/>
        <v>111425.52716175513</v>
      </c>
      <c r="H472" s="145">
        <f t="shared" si="364"/>
        <v>131825.9015043448</v>
      </c>
      <c r="I472" s="144">
        <f t="shared" si="364"/>
        <v>130578.26034289073</v>
      </c>
      <c r="J472" s="145">
        <f t="shared" si="364"/>
        <v>141026.02564569528</v>
      </c>
      <c r="K472" s="144">
        <f t="shared" si="364"/>
        <v>121558.9048191156</v>
      </c>
      <c r="L472" s="145">
        <f t="shared" si="364"/>
        <v>129657.95768235493</v>
      </c>
      <c r="M472" s="144">
        <f t="shared" si="364"/>
        <v>113262.24540250009</v>
      </c>
      <c r="N472" s="145">
        <f t="shared" si="364"/>
        <v>110866.37963921702</v>
      </c>
      <c r="O472" s="146">
        <f>SUM(C472:N472)</f>
        <v>1364147.5970849115</v>
      </c>
      <c r="P472" s="57"/>
      <c r="Q472" s="57"/>
      <c r="R472" s="57"/>
      <c r="S472" s="41"/>
    </row>
    <row r="473" spans="1:19" ht="13.5" thickBot="1">
      <c r="A473" s="51"/>
      <c r="B473" s="52" t="s">
        <v>59</v>
      </c>
      <c r="C473" s="53">
        <f t="shared" ref="C473:O473" si="365">C$472/(C$385-C$197-C$291)</f>
        <v>117.95327401838418</v>
      </c>
      <c r="D473" s="54">
        <f t="shared" si="365"/>
        <v>121.24365435995986</v>
      </c>
      <c r="E473" s="53">
        <f t="shared" si="365"/>
        <v>123.58582355388879</v>
      </c>
      <c r="F473" s="54">
        <f t="shared" si="365"/>
        <v>116.24146942246021</v>
      </c>
      <c r="G473" s="53">
        <f t="shared" si="365"/>
        <v>118.22798319033694</v>
      </c>
      <c r="H473" s="54">
        <f t="shared" si="365"/>
        <v>116.49528291275891</v>
      </c>
      <c r="I473" s="53">
        <f t="shared" si="365"/>
        <v>116.7288869320475</v>
      </c>
      <c r="J473" s="54">
        <f t="shared" si="365"/>
        <v>120.20255801461985</v>
      </c>
      <c r="K473" s="53">
        <f t="shared" si="365"/>
        <v>116.94130320493936</v>
      </c>
      <c r="L473" s="54">
        <f t="shared" si="365"/>
        <v>121.38059990284589</v>
      </c>
      <c r="M473" s="53">
        <f t="shared" si="365"/>
        <v>123.69743437763792</v>
      </c>
      <c r="N473" s="54">
        <f t="shared" si="365"/>
        <v>133.91918273944188</v>
      </c>
      <c r="O473" s="55">
        <f t="shared" si="365"/>
        <v>120.30282535058393</v>
      </c>
      <c r="P473" s="9"/>
      <c r="Q473" s="9"/>
      <c r="R473" s="9"/>
      <c r="S473" s="70"/>
    </row>
    <row r="474" spans="1:19" ht="31.5">
      <c r="A474" s="131" t="s">
        <v>96</v>
      </c>
      <c r="B474" s="29" t="s">
        <v>55</v>
      </c>
      <c r="C474" s="78">
        <f>C$475/C$385</f>
        <v>598.31689569870355</v>
      </c>
      <c r="D474" s="79">
        <f t="shared" ref="D474:N474" si="366">D475/D385</f>
        <v>535.15400585019961</v>
      </c>
      <c r="E474" s="78">
        <f t="shared" si="366"/>
        <v>581.02364195975701</v>
      </c>
      <c r="F474" s="79">
        <f t="shared" si="366"/>
        <v>615.27341367165957</v>
      </c>
      <c r="G474" s="78">
        <f t="shared" si="366"/>
        <v>600.45648948324799</v>
      </c>
      <c r="H474" s="79">
        <f t="shared" si="366"/>
        <v>558.68948381943653</v>
      </c>
      <c r="I474" s="78">
        <f t="shared" si="366"/>
        <v>619.26236341768822</v>
      </c>
      <c r="J474" s="79">
        <f t="shared" si="366"/>
        <v>666.02879219144063</v>
      </c>
      <c r="K474" s="78">
        <f t="shared" si="366"/>
        <v>663.26931360042852</v>
      </c>
      <c r="L474" s="79">
        <f t="shared" si="366"/>
        <v>615.51169480814372</v>
      </c>
      <c r="M474" s="78">
        <f t="shared" si="366"/>
        <v>608.1486187485616</v>
      </c>
      <c r="N474" s="79">
        <f t="shared" si="366"/>
        <v>633.97029196979781</v>
      </c>
      <c r="O474" s="132">
        <f>O$475/O$385</f>
        <v>610.07999624628542</v>
      </c>
      <c r="P474" s="57"/>
      <c r="Q474" s="57"/>
      <c r="R474" s="57"/>
      <c r="S474" s="41"/>
    </row>
    <row r="475" spans="1:19">
      <c r="A475" s="34" t="s">
        <v>95</v>
      </c>
      <c r="B475" s="35" t="s">
        <v>57</v>
      </c>
      <c r="C475" s="36">
        <f t="shared" ref="C475:N475" si="367">C$387+C$392+C$397+C$402+C$412+C$417+C$422+C$427+C$432+C$437+C$442+C$452+C$462+C447+C407+C457</f>
        <v>590611.90322812507</v>
      </c>
      <c r="D475" s="37">
        <f t="shared" si="367"/>
        <v>513446.90924366825</v>
      </c>
      <c r="E475" s="36">
        <f t="shared" si="367"/>
        <v>598443.74881437013</v>
      </c>
      <c r="F475" s="37">
        <f t="shared" si="367"/>
        <v>621477.93980945135</v>
      </c>
      <c r="G475" s="36">
        <f t="shared" si="367"/>
        <v>700002.64326481021</v>
      </c>
      <c r="H475" s="37">
        <f t="shared" si="367"/>
        <v>804701.23721049842</v>
      </c>
      <c r="I475" s="36">
        <f t="shared" si="367"/>
        <v>890298.31956230348</v>
      </c>
      <c r="J475" s="37">
        <f t="shared" si="367"/>
        <v>993892.33726602281</v>
      </c>
      <c r="K475" s="36">
        <f t="shared" si="367"/>
        <v>832803.26057158993</v>
      </c>
      <c r="L475" s="37">
        <f t="shared" si="367"/>
        <v>794942.16139886959</v>
      </c>
      <c r="M475" s="36">
        <f t="shared" si="367"/>
        <v>688276.09128383407</v>
      </c>
      <c r="N475" s="37">
        <f t="shared" si="367"/>
        <v>666417.67077072291</v>
      </c>
      <c r="O475" s="38">
        <f>SUM(C475:N475)</f>
        <v>8695314.2224242669</v>
      </c>
      <c r="P475" s="47"/>
      <c r="Q475" s="68"/>
      <c r="R475" s="47"/>
      <c r="S475" s="41"/>
    </row>
    <row r="476" spans="1:19">
      <c r="A476" s="42"/>
      <c r="B476" s="35" t="s">
        <v>58</v>
      </c>
      <c r="C476" s="133">
        <f t="shared" ref="C476:N476" si="368">C477/C475</f>
        <v>0.19647557830208329</v>
      </c>
      <c r="D476" s="134">
        <f t="shared" si="368"/>
        <v>0.20570029532869166</v>
      </c>
      <c r="E476" s="133">
        <f t="shared" si="368"/>
        <v>0.20457273557587624</v>
      </c>
      <c r="F476" s="134">
        <f t="shared" si="368"/>
        <v>0.19161745200573974</v>
      </c>
      <c r="G476" s="133">
        <f t="shared" si="368"/>
        <v>0.1995361248181397</v>
      </c>
      <c r="H476" s="134">
        <f t="shared" si="368"/>
        <v>0.20443986281376036</v>
      </c>
      <c r="I476" s="133">
        <f t="shared" si="368"/>
        <v>0.20005151792720371</v>
      </c>
      <c r="J476" s="134">
        <f t="shared" si="368"/>
        <v>0.19426100694117435</v>
      </c>
      <c r="K476" s="133">
        <f t="shared" si="368"/>
        <v>0.19006391655796637</v>
      </c>
      <c r="L476" s="134">
        <f t="shared" si="368"/>
        <v>0.18985025425578986</v>
      </c>
      <c r="M476" s="133">
        <f t="shared" si="368"/>
        <v>0.20483056501782648</v>
      </c>
      <c r="N476" s="134">
        <f t="shared" si="368"/>
        <v>0.20581189196658711</v>
      </c>
      <c r="O476" s="135">
        <f>IF(O475=0,0,O477/O475)</f>
        <v>0.19848387431037498</v>
      </c>
      <c r="P476" s="40"/>
      <c r="Q476" s="40"/>
      <c r="R476" s="39"/>
      <c r="S476" s="41"/>
    </row>
    <row r="477" spans="1:19">
      <c r="A477" s="34" t="s">
        <v>94</v>
      </c>
      <c r="B477" s="35" t="s">
        <v>15</v>
      </c>
      <c r="C477" s="144">
        <f t="shared" ref="C477:N477" si="369">C$185+C$389+C$394+C$399+C$404+C$414+C$419+C$424+C$429+C$434+C$439+C444+C$454+C$464+C$466+C279+C449+C409+C459</f>
        <v>116040.81523883992</v>
      </c>
      <c r="D477" s="145">
        <f t="shared" si="369"/>
        <v>105616.1808670265</v>
      </c>
      <c r="E477" s="144">
        <f t="shared" si="369"/>
        <v>122425.27478323824</v>
      </c>
      <c r="F477" s="145">
        <f t="shared" si="369"/>
        <v>119086.01930406355</v>
      </c>
      <c r="G477" s="144">
        <f t="shared" si="369"/>
        <v>139675.81479951489</v>
      </c>
      <c r="H477" s="145">
        <f t="shared" si="369"/>
        <v>164513.01054137753</v>
      </c>
      <c r="I477" s="144">
        <f t="shared" si="369"/>
        <v>178105.5302364775</v>
      </c>
      <c r="J477" s="145">
        <f t="shared" si="369"/>
        <v>193074.52622841485</v>
      </c>
      <c r="K477" s="144">
        <f t="shared" si="369"/>
        <v>158285.849426481</v>
      </c>
      <c r="L477" s="145">
        <f t="shared" si="369"/>
        <v>150919.97146022253</v>
      </c>
      <c r="M477" s="144">
        <f t="shared" si="369"/>
        <v>140979.98066592886</v>
      </c>
      <c r="N477" s="145">
        <f t="shared" si="369"/>
        <v>137156.68166128863</v>
      </c>
      <c r="O477" s="146">
        <f>SUM(C477:N477)</f>
        <v>1725879.6552128741</v>
      </c>
      <c r="P477" s="57"/>
      <c r="Q477" s="57"/>
      <c r="R477" s="57"/>
      <c r="S477" s="41"/>
    </row>
    <row r="478" spans="1:19" ht="13.5" thickBot="1">
      <c r="A478" s="51"/>
      <c r="B478" s="52" t="s">
        <v>59</v>
      </c>
      <c r="C478" s="53">
        <f t="shared" ref="C478:N478" si="370">C477/C$385</f>
        <v>117.55465809031001</v>
      </c>
      <c r="D478" s="54">
        <f t="shared" si="370"/>
        <v>110.08133704971843</v>
      </c>
      <c r="E478" s="53">
        <f t="shared" si="370"/>
        <v>118.86159586996597</v>
      </c>
      <c r="F478" s="54">
        <f t="shared" si="370"/>
        <v>117.89712381463688</v>
      </c>
      <c r="G478" s="53">
        <f t="shared" si="370"/>
        <v>119.81276103339135</v>
      </c>
      <c r="H478" s="54">
        <f t="shared" si="370"/>
        <v>114.21840142753619</v>
      </c>
      <c r="I478" s="53">
        <f t="shared" si="370"/>
        <v>123.88437579689619</v>
      </c>
      <c r="J478" s="54">
        <f t="shared" si="370"/>
        <v>129.38342382292342</v>
      </c>
      <c r="K478" s="53">
        <f t="shared" si="370"/>
        <v>126.06356347561149</v>
      </c>
      <c r="L478" s="54">
        <f t="shared" si="370"/>
        <v>116.85505175673822</v>
      </c>
      <c r="M478" s="53">
        <f t="shared" si="370"/>
        <v>124.56742519307862</v>
      </c>
      <c r="N478" s="54">
        <f t="shared" si="370"/>
        <v>130.47862524091369</v>
      </c>
      <c r="O478" s="55">
        <f>O$477/O$385</f>
        <v>121.09104129422175</v>
      </c>
      <c r="P478" s="9"/>
      <c r="Q478" s="9"/>
      <c r="R478" s="9"/>
      <c r="S478" s="70"/>
    </row>
    <row r="479" spans="1:19" ht="13.5" thickBot="1">
      <c r="A479" s="148" t="s">
        <v>1</v>
      </c>
      <c r="B479" s="73" t="s">
        <v>1</v>
      </c>
      <c r="C479" s="74" t="s">
        <v>1</v>
      </c>
      <c r="D479" s="75" t="s">
        <v>1</v>
      </c>
      <c r="E479" s="74" t="s">
        <v>1</v>
      </c>
      <c r="F479" s="75" t="s">
        <v>1</v>
      </c>
      <c r="G479" s="74" t="s">
        <v>1</v>
      </c>
      <c r="H479" s="75" t="s">
        <v>1</v>
      </c>
      <c r="I479" s="74" t="s">
        <v>1</v>
      </c>
      <c r="J479" s="75" t="s">
        <v>1</v>
      </c>
      <c r="K479" s="74" t="s">
        <v>1</v>
      </c>
      <c r="L479" s="75" t="s">
        <v>1</v>
      </c>
      <c r="M479" s="74" t="s">
        <v>1</v>
      </c>
      <c r="N479" s="75" t="s">
        <v>1</v>
      </c>
      <c r="O479" s="6" t="s">
        <v>1</v>
      </c>
      <c r="P479" s="39"/>
      <c r="Q479" s="39"/>
      <c r="R479" s="39"/>
      <c r="S479" s="41"/>
    </row>
    <row r="480" spans="1:19" s="3" customFormat="1" ht="15.75">
      <c r="A480" s="149" t="s">
        <v>469</v>
      </c>
      <c r="B480" s="150" t="s">
        <v>97</v>
      </c>
      <c r="C480" s="84">
        <f t="shared" ref="C480:N480" si="371">C95</f>
        <v>0</v>
      </c>
      <c r="D480" s="85">
        <f t="shared" si="371"/>
        <v>0</v>
      </c>
      <c r="E480" s="84">
        <f t="shared" si="371"/>
        <v>0</v>
      </c>
      <c r="F480" s="85">
        <f t="shared" si="371"/>
        <v>0</v>
      </c>
      <c r="G480" s="84">
        <f t="shared" si="371"/>
        <v>0</v>
      </c>
      <c r="H480" s="85">
        <f t="shared" si="371"/>
        <v>0</v>
      </c>
      <c r="I480" s="84">
        <f t="shared" si="371"/>
        <v>0</v>
      </c>
      <c r="J480" s="85">
        <f t="shared" si="371"/>
        <v>0</v>
      </c>
      <c r="K480" s="84">
        <f t="shared" si="371"/>
        <v>0</v>
      </c>
      <c r="L480" s="85">
        <f t="shared" si="371"/>
        <v>0</v>
      </c>
      <c r="M480" s="84">
        <f t="shared" si="371"/>
        <v>0</v>
      </c>
      <c r="N480" s="85">
        <f t="shared" si="371"/>
        <v>0</v>
      </c>
      <c r="O480" s="86">
        <f t="shared" ref="O480:O487" si="372">SUM(C480:N480)</f>
        <v>0</v>
      </c>
      <c r="P480" s="152"/>
      <c r="Q480" s="152"/>
      <c r="R480" s="152"/>
      <c r="S480" s="153"/>
    </row>
    <row r="481" spans="1:19" s="3" customFormat="1" ht="15.75">
      <c r="A481" s="161" t="s">
        <v>467</v>
      </c>
      <c r="B481" s="154" t="s">
        <v>466</v>
      </c>
      <c r="C481" s="155">
        <f>C92</f>
        <v>51483.930375420226</v>
      </c>
      <c r="D481" s="156">
        <f t="shared" ref="D481:N481" si="373">D92</f>
        <v>48328.758476510375</v>
      </c>
      <c r="E481" s="155">
        <f t="shared" si="373"/>
        <v>54827.728672097277</v>
      </c>
      <c r="F481" s="156">
        <f t="shared" si="373"/>
        <v>48497.51116488847</v>
      </c>
      <c r="G481" s="155">
        <f t="shared" si="373"/>
        <v>52575.622281161122</v>
      </c>
      <c r="H481" s="156">
        <f t="shared" si="373"/>
        <v>51156.677124704554</v>
      </c>
      <c r="I481" s="155">
        <f t="shared" si="373"/>
        <v>53823.31398523297</v>
      </c>
      <c r="J481" s="156">
        <f t="shared" si="373"/>
        <v>49723.055572030848</v>
      </c>
      <c r="K481" s="155">
        <f t="shared" si="373"/>
        <v>45921.625503650153</v>
      </c>
      <c r="L481" s="156">
        <f t="shared" si="373"/>
        <v>50918.844649135433</v>
      </c>
      <c r="M481" s="155">
        <f t="shared" si="373"/>
        <v>51414.874125739385</v>
      </c>
      <c r="N481" s="156">
        <f t="shared" si="373"/>
        <v>58321.965270435307</v>
      </c>
      <c r="O481" s="157">
        <f t="shared" si="372"/>
        <v>616993.90720100608</v>
      </c>
      <c r="P481" s="152"/>
      <c r="Q481" s="152"/>
      <c r="R481" s="152"/>
      <c r="S481" s="153"/>
    </row>
    <row r="482" spans="1:19" s="3" customFormat="1" ht="15.75">
      <c r="A482" s="161" t="s">
        <v>465</v>
      </c>
      <c r="B482" s="154" t="s">
        <v>468</v>
      </c>
      <c r="C482" s="155">
        <f>C189</f>
        <v>38608.937014972827</v>
      </c>
      <c r="D482" s="156">
        <f t="shared" ref="D482:N482" si="374">D189</f>
        <v>43541.010273210391</v>
      </c>
      <c r="E482" s="155">
        <f t="shared" si="374"/>
        <v>44864.117937658477</v>
      </c>
      <c r="F482" s="156">
        <f t="shared" si="374"/>
        <v>43794.400972280164</v>
      </c>
      <c r="G482" s="155">
        <f t="shared" si="374"/>
        <v>58849.904880594011</v>
      </c>
      <c r="H482" s="156">
        <f t="shared" si="374"/>
        <v>80669.224379640262</v>
      </c>
      <c r="I482" s="155">
        <f t="shared" si="374"/>
        <v>76754.946357657798</v>
      </c>
      <c r="J482" s="156">
        <f t="shared" si="374"/>
        <v>91302.970073664401</v>
      </c>
      <c r="K482" s="155">
        <f t="shared" si="374"/>
        <v>75637.279315465436</v>
      </c>
      <c r="L482" s="156">
        <f t="shared" si="374"/>
        <v>78739.113033219503</v>
      </c>
      <c r="M482" s="155">
        <f t="shared" si="374"/>
        <v>61847.371276760692</v>
      </c>
      <c r="N482" s="156">
        <f t="shared" si="374"/>
        <v>52544.414368781734</v>
      </c>
      <c r="O482" s="157">
        <f t="shared" si="372"/>
        <v>747153.6898839057</v>
      </c>
      <c r="P482" s="152"/>
      <c r="Q482" s="152"/>
      <c r="R482" s="152"/>
      <c r="S482" s="153"/>
    </row>
    <row r="483" spans="1:19" ht="15.75">
      <c r="A483" s="83"/>
      <c r="B483" s="154" t="s">
        <v>98</v>
      </c>
      <c r="C483" s="155">
        <f t="shared" ref="C483:N483" si="375">C189+C92</f>
        <v>90092.867390393047</v>
      </c>
      <c r="D483" s="156">
        <f t="shared" si="375"/>
        <v>91869.768749720766</v>
      </c>
      <c r="E483" s="155">
        <f t="shared" si="375"/>
        <v>99691.846609755754</v>
      </c>
      <c r="F483" s="156">
        <f t="shared" si="375"/>
        <v>92291.912137168634</v>
      </c>
      <c r="G483" s="155">
        <f t="shared" si="375"/>
        <v>111425.52716175513</v>
      </c>
      <c r="H483" s="156">
        <f t="shared" si="375"/>
        <v>131825.90150434483</v>
      </c>
      <c r="I483" s="155">
        <f t="shared" si="375"/>
        <v>130578.26034289078</v>
      </c>
      <c r="J483" s="156">
        <f t="shared" si="375"/>
        <v>141026.02564569525</v>
      </c>
      <c r="K483" s="155">
        <f t="shared" si="375"/>
        <v>121558.90481911559</v>
      </c>
      <c r="L483" s="156">
        <f t="shared" si="375"/>
        <v>129657.95768235493</v>
      </c>
      <c r="M483" s="155">
        <f t="shared" si="375"/>
        <v>113262.24540250008</v>
      </c>
      <c r="N483" s="156">
        <f t="shared" si="375"/>
        <v>110866.37963921705</v>
      </c>
      <c r="O483" s="157">
        <f t="shared" si="372"/>
        <v>1364147.5970849115</v>
      </c>
      <c r="P483" s="80"/>
      <c r="Q483" s="57"/>
      <c r="R483" s="57"/>
      <c r="S483" s="41"/>
    </row>
    <row r="484" spans="1:19" s="3" customFormat="1" ht="15.75">
      <c r="A484" s="83" t="s">
        <v>89</v>
      </c>
      <c r="B484" s="154" t="s">
        <v>99</v>
      </c>
      <c r="C484" s="155">
        <f t="shared" ref="C484:N484" si="376">C283</f>
        <v>0</v>
      </c>
      <c r="D484" s="156">
        <f t="shared" si="376"/>
        <v>0</v>
      </c>
      <c r="E484" s="155">
        <f t="shared" si="376"/>
        <v>0</v>
      </c>
      <c r="F484" s="156">
        <f t="shared" si="376"/>
        <v>0</v>
      </c>
      <c r="G484" s="155">
        <f t="shared" si="376"/>
        <v>0</v>
      </c>
      <c r="H484" s="156">
        <f t="shared" si="376"/>
        <v>0</v>
      </c>
      <c r="I484" s="155">
        <f t="shared" si="376"/>
        <v>0</v>
      </c>
      <c r="J484" s="156">
        <f t="shared" si="376"/>
        <v>0</v>
      </c>
      <c r="K484" s="155">
        <f t="shared" si="376"/>
        <v>0</v>
      </c>
      <c r="L484" s="156">
        <f t="shared" si="376"/>
        <v>0</v>
      </c>
      <c r="M484" s="155">
        <f t="shared" si="376"/>
        <v>0</v>
      </c>
      <c r="N484" s="156">
        <f t="shared" si="376"/>
        <v>0</v>
      </c>
      <c r="O484" s="157">
        <f t="shared" si="372"/>
        <v>0</v>
      </c>
      <c r="P484" s="159"/>
      <c r="Q484" s="160"/>
      <c r="R484" s="160"/>
      <c r="S484" s="153"/>
    </row>
    <row r="485" spans="1:19" s="3" customFormat="1" ht="15.75">
      <c r="A485" s="161" t="s">
        <v>470</v>
      </c>
      <c r="B485" s="154" t="s">
        <v>100</v>
      </c>
      <c r="C485" s="155">
        <f t="shared" ref="C485:N485" si="377">C377</f>
        <v>25947.947848446864</v>
      </c>
      <c r="D485" s="156">
        <f t="shared" si="377"/>
        <v>13746.412117305759</v>
      </c>
      <c r="E485" s="155">
        <f t="shared" si="377"/>
        <v>22733.428173482494</v>
      </c>
      <c r="F485" s="156">
        <f t="shared" si="377"/>
        <v>26794.107166894933</v>
      </c>
      <c r="G485" s="155">
        <f t="shared" si="377"/>
        <v>28250.287637759753</v>
      </c>
      <c r="H485" s="156">
        <f t="shared" si="377"/>
        <v>32687.109037032726</v>
      </c>
      <c r="I485" s="155">
        <f t="shared" si="377"/>
        <v>47527.269893586767</v>
      </c>
      <c r="J485" s="156">
        <f t="shared" si="377"/>
        <v>52048.500582719578</v>
      </c>
      <c r="K485" s="155">
        <f t="shared" si="377"/>
        <v>36726.944607365396</v>
      </c>
      <c r="L485" s="156">
        <f t="shared" si="377"/>
        <v>21262.0137778676</v>
      </c>
      <c r="M485" s="155">
        <f t="shared" si="377"/>
        <v>27717.735263428774</v>
      </c>
      <c r="N485" s="156">
        <f t="shared" si="377"/>
        <v>26290.302022071606</v>
      </c>
      <c r="O485" s="157">
        <f t="shared" si="372"/>
        <v>361732.05812796223</v>
      </c>
      <c r="P485" s="159"/>
      <c r="Q485" s="160"/>
      <c r="R485" s="160"/>
      <c r="S485" s="153"/>
    </row>
    <row r="486" spans="1:19" s="3" customFormat="1" ht="15.75">
      <c r="A486" s="161" t="s">
        <v>101</v>
      </c>
      <c r="B486" s="154" t="s">
        <v>102</v>
      </c>
      <c r="C486" s="155">
        <f>'ND WWTP 2012-2016'!B87</f>
        <v>2158.5867418333332</v>
      </c>
      <c r="D486" s="156">
        <f>'ND WWTP 2012-2016'!C87</f>
        <v>8639.4507031666672</v>
      </c>
      <c r="E486" s="155">
        <f>'ND WWTP 2012-2016'!D87</f>
        <v>619.01956266666662</v>
      </c>
      <c r="F486" s="156">
        <f>'ND WWTP 2012-2016'!E87</f>
        <v>2265.1156248333336</v>
      </c>
      <c r="G486" s="155">
        <f>'ND WWTP 2012-2016'!F87</f>
        <v>1847.2411400000001</v>
      </c>
      <c r="H486" s="156">
        <f>'ND WWTP 2012-2016'!G87</f>
        <v>1140.87538</v>
      </c>
      <c r="I486" s="155">
        <f>'ND WWTP 2012-2016'!H87</f>
        <v>4966.9177574999994</v>
      </c>
      <c r="J486" s="156">
        <f>'ND WWTP 2012-2016'!I87</f>
        <v>1449.0268660000002</v>
      </c>
      <c r="K486" s="155">
        <f>'ND WWTP 2012-2016'!J87</f>
        <v>1004.4102680000001</v>
      </c>
      <c r="L486" s="156">
        <f>'ND WWTP 2012-2016'!K87</f>
        <v>1681.2510265000001</v>
      </c>
      <c r="M486" s="155">
        <f>'ND WWTP 2012-2016'!L87</f>
        <v>1697.7450860000001</v>
      </c>
      <c r="N486" s="156">
        <f>'ND WWTP 2012-2016'!M87</f>
        <v>870.65858800000001</v>
      </c>
      <c r="O486" s="157">
        <f t="shared" si="372"/>
        <v>28340.2987445</v>
      </c>
      <c r="P486" s="159"/>
      <c r="Q486" s="160"/>
      <c r="R486" s="160"/>
      <c r="S486" s="153"/>
    </row>
    <row r="487" spans="1:19" s="3" customFormat="1" ht="16.5" thickBot="1">
      <c r="A487" s="161" t="s">
        <v>471</v>
      </c>
      <c r="B487" s="154" t="s">
        <v>103</v>
      </c>
      <c r="C487" s="155">
        <f>'RWV 2012-2016'!B42</f>
        <v>166.48594199999999</v>
      </c>
      <c r="D487" s="156">
        <f>'RWV 2012-2016'!C42</f>
        <v>136.53729900000002</v>
      </c>
      <c r="E487" s="155">
        <f>'RWV 2012-2016'!D42</f>
        <v>139.94043299999998</v>
      </c>
      <c r="F487" s="156">
        <f>'RWV 2012-2016'!E42</f>
        <v>155.9854665</v>
      </c>
      <c r="G487" s="155">
        <f>'RWV 2012-2016'!F42</f>
        <v>262.976652</v>
      </c>
      <c r="H487" s="156">
        <f>'RWV 2012-2016'!G42</f>
        <v>273.43834199999998</v>
      </c>
      <c r="I487" s="155">
        <f>'RWV 2012-2016'!H42</f>
        <v>130.532994</v>
      </c>
      <c r="J487" s="156">
        <f>'RWV 2012-2016'!I42</f>
        <v>230.42127600000001</v>
      </c>
      <c r="K487" s="155">
        <f>'RWV 2012-2016'!J42</f>
        <v>219.03955200000001</v>
      </c>
      <c r="L487" s="156">
        <f>'RWV 2012-2016'!K42</f>
        <v>354.36526199999997</v>
      </c>
      <c r="M487" s="155">
        <f>'RWV 2012-2016'!L42</f>
        <v>335.54244600000004</v>
      </c>
      <c r="N487" s="156">
        <f>'RWV 2012-2016'!M42</f>
        <v>227.11865399999999</v>
      </c>
      <c r="O487" s="157">
        <f t="shared" si="372"/>
        <v>2632.3843184999996</v>
      </c>
      <c r="P487" s="159"/>
      <c r="Q487" s="160"/>
      <c r="R487" s="160"/>
      <c r="S487" s="153"/>
    </row>
    <row r="488" spans="1:19" s="169" customFormat="1" ht="16.5" thickBot="1">
      <c r="A488" s="162" t="s">
        <v>104</v>
      </c>
      <c r="B488" s="163" t="s">
        <v>105</v>
      </c>
      <c r="C488" s="84">
        <f>SUM(C483:C487)</f>
        <v>118365.88792267325</v>
      </c>
      <c r="D488" s="85">
        <f t="shared" ref="D488:N488" si="378">SUM(D483:D487)</f>
        <v>114392.16886919321</v>
      </c>
      <c r="E488" s="84">
        <f t="shared" si="378"/>
        <v>123184.23477890491</v>
      </c>
      <c r="F488" s="85">
        <f t="shared" si="378"/>
        <v>121507.12039539689</v>
      </c>
      <c r="G488" s="84">
        <f t="shared" si="378"/>
        <v>141786.0325915149</v>
      </c>
      <c r="H488" s="85">
        <f t="shared" si="378"/>
        <v>165927.32426337758</v>
      </c>
      <c r="I488" s="84">
        <f t="shared" si="378"/>
        <v>183202.98098797756</v>
      </c>
      <c r="J488" s="85">
        <f t="shared" si="378"/>
        <v>194753.97437041483</v>
      </c>
      <c r="K488" s="84">
        <f t="shared" si="378"/>
        <v>159509.29924648101</v>
      </c>
      <c r="L488" s="85">
        <f t="shared" si="378"/>
        <v>152955.58774872252</v>
      </c>
      <c r="M488" s="84">
        <f t="shared" si="378"/>
        <v>143013.26819792888</v>
      </c>
      <c r="N488" s="85">
        <f t="shared" si="378"/>
        <v>138254.45890328864</v>
      </c>
      <c r="O488" s="86">
        <f>SUM(O483:O487)</f>
        <v>1756852.3382758738</v>
      </c>
      <c r="P488" s="166"/>
      <c r="Q488" s="167"/>
      <c r="R488" s="167"/>
      <c r="S488" s="168"/>
    </row>
    <row r="489" spans="1:19" s="178" customFormat="1" ht="16.5" thickBot="1">
      <c r="A489" s="170" t="s">
        <v>104</v>
      </c>
      <c r="B489" s="171" t="s">
        <v>107</v>
      </c>
      <c r="C489" s="172">
        <f>SUM(C483:C487)</f>
        <v>118365.88792267325</v>
      </c>
      <c r="D489" s="172">
        <f t="shared" ref="D489:N489" si="379">SUM(D483:D487)</f>
        <v>114392.16886919321</v>
      </c>
      <c r="E489" s="172">
        <f t="shared" si="379"/>
        <v>123184.23477890491</v>
      </c>
      <c r="F489" s="172">
        <f t="shared" si="379"/>
        <v>121507.12039539689</v>
      </c>
      <c r="G489" s="172">
        <f t="shared" si="379"/>
        <v>141786.0325915149</v>
      </c>
      <c r="H489" s="172">
        <f t="shared" si="379"/>
        <v>165927.32426337758</v>
      </c>
      <c r="I489" s="172">
        <f t="shared" si="379"/>
        <v>183202.98098797756</v>
      </c>
      <c r="J489" s="172">
        <f t="shared" si="379"/>
        <v>194753.97437041483</v>
      </c>
      <c r="K489" s="172">
        <f t="shared" si="379"/>
        <v>159509.29924648101</v>
      </c>
      <c r="L489" s="172">
        <f t="shared" si="379"/>
        <v>152955.58774872252</v>
      </c>
      <c r="M489" s="172">
        <f t="shared" si="379"/>
        <v>143013.26819792888</v>
      </c>
      <c r="N489" s="172">
        <f t="shared" si="379"/>
        <v>138254.45890328864</v>
      </c>
      <c r="O489" s="184">
        <f>SUM(C489:N489)</f>
        <v>1756852.338275874</v>
      </c>
      <c r="P489" s="175"/>
      <c r="Q489" s="176"/>
      <c r="R489" s="176"/>
      <c r="S489" s="177"/>
    </row>
    <row r="490" spans="1:19" s="3" customFormat="1">
      <c r="A490" s="4"/>
      <c r="C490" s="2"/>
      <c r="D490" s="2"/>
      <c r="E490" s="2"/>
      <c r="F490" s="2"/>
      <c r="G490" s="2"/>
      <c r="H490" s="2"/>
      <c r="I490" s="2"/>
      <c r="J490" s="2"/>
      <c r="K490" s="2"/>
      <c r="L490" s="2"/>
      <c r="M490" s="2"/>
      <c r="N490" s="2"/>
      <c r="O490" s="2"/>
    </row>
    <row r="491" spans="1:19" s="3" customFormat="1">
      <c r="A491" s="4"/>
      <c r="C491" s="179"/>
      <c r="D491" s="179"/>
      <c r="E491" s="179"/>
      <c r="F491" s="179"/>
      <c r="G491" s="179"/>
      <c r="H491" s="179"/>
      <c r="I491" s="179"/>
      <c r="J491" s="179"/>
      <c r="K491" s="179"/>
      <c r="L491" s="179"/>
      <c r="M491" s="179"/>
      <c r="N491" s="179"/>
      <c r="O491" s="179"/>
    </row>
    <row r="492" spans="1:19" s="3" customFormat="1">
      <c r="A492" s="4"/>
      <c r="C492" s="179"/>
      <c r="D492" s="179"/>
      <c r="E492" s="179"/>
      <c r="F492" s="179"/>
      <c r="G492" s="179"/>
      <c r="H492" s="179"/>
      <c r="I492" s="179"/>
      <c r="J492" s="179"/>
      <c r="K492" s="179"/>
      <c r="L492" s="179"/>
      <c r="M492" s="179"/>
      <c r="N492" s="179"/>
      <c r="O492" s="179"/>
    </row>
    <row r="493" spans="1:19" s="3" customFormat="1">
      <c r="A493" s="4"/>
      <c r="C493" s="179"/>
      <c r="D493" s="179"/>
      <c r="E493" s="179"/>
      <c r="F493" s="179"/>
      <c r="G493" s="179"/>
      <c r="H493" s="179"/>
      <c r="I493" s="179"/>
      <c r="J493" s="179"/>
      <c r="K493" s="179"/>
      <c r="L493" s="179"/>
      <c r="M493" s="179"/>
      <c r="N493" s="179"/>
      <c r="O493" s="2"/>
    </row>
    <row r="494" spans="1:19" s="3" customFormat="1">
      <c r="A494" s="4"/>
      <c r="C494" s="179"/>
      <c r="D494" s="179"/>
      <c r="E494" s="179"/>
      <c r="F494" s="179"/>
      <c r="G494" s="179"/>
      <c r="H494" s="179"/>
      <c r="I494" s="179"/>
      <c r="J494" s="179"/>
      <c r="K494" s="179"/>
      <c r="L494" s="179"/>
      <c r="M494" s="179"/>
      <c r="N494" s="179"/>
      <c r="O494" s="179"/>
    </row>
    <row r="495" spans="1:19" s="3" customFormat="1">
      <c r="A495" s="4"/>
      <c r="C495" s="2"/>
      <c r="D495" s="2"/>
      <c r="E495" s="2"/>
      <c r="F495" s="2"/>
      <c r="G495" s="2"/>
      <c r="H495" s="2"/>
      <c r="I495" s="2"/>
      <c r="J495" s="2"/>
      <c r="K495" s="2"/>
      <c r="L495" s="2"/>
      <c r="M495" s="2"/>
      <c r="N495" s="2"/>
      <c r="O495" s="179"/>
    </row>
    <row r="496" spans="1:19" s="3" customFormat="1">
      <c r="A496" s="4"/>
      <c r="C496" s="2"/>
      <c r="D496" s="2"/>
      <c r="E496" s="2"/>
      <c r="F496" s="2"/>
      <c r="G496" s="2"/>
      <c r="H496" s="2"/>
      <c r="I496" s="2"/>
      <c r="J496" s="2"/>
      <c r="K496" s="2"/>
      <c r="L496" s="2"/>
      <c r="M496" s="2"/>
      <c r="N496" s="2"/>
      <c r="O496" s="2"/>
    </row>
    <row r="497" spans="1:15" s="3" customFormat="1">
      <c r="A497" s="4"/>
      <c r="C497" s="2"/>
      <c r="D497" s="2"/>
      <c r="E497" s="2"/>
      <c r="F497" s="2"/>
      <c r="G497" s="2"/>
      <c r="H497" s="2"/>
      <c r="I497" s="2"/>
      <c r="J497" s="2"/>
      <c r="K497" s="2"/>
      <c r="L497" s="2"/>
      <c r="M497" s="2"/>
      <c r="N497" s="2"/>
      <c r="O497" s="2"/>
    </row>
    <row r="498" spans="1:15" s="3" customFormat="1">
      <c r="A498" s="4"/>
      <c r="C498" s="2"/>
      <c r="D498" s="2"/>
      <c r="E498" s="2"/>
      <c r="F498" s="2"/>
      <c r="G498" s="2"/>
      <c r="H498" s="2"/>
      <c r="I498" s="2"/>
      <c r="J498" s="2"/>
      <c r="K498" s="2"/>
      <c r="L498" s="2"/>
      <c r="M498" s="2"/>
      <c r="N498" s="2"/>
      <c r="O498" s="2"/>
    </row>
    <row r="499" spans="1:15" s="3" customFormat="1">
      <c r="A499" s="4"/>
      <c r="C499" s="2"/>
      <c r="D499" s="2"/>
      <c r="E499" s="2"/>
      <c r="F499" s="2"/>
      <c r="G499" s="2"/>
      <c r="H499" s="2"/>
      <c r="I499" s="2"/>
      <c r="J499" s="2"/>
      <c r="K499" s="2"/>
      <c r="L499" s="2"/>
      <c r="M499" s="2"/>
      <c r="N499" s="2"/>
      <c r="O499" s="2"/>
    </row>
    <row r="500" spans="1:15" s="3" customFormat="1">
      <c r="A500" s="4"/>
      <c r="C500" s="2"/>
      <c r="D500" s="2"/>
      <c r="E500" s="2"/>
      <c r="F500" s="2"/>
      <c r="G500" s="2"/>
      <c r="H500" s="2"/>
      <c r="I500" s="2"/>
      <c r="J500" s="2"/>
      <c r="K500" s="2"/>
      <c r="L500" s="2"/>
      <c r="M500" s="2"/>
      <c r="N500" s="2"/>
      <c r="O500" s="2"/>
    </row>
    <row r="501" spans="1:15" s="3" customFormat="1">
      <c r="A501" s="4"/>
      <c r="C501" s="2"/>
      <c r="D501" s="2"/>
      <c r="E501" s="2"/>
      <c r="F501" s="2"/>
      <c r="G501" s="2"/>
      <c r="H501" s="2"/>
      <c r="I501" s="2"/>
      <c r="J501" s="2"/>
      <c r="K501" s="2"/>
      <c r="L501" s="2"/>
      <c r="M501" s="2"/>
      <c r="N501" s="2"/>
      <c r="O501" s="2"/>
    </row>
    <row r="502" spans="1:15" s="3" customFormat="1">
      <c r="A502" s="4"/>
      <c r="C502" s="2"/>
      <c r="D502" s="2"/>
      <c r="E502" s="2"/>
      <c r="F502" s="2"/>
      <c r="G502" s="2"/>
      <c r="H502" s="2"/>
      <c r="I502" s="2"/>
      <c r="J502" s="2"/>
      <c r="K502" s="2"/>
      <c r="L502" s="2"/>
      <c r="M502" s="2"/>
      <c r="N502" s="2"/>
      <c r="O502" s="2"/>
    </row>
    <row r="503" spans="1:15" s="3" customFormat="1">
      <c r="A503" s="4"/>
      <c r="C503" s="2"/>
      <c r="D503" s="2"/>
      <c r="E503" s="2"/>
      <c r="F503" s="2"/>
      <c r="G503" s="2"/>
      <c r="H503" s="2"/>
      <c r="I503" s="2"/>
      <c r="J503" s="2"/>
      <c r="K503" s="2"/>
      <c r="L503" s="2"/>
      <c r="M503" s="2"/>
      <c r="N503" s="2"/>
      <c r="O503" s="2"/>
    </row>
    <row r="504" spans="1:15" s="3" customFormat="1">
      <c r="A504" s="4"/>
      <c r="C504" s="2"/>
      <c r="D504" s="2"/>
      <c r="E504" s="2"/>
      <c r="F504" s="2"/>
      <c r="G504" s="2"/>
      <c r="H504" s="2"/>
      <c r="I504" s="2"/>
      <c r="J504" s="2"/>
      <c r="K504" s="2"/>
      <c r="L504" s="2"/>
      <c r="M504" s="2"/>
      <c r="N504" s="2"/>
      <c r="O504" s="2"/>
    </row>
    <row r="505" spans="1:15" s="3" customFormat="1">
      <c r="A505" s="4"/>
      <c r="C505" s="2"/>
      <c r="D505" s="2"/>
      <c r="E505" s="2"/>
      <c r="F505" s="2"/>
      <c r="G505" s="2"/>
      <c r="H505" s="2"/>
      <c r="I505" s="2"/>
      <c r="J505" s="2"/>
      <c r="K505" s="2"/>
      <c r="L505" s="2"/>
      <c r="M505" s="2"/>
      <c r="N505" s="2"/>
      <c r="O505" s="2"/>
    </row>
    <row r="506" spans="1:15" s="3" customFormat="1">
      <c r="A506" s="4"/>
      <c r="C506" s="2"/>
      <c r="D506" s="2"/>
      <c r="E506" s="2"/>
      <c r="F506" s="2"/>
      <c r="G506" s="2"/>
      <c r="H506" s="2"/>
      <c r="I506" s="2"/>
      <c r="J506" s="2"/>
      <c r="K506" s="2"/>
      <c r="L506" s="2"/>
      <c r="M506" s="2"/>
      <c r="N506" s="2"/>
      <c r="O506" s="2"/>
    </row>
    <row r="507" spans="1:15" s="3" customFormat="1">
      <c r="A507" s="4"/>
      <c r="C507" s="2"/>
      <c r="D507" s="2"/>
      <c r="E507" s="2"/>
      <c r="F507" s="2"/>
      <c r="G507" s="2"/>
      <c r="H507" s="2"/>
      <c r="I507" s="2"/>
      <c r="J507" s="2"/>
      <c r="K507" s="2"/>
      <c r="L507" s="2"/>
      <c r="M507" s="2"/>
      <c r="N507" s="2"/>
      <c r="O507" s="2"/>
    </row>
    <row r="508" spans="1:15" s="3" customFormat="1">
      <c r="A508" s="4"/>
      <c r="C508" s="2"/>
      <c r="D508" s="2"/>
      <c r="E508" s="2"/>
      <c r="F508" s="2"/>
      <c r="G508" s="2"/>
      <c r="H508" s="2"/>
      <c r="I508" s="2"/>
      <c r="J508" s="2"/>
      <c r="K508" s="2"/>
      <c r="L508" s="2"/>
      <c r="M508" s="2"/>
      <c r="N508" s="2"/>
      <c r="O508" s="2"/>
    </row>
    <row r="509" spans="1:15" s="3" customFormat="1">
      <c r="A509" s="4"/>
      <c r="C509" s="2"/>
      <c r="D509" s="2"/>
      <c r="E509" s="2"/>
      <c r="F509" s="2"/>
      <c r="G509" s="2"/>
      <c r="H509" s="2"/>
      <c r="I509" s="2"/>
      <c r="J509" s="2"/>
      <c r="K509" s="2"/>
      <c r="L509" s="2"/>
      <c r="M509" s="2"/>
      <c r="N509" s="2"/>
      <c r="O509" s="2"/>
    </row>
    <row r="510" spans="1:15" s="3" customFormat="1">
      <c r="A510" s="4"/>
      <c r="C510" s="2"/>
      <c r="D510" s="2"/>
      <c r="E510" s="2"/>
      <c r="F510" s="2"/>
      <c r="G510" s="2"/>
      <c r="H510" s="2"/>
      <c r="I510" s="2"/>
      <c r="J510" s="2"/>
      <c r="K510" s="2"/>
      <c r="L510" s="2"/>
      <c r="M510" s="2"/>
      <c r="N510" s="2"/>
      <c r="O510" s="2"/>
    </row>
    <row r="511" spans="1:15" s="3" customFormat="1">
      <c r="A511" s="4"/>
      <c r="C511" s="2"/>
      <c r="D511" s="2"/>
      <c r="E511" s="2"/>
      <c r="F511" s="2"/>
      <c r="G511" s="2"/>
      <c r="H511" s="2"/>
      <c r="I511" s="2"/>
      <c r="J511" s="2"/>
      <c r="K511" s="2"/>
      <c r="L511" s="2"/>
      <c r="M511" s="2"/>
      <c r="N511" s="2"/>
      <c r="O511" s="2"/>
    </row>
    <row r="512" spans="1:15" s="3" customFormat="1">
      <c r="A512" s="4"/>
      <c r="C512" s="2"/>
      <c r="D512" s="2"/>
      <c r="E512" s="2"/>
      <c r="F512" s="2"/>
      <c r="G512" s="2"/>
      <c r="H512" s="2"/>
      <c r="I512" s="2"/>
      <c r="J512" s="2"/>
      <c r="K512" s="2"/>
      <c r="L512" s="2"/>
      <c r="M512" s="2"/>
      <c r="N512" s="2"/>
      <c r="O512" s="2"/>
    </row>
    <row r="513" spans="1:15" s="3" customFormat="1">
      <c r="A513" s="4"/>
      <c r="C513" s="2"/>
      <c r="D513" s="2"/>
      <c r="E513" s="2"/>
      <c r="F513" s="2"/>
      <c r="G513" s="2"/>
      <c r="H513" s="2"/>
      <c r="I513" s="2"/>
      <c r="J513" s="2"/>
      <c r="K513" s="2"/>
      <c r="L513" s="2"/>
      <c r="M513" s="2"/>
      <c r="N513" s="2"/>
      <c r="O513" s="2"/>
    </row>
    <row r="514" spans="1:15" s="3" customFormat="1">
      <c r="A514" s="4"/>
      <c r="C514" s="2"/>
      <c r="D514" s="2"/>
      <c r="E514" s="2"/>
      <c r="F514" s="2"/>
      <c r="G514" s="2"/>
      <c r="H514" s="2"/>
      <c r="I514" s="2"/>
      <c r="J514" s="2"/>
      <c r="K514" s="2"/>
      <c r="L514" s="2"/>
      <c r="M514" s="2"/>
      <c r="N514" s="2"/>
      <c r="O514" s="2"/>
    </row>
    <row r="515" spans="1:15" s="3" customFormat="1">
      <c r="A515" s="4"/>
      <c r="C515" s="2"/>
      <c r="D515" s="2"/>
      <c r="E515" s="2"/>
      <c r="F515" s="2"/>
      <c r="G515" s="2"/>
      <c r="H515" s="2"/>
      <c r="I515" s="2"/>
      <c r="J515" s="2"/>
      <c r="K515" s="2"/>
      <c r="L515" s="2"/>
      <c r="M515" s="2"/>
      <c r="N515" s="2"/>
      <c r="O515" s="2"/>
    </row>
    <row r="516" spans="1:15" s="3" customFormat="1">
      <c r="A516" s="4"/>
      <c r="C516" s="2"/>
      <c r="D516" s="2"/>
      <c r="E516" s="2"/>
      <c r="F516" s="2"/>
      <c r="G516" s="2"/>
      <c r="H516" s="2"/>
      <c r="I516" s="2"/>
      <c r="J516" s="2"/>
      <c r="K516" s="2"/>
      <c r="L516" s="2"/>
      <c r="M516" s="2"/>
      <c r="N516" s="2"/>
      <c r="O516" s="2"/>
    </row>
    <row r="517" spans="1:15" s="3" customFormat="1">
      <c r="A517" s="4"/>
      <c r="C517" s="2"/>
      <c r="D517" s="2"/>
      <c r="E517" s="2"/>
      <c r="F517" s="2"/>
      <c r="G517" s="2"/>
      <c r="H517" s="2"/>
      <c r="I517" s="2"/>
      <c r="J517" s="2"/>
      <c r="K517" s="2"/>
      <c r="L517" s="2"/>
      <c r="M517" s="2"/>
      <c r="N517" s="2"/>
      <c r="O517" s="2"/>
    </row>
    <row r="518" spans="1:15" s="3" customFormat="1">
      <c r="A518" s="4"/>
      <c r="C518" s="2"/>
      <c r="D518" s="2"/>
      <c r="E518" s="2"/>
      <c r="F518" s="2"/>
      <c r="G518" s="2"/>
      <c r="H518" s="2"/>
      <c r="I518" s="2"/>
      <c r="J518" s="2"/>
      <c r="K518" s="2"/>
      <c r="L518" s="2"/>
      <c r="M518" s="2"/>
      <c r="N518" s="2"/>
      <c r="O518" s="2"/>
    </row>
    <row r="519" spans="1:15" s="3" customFormat="1">
      <c r="A519" s="4"/>
      <c r="C519" s="2"/>
      <c r="D519" s="2"/>
      <c r="E519" s="2"/>
      <c r="F519" s="2"/>
      <c r="G519" s="2"/>
      <c r="H519" s="2"/>
      <c r="I519" s="2"/>
      <c r="J519" s="2"/>
      <c r="K519" s="2"/>
      <c r="L519" s="2"/>
      <c r="M519" s="2"/>
      <c r="N519" s="2"/>
      <c r="O519" s="2"/>
    </row>
    <row r="520" spans="1:15" s="3" customFormat="1">
      <c r="A520" s="4"/>
      <c r="C520" s="2"/>
      <c r="D520" s="2"/>
      <c r="E520" s="2"/>
      <c r="F520" s="2"/>
      <c r="G520" s="2"/>
      <c r="H520" s="2"/>
      <c r="I520" s="2"/>
      <c r="J520" s="2"/>
      <c r="K520" s="2"/>
      <c r="L520" s="2"/>
      <c r="M520" s="2"/>
      <c r="N520" s="2"/>
      <c r="O520" s="2"/>
    </row>
    <row r="521" spans="1:15" s="3" customFormat="1">
      <c r="A521" s="4"/>
      <c r="C521" s="2"/>
      <c r="D521" s="2"/>
      <c r="E521" s="2"/>
      <c r="F521" s="2"/>
      <c r="G521" s="2"/>
      <c r="H521" s="2"/>
      <c r="I521" s="2"/>
      <c r="J521" s="2"/>
      <c r="K521" s="2"/>
      <c r="L521" s="2"/>
      <c r="M521" s="2"/>
      <c r="N521" s="2"/>
      <c r="O521" s="2"/>
    </row>
    <row r="522" spans="1:15" s="3" customFormat="1">
      <c r="A522" s="4"/>
      <c r="C522" s="2"/>
      <c r="D522" s="2"/>
      <c r="E522" s="2"/>
      <c r="F522" s="2"/>
      <c r="G522" s="2"/>
      <c r="H522" s="2"/>
      <c r="I522" s="2"/>
      <c r="J522" s="2"/>
      <c r="K522" s="2"/>
      <c r="L522" s="2"/>
      <c r="M522" s="2"/>
      <c r="N522" s="2"/>
      <c r="O522" s="2"/>
    </row>
    <row r="523" spans="1:15" s="3" customFormat="1">
      <c r="A523" s="4"/>
      <c r="C523" s="2"/>
      <c r="D523" s="2"/>
      <c r="E523" s="2"/>
      <c r="F523" s="2"/>
      <c r="G523" s="2"/>
      <c r="H523" s="2"/>
      <c r="I523" s="2"/>
      <c r="J523" s="2"/>
      <c r="K523" s="2"/>
      <c r="L523" s="2"/>
      <c r="M523" s="2"/>
      <c r="N523" s="2"/>
      <c r="O523" s="2"/>
    </row>
    <row r="524" spans="1:15" s="3" customFormat="1">
      <c r="A524" s="4"/>
      <c r="C524" s="2"/>
      <c r="D524" s="2"/>
      <c r="E524" s="2"/>
      <c r="F524" s="2"/>
      <c r="G524" s="2"/>
      <c r="H524" s="2"/>
      <c r="I524" s="2"/>
      <c r="J524" s="2"/>
      <c r="K524" s="2"/>
      <c r="L524" s="2"/>
      <c r="M524" s="2"/>
      <c r="N524" s="2"/>
      <c r="O524" s="2"/>
    </row>
    <row r="525" spans="1:15" s="3" customFormat="1">
      <c r="A525" s="4"/>
      <c r="C525" s="2"/>
      <c r="D525" s="2"/>
      <c r="E525" s="2"/>
      <c r="F525" s="2"/>
      <c r="G525" s="2"/>
      <c r="H525" s="2"/>
      <c r="I525" s="2"/>
      <c r="J525" s="2"/>
      <c r="K525" s="2"/>
      <c r="L525" s="2"/>
      <c r="M525" s="2"/>
      <c r="N525" s="2"/>
      <c r="O525" s="2"/>
    </row>
    <row r="526" spans="1:15" s="3" customFormat="1">
      <c r="A526" s="4"/>
      <c r="C526" s="2"/>
      <c r="D526" s="2"/>
      <c r="E526" s="2"/>
      <c r="F526" s="2"/>
      <c r="G526" s="2"/>
      <c r="H526" s="2"/>
      <c r="I526" s="2"/>
      <c r="J526" s="2"/>
      <c r="K526" s="2"/>
      <c r="L526" s="2"/>
      <c r="M526" s="2"/>
      <c r="N526" s="2"/>
      <c r="O526" s="2"/>
    </row>
    <row r="527" spans="1:15" s="3" customFormat="1">
      <c r="A527" s="4"/>
      <c r="C527" s="2"/>
      <c r="D527" s="2"/>
      <c r="E527" s="2"/>
      <c r="F527" s="2"/>
      <c r="G527" s="2"/>
      <c r="H527" s="2"/>
      <c r="I527" s="2"/>
      <c r="J527" s="2"/>
      <c r="K527" s="2"/>
      <c r="L527" s="2"/>
      <c r="M527" s="2"/>
      <c r="N527" s="2"/>
      <c r="O527" s="2"/>
    </row>
    <row r="528" spans="1:15" s="3" customFormat="1">
      <c r="A528" s="4"/>
      <c r="C528" s="2"/>
      <c r="D528" s="2"/>
      <c r="E528" s="2"/>
      <c r="F528" s="2"/>
      <c r="G528" s="2"/>
      <c r="H528" s="2"/>
      <c r="I528" s="2"/>
      <c r="J528" s="2"/>
      <c r="K528" s="2"/>
      <c r="L528" s="2"/>
      <c r="M528" s="2"/>
      <c r="N528" s="2"/>
      <c r="O528" s="2"/>
    </row>
    <row r="529" spans="1:15" s="3" customFormat="1">
      <c r="A529" s="4"/>
      <c r="C529" s="2"/>
      <c r="D529" s="2"/>
      <c r="E529" s="2"/>
      <c r="F529" s="2"/>
      <c r="G529" s="2"/>
      <c r="H529" s="2"/>
      <c r="I529" s="2"/>
      <c r="J529" s="2"/>
      <c r="K529" s="2"/>
      <c r="L529" s="2"/>
      <c r="M529" s="2"/>
      <c r="N529" s="2"/>
      <c r="O529" s="2"/>
    </row>
    <row r="530" spans="1:15" s="3" customFormat="1">
      <c r="A530" s="4"/>
      <c r="C530" s="2"/>
      <c r="D530" s="2"/>
      <c r="E530" s="2"/>
      <c r="F530" s="2"/>
      <c r="G530" s="2"/>
      <c r="H530" s="2"/>
      <c r="I530" s="2"/>
      <c r="J530" s="2"/>
      <c r="K530" s="2"/>
      <c r="L530" s="2"/>
      <c r="M530" s="2"/>
      <c r="N530" s="2"/>
      <c r="O530" s="2"/>
    </row>
    <row r="531" spans="1:15" s="3" customFormat="1">
      <c r="A531" s="4"/>
      <c r="C531" s="2"/>
      <c r="D531" s="2"/>
      <c r="E531" s="2"/>
      <c r="F531" s="2"/>
      <c r="G531" s="2"/>
      <c r="H531" s="2"/>
      <c r="I531" s="2"/>
      <c r="J531" s="2"/>
      <c r="K531" s="2"/>
      <c r="L531" s="2"/>
      <c r="M531" s="2"/>
      <c r="N531" s="2"/>
      <c r="O531" s="2"/>
    </row>
    <row r="532" spans="1:15" s="3" customFormat="1">
      <c r="A532" s="4"/>
      <c r="C532" s="2"/>
      <c r="D532" s="2"/>
      <c r="E532" s="2"/>
      <c r="F532" s="2"/>
      <c r="G532" s="2"/>
      <c r="H532" s="2"/>
      <c r="I532" s="2"/>
      <c r="J532" s="2"/>
      <c r="K532" s="2"/>
      <c r="L532" s="2"/>
      <c r="M532" s="2"/>
      <c r="N532" s="2"/>
      <c r="O532" s="2"/>
    </row>
    <row r="533" spans="1:15" s="3" customFormat="1">
      <c r="A533" s="4"/>
      <c r="C533" s="2"/>
      <c r="D533" s="2"/>
      <c r="E533" s="2"/>
      <c r="F533" s="2"/>
      <c r="G533" s="2"/>
      <c r="H533" s="2"/>
      <c r="I533" s="2"/>
      <c r="J533" s="2"/>
      <c r="K533" s="2"/>
      <c r="L533" s="2"/>
      <c r="M533" s="2"/>
      <c r="N533" s="2"/>
      <c r="O533" s="2"/>
    </row>
    <row r="534" spans="1:15" s="3" customFormat="1">
      <c r="A534" s="4"/>
      <c r="C534" s="2"/>
      <c r="D534" s="2"/>
      <c r="E534" s="2"/>
      <c r="F534" s="2"/>
      <c r="G534" s="2"/>
      <c r="H534" s="2"/>
      <c r="I534" s="2"/>
      <c r="J534" s="2"/>
      <c r="K534" s="2"/>
      <c r="L534" s="2"/>
      <c r="M534" s="2"/>
      <c r="N534" s="2"/>
      <c r="O534" s="2"/>
    </row>
    <row r="535" spans="1:15" s="3" customFormat="1">
      <c r="A535" s="4"/>
      <c r="C535" s="2"/>
      <c r="D535" s="2"/>
      <c r="E535" s="2"/>
      <c r="F535" s="2"/>
      <c r="G535" s="2"/>
      <c r="H535" s="2"/>
      <c r="I535" s="2"/>
      <c r="J535" s="2"/>
      <c r="K535" s="2"/>
      <c r="L535" s="2"/>
      <c r="M535" s="2"/>
      <c r="N535" s="2"/>
      <c r="O535" s="2"/>
    </row>
    <row r="536" spans="1:15" s="3" customFormat="1">
      <c r="A536" s="4"/>
      <c r="C536" s="2"/>
      <c r="D536" s="2"/>
      <c r="E536" s="2"/>
      <c r="F536" s="2"/>
      <c r="G536" s="2"/>
      <c r="H536" s="2"/>
      <c r="I536" s="2"/>
      <c r="J536" s="2"/>
      <c r="K536" s="2"/>
      <c r="L536" s="2"/>
      <c r="M536" s="2"/>
      <c r="N536" s="2"/>
      <c r="O536" s="2"/>
    </row>
    <row r="537" spans="1:15" s="3" customFormat="1">
      <c r="A537" s="4"/>
      <c r="C537" s="2"/>
      <c r="D537" s="2"/>
      <c r="E537" s="2"/>
      <c r="F537" s="2"/>
      <c r="G537" s="2"/>
      <c r="H537" s="2"/>
      <c r="I537" s="2"/>
      <c r="J537" s="2"/>
      <c r="K537" s="2"/>
      <c r="L537" s="2"/>
      <c r="M537" s="2"/>
      <c r="N537" s="2"/>
      <c r="O537" s="2"/>
    </row>
    <row r="538" spans="1:15" s="3" customFormat="1">
      <c r="A538" s="4"/>
      <c r="C538" s="2"/>
      <c r="D538" s="2"/>
      <c r="E538" s="2"/>
      <c r="F538" s="2"/>
      <c r="G538" s="2"/>
      <c r="H538" s="2"/>
      <c r="I538" s="2"/>
      <c r="J538" s="2"/>
      <c r="K538" s="2"/>
      <c r="L538" s="2"/>
      <c r="M538" s="2"/>
      <c r="N538" s="2"/>
      <c r="O538" s="2"/>
    </row>
    <row r="539" spans="1:15" s="3" customFormat="1">
      <c r="A539" s="4"/>
      <c r="C539" s="2"/>
      <c r="D539" s="2"/>
      <c r="E539" s="2"/>
      <c r="F539" s="2"/>
      <c r="G539" s="2"/>
      <c r="H539" s="2"/>
      <c r="I539" s="2"/>
      <c r="J539" s="2"/>
      <c r="K539" s="2"/>
      <c r="L539" s="2"/>
      <c r="M539" s="2"/>
      <c r="N539" s="2"/>
      <c r="O539" s="2"/>
    </row>
    <row r="540" spans="1:15" s="3" customFormat="1">
      <c r="A540" s="4"/>
      <c r="C540" s="2"/>
      <c r="D540" s="2"/>
      <c r="E540" s="2"/>
      <c r="F540" s="2"/>
      <c r="G540" s="2"/>
      <c r="H540" s="2"/>
      <c r="I540" s="2"/>
      <c r="J540" s="2"/>
      <c r="K540" s="2"/>
      <c r="L540" s="2"/>
      <c r="M540" s="2"/>
      <c r="N540" s="2"/>
      <c r="O540" s="2"/>
    </row>
    <row r="541" spans="1:15" s="3" customFormat="1">
      <c r="A541" s="4"/>
      <c r="C541" s="2"/>
      <c r="D541" s="2"/>
      <c r="E541" s="2"/>
      <c r="F541" s="2"/>
      <c r="G541" s="2"/>
      <c r="H541" s="2"/>
      <c r="I541" s="2"/>
      <c r="J541" s="2"/>
      <c r="K541" s="2"/>
      <c r="L541" s="2"/>
      <c r="M541" s="2"/>
      <c r="N541" s="2"/>
      <c r="O541" s="2"/>
    </row>
    <row r="542" spans="1:15" s="3" customFormat="1">
      <c r="A542" s="4"/>
      <c r="C542" s="2"/>
      <c r="D542" s="2"/>
      <c r="E542" s="2"/>
      <c r="F542" s="2"/>
      <c r="G542" s="2"/>
      <c r="H542" s="2"/>
      <c r="I542" s="2"/>
      <c r="J542" s="2"/>
      <c r="K542" s="2"/>
      <c r="L542" s="2"/>
      <c r="M542" s="2"/>
      <c r="N542" s="2"/>
      <c r="O542" s="2"/>
    </row>
    <row r="543" spans="1:15" s="3" customFormat="1">
      <c r="A543" s="4"/>
      <c r="C543" s="2"/>
      <c r="D543" s="2"/>
      <c r="E543" s="2"/>
      <c r="F543" s="2"/>
      <c r="G543" s="2"/>
      <c r="H543" s="2"/>
      <c r="I543" s="2"/>
      <c r="J543" s="2"/>
      <c r="K543" s="2"/>
      <c r="L543" s="2"/>
      <c r="M543" s="2"/>
      <c r="N543" s="2"/>
      <c r="O543" s="2"/>
    </row>
    <row r="544" spans="1:15" s="3" customFormat="1">
      <c r="A544" s="4"/>
      <c r="C544" s="2"/>
      <c r="D544" s="2"/>
      <c r="E544" s="2"/>
      <c r="F544" s="2"/>
      <c r="G544" s="2"/>
      <c r="H544" s="2"/>
      <c r="I544" s="2"/>
      <c r="J544" s="2"/>
      <c r="K544" s="2"/>
      <c r="L544" s="2"/>
      <c r="M544" s="2"/>
      <c r="N544" s="2"/>
      <c r="O544" s="2"/>
    </row>
    <row r="545" spans="1:15" s="3" customFormat="1">
      <c r="A545" s="4"/>
      <c r="C545" s="2"/>
      <c r="D545" s="2"/>
      <c r="E545" s="2"/>
      <c r="F545" s="2"/>
      <c r="G545" s="2"/>
      <c r="H545" s="2"/>
      <c r="I545" s="2"/>
      <c r="J545" s="2"/>
      <c r="K545" s="2"/>
      <c r="L545" s="2"/>
      <c r="M545" s="2"/>
      <c r="N545" s="2"/>
      <c r="O545" s="2"/>
    </row>
    <row r="546" spans="1:15" s="3" customFormat="1">
      <c r="A546" s="4"/>
      <c r="C546" s="2"/>
      <c r="D546" s="2"/>
      <c r="E546" s="2"/>
      <c r="F546" s="2"/>
      <c r="G546" s="2"/>
      <c r="H546" s="2"/>
      <c r="I546" s="2"/>
      <c r="J546" s="2"/>
      <c r="K546" s="2"/>
      <c r="L546" s="2"/>
      <c r="M546" s="2"/>
      <c r="N546" s="2"/>
      <c r="O546" s="2"/>
    </row>
    <row r="547" spans="1:15" s="3" customFormat="1">
      <c r="A547" s="4"/>
      <c r="C547" s="2"/>
      <c r="D547" s="2"/>
      <c r="E547" s="2"/>
      <c r="F547" s="2"/>
      <c r="G547" s="2"/>
      <c r="H547" s="2"/>
      <c r="I547" s="2"/>
      <c r="J547" s="2"/>
      <c r="K547" s="2"/>
      <c r="L547" s="2"/>
      <c r="M547" s="2"/>
      <c r="N547" s="2"/>
      <c r="O547" s="2"/>
    </row>
    <row r="548" spans="1:15" s="3" customFormat="1">
      <c r="A548" s="4"/>
      <c r="C548" s="2"/>
      <c r="D548" s="2"/>
      <c r="E548" s="2"/>
      <c r="F548" s="2"/>
      <c r="G548" s="2"/>
      <c r="H548" s="2"/>
      <c r="I548" s="2"/>
      <c r="J548" s="2"/>
      <c r="K548" s="2"/>
      <c r="L548" s="2"/>
      <c r="M548" s="2"/>
      <c r="N548" s="2"/>
      <c r="O548" s="2"/>
    </row>
    <row r="549" spans="1:15" s="3" customFormat="1">
      <c r="A549" s="4"/>
      <c r="C549" s="2"/>
      <c r="D549" s="2"/>
      <c r="E549" s="2"/>
      <c r="F549" s="2"/>
      <c r="G549" s="2"/>
      <c r="H549" s="2"/>
      <c r="I549" s="2"/>
      <c r="J549" s="2"/>
      <c r="K549" s="2"/>
      <c r="L549" s="2"/>
      <c r="M549" s="2"/>
      <c r="N549" s="2"/>
      <c r="O549" s="2"/>
    </row>
    <row r="550" spans="1:15" s="3" customFormat="1">
      <c r="A550" s="4"/>
      <c r="C550" s="2"/>
      <c r="D550" s="2"/>
      <c r="E550" s="2"/>
      <c r="F550" s="2"/>
      <c r="G550" s="2"/>
      <c r="H550" s="2"/>
      <c r="I550" s="2"/>
      <c r="J550" s="2"/>
      <c r="K550" s="2"/>
      <c r="L550" s="2"/>
      <c r="M550" s="2"/>
      <c r="N550" s="2"/>
      <c r="O550" s="2"/>
    </row>
    <row r="551" spans="1:15" s="3" customFormat="1">
      <c r="A551" s="4"/>
      <c r="C551" s="2"/>
      <c r="D551" s="2"/>
      <c r="E551" s="2"/>
      <c r="F551" s="2"/>
      <c r="G551" s="2"/>
      <c r="H551" s="2"/>
      <c r="I551" s="2"/>
      <c r="J551" s="2"/>
      <c r="K551" s="2"/>
      <c r="L551" s="2"/>
      <c r="M551" s="2"/>
      <c r="N551" s="2"/>
      <c r="O551" s="2"/>
    </row>
    <row r="552" spans="1:15" s="3" customFormat="1">
      <c r="A552" s="4"/>
      <c r="C552" s="2"/>
      <c r="D552" s="2"/>
      <c r="E552" s="2"/>
      <c r="F552" s="2"/>
      <c r="G552" s="2"/>
      <c r="H552" s="2"/>
      <c r="I552" s="2"/>
      <c r="J552" s="2"/>
      <c r="K552" s="2"/>
      <c r="L552" s="2"/>
      <c r="M552" s="2"/>
      <c r="N552" s="2"/>
      <c r="O552" s="2"/>
    </row>
    <row r="553" spans="1:15" s="3" customFormat="1">
      <c r="A553" s="4"/>
      <c r="C553" s="2"/>
      <c r="D553" s="2"/>
      <c r="E553" s="2"/>
      <c r="F553" s="2"/>
      <c r="G553" s="2"/>
      <c r="H553" s="2"/>
      <c r="I553" s="2"/>
      <c r="J553" s="2"/>
      <c r="K553" s="2"/>
      <c r="L553" s="2"/>
      <c r="M553" s="2"/>
      <c r="N553" s="2"/>
      <c r="O553" s="2"/>
    </row>
    <row r="554" spans="1:15" s="3" customFormat="1">
      <c r="A554" s="4"/>
      <c r="C554" s="2"/>
      <c r="D554" s="2"/>
      <c r="E554" s="2"/>
      <c r="F554" s="2"/>
      <c r="G554" s="2"/>
      <c r="H554" s="2"/>
      <c r="I554" s="2"/>
      <c r="J554" s="2"/>
      <c r="K554" s="2"/>
      <c r="L554" s="2"/>
      <c r="M554" s="2"/>
      <c r="N554" s="2"/>
      <c r="O554" s="2"/>
    </row>
    <row r="555" spans="1:15" s="3" customFormat="1">
      <c r="A555" s="4"/>
      <c r="C555" s="2"/>
      <c r="D555" s="2"/>
      <c r="E555" s="2"/>
      <c r="F555" s="2"/>
      <c r="G555" s="2"/>
      <c r="H555" s="2"/>
      <c r="I555" s="2"/>
      <c r="J555" s="2"/>
      <c r="K555" s="2"/>
      <c r="L555" s="2"/>
      <c r="M555" s="2"/>
      <c r="N555" s="2"/>
      <c r="O555" s="2"/>
    </row>
    <row r="556" spans="1:15" s="3" customFormat="1">
      <c r="A556" s="4"/>
      <c r="C556" s="2"/>
      <c r="D556" s="2"/>
      <c r="E556" s="2"/>
      <c r="F556" s="2"/>
      <c r="G556" s="2"/>
      <c r="H556" s="2"/>
      <c r="I556" s="2"/>
      <c r="J556" s="2"/>
      <c r="K556" s="2"/>
      <c r="L556" s="2"/>
      <c r="M556" s="2"/>
      <c r="N556" s="2"/>
      <c r="O556" s="2"/>
    </row>
    <row r="557" spans="1:15" s="3" customFormat="1">
      <c r="A557" s="4"/>
      <c r="C557" s="2"/>
      <c r="D557" s="2"/>
      <c r="E557" s="2"/>
      <c r="F557" s="2"/>
      <c r="G557" s="2"/>
      <c r="H557" s="2"/>
      <c r="I557" s="2"/>
      <c r="J557" s="2"/>
      <c r="K557" s="2"/>
      <c r="L557" s="2"/>
      <c r="M557" s="2"/>
      <c r="N557" s="2"/>
      <c r="O557" s="2"/>
    </row>
    <row r="558" spans="1:15" s="3" customFormat="1">
      <c r="A558" s="4"/>
      <c r="C558" s="2"/>
      <c r="D558" s="2"/>
      <c r="E558" s="2"/>
      <c r="F558" s="2"/>
      <c r="G558" s="2"/>
      <c r="H558" s="2"/>
      <c r="I558" s="2"/>
      <c r="J558" s="2"/>
      <c r="K558" s="2"/>
      <c r="L558" s="2"/>
      <c r="M558" s="2"/>
      <c r="N558" s="2"/>
      <c r="O558" s="2"/>
    </row>
    <row r="559" spans="1:15" s="3" customFormat="1">
      <c r="A559" s="4"/>
      <c r="C559" s="2"/>
      <c r="D559" s="2"/>
      <c r="E559" s="2"/>
      <c r="F559" s="2"/>
      <c r="G559" s="2"/>
      <c r="H559" s="2"/>
      <c r="I559" s="2"/>
      <c r="J559" s="2"/>
      <c r="K559" s="2"/>
      <c r="L559" s="2"/>
      <c r="M559" s="2"/>
      <c r="N559" s="2"/>
      <c r="O559" s="2"/>
    </row>
    <row r="560" spans="1:15" s="3" customFormat="1">
      <c r="A560" s="4"/>
      <c r="C560" s="2"/>
      <c r="D560" s="2"/>
      <c r="E560" s="2"/>
      <c r="F560" s="2"/>
      <c r="G560" s="2"/>
      <c r="H560" s="2"/>
      <c r="I560" s="2"/>
      <c r="J560" s="2"/>
      <c r="K560" s="2"/>
      <c r="L560" s="2"/>
      <c r="M560" s="2"/>
      <c r="N560" s="2"/>
      <c r="O560" s="2"/>
    </row>
    <row r="561" spans="1:15" s="3" customFormat="1">
      <c r="A561" s="4"/>
      <c r="C561" s="2"/>
      <c r="D561" s="2"/>
      <c r="E561" s="2"/>
      <c r="F561" s="2"/>
      <c r="G561" s="2"/>
      <c r="H561" s="2"/>
      <c r="I561" s="2"/>
      <c r="J561" s="2"/>
      <c r="K561" s="2"/>
      <c r="L561" s="2"/>
      <c r="M561" s="2"/>
      <c r="N561" s="2"/>
      <c r="O561" s="2"/>
    </row>
    <row r="562" spans="1:15" s="3" customFormat="1">
      <c r="A562" s="4"/>
      <c r="C562" s="2"/>
      <c r="D562" s="2"/>
      <c r="E562" s="2"/>
      <c r="F562" s="2"/>
      <c r="G562" s="2"/>
      <c r="H562" s="2"/>
      <c r="I562" s="2"/>
      <c r="J562" s="2"/>
      <c r="K562" s="2"/>
      <c r="L562" s="2"/>
      <c r="M562" s="2"/>
      <c r="N562" s="2"/>
      <c r="O562" s="2"/>
    </row>
    <row r="563" spans="1:15" s="3" customFormat="1">
      <c r="A563" s="4"/>
      <c r="C563" s="2"/>
      <c r="D563" s="2"/>
      <c r="E563" s="2"/>
      <c r="F563" s="2"/>
      <c r="G563" s="2"/>
      <c r="H563" s="2"/>
      <c r="I563" s="2"/>
      <c r="J563" s="2"/>
      <c r="K563" s="2"/>
      <c r="L563" s="2"/>
      <c r="M563" s="2"/>
      <c r="N563" s="2"/>
      <c r="O563" s="2"/>
    </row>
    <row r="564" spans="1:15" s="3" customFormat="1">
      <c r="A564" s="4"/>
      <c r="C564" s="2"/>
      <c r="D564" s="2"/>
      <c r="E564" s="2"/>
      <c r="F564" s="2"/>
      <c r="G564" s="2"/>
      <c r="H564" s="2"/>
      <c r="I564" s="2"/>
      <c r="J564" s="2"/>
      <c r="K564" s="2"/>
      <c r="L564" s="2"/>
      <c r="M564" s="2"/>
      <c r="N564" s="2"/>
      <c r="O564" s="2"/>
    </row>
    <row r="565" spans="1:15" s="3" customFormat="1">
      <c r="A565" s="4"/>
      <c r="C565" s="2"/>
      <c r="D565" s="2"/>
      <c r="E565" s="2"/>
      <c r="F565" s="2"/>
      <c r="G565" s="2"/>
      <c r="H565" s="2"/>
      <c r="I565" s="2"/>
      <c r="J565" s="2"/>
      <c r="K565" s="2"/>
      <c r="L565" s="2"/>
      <c r="M565" s="2"/>
      <c r="N565" s="2"/>
      <c r="O565" s="2"/>
    </row>
    <row r="566" spans="1:15" s="3" customFormat="1">
      <c r="A566" s="4"/>
      <c r="C566" s="2"/>
      <c r="D566" s="2"/>
      <c r="E566" s="2"/>
      <c r="F566" s="2"/>
      <c r="G566" s="2"/>
      <c r="H566" s="2"/>
      <c r="I566" s="2"/>
      <c r="J566" s="2"/>
      <c r="K566" s="2"/>
      <c r="L566" s="2"/>
      <c r="M566" s="2"/>
      <c r="N566" s="2"/>
      <c r="O566" s="2"/>
    </row>
    <row r="567" spans="1:15" s="3" customFormat="1">
      <c r="A567" s="4"/>
      <c r="C567" s="2"/>
      <c r="D567" s="2"/>
      <c r="E567" s="2"/>
      <c r="F567" s="2"/>
      <c r="G567" s="2"/>
      <c r="H567" s="2"/>
      <c r="I567" s="2"/>
      <c r="J567" s="2"/>
      <c r="K567" s="2"/>
      <c r="L567" s="2"/>
      <c r="M567" s="2"/>
      <c r="N567" s="2"/>
      <c r="O567" s="2"/>
    </row>
    <row r="568" spans="1:15" s="3" customFormat="1">
      <c r="A568" s="4"/>
      <c r="C568" s="2"/>
      <c r="D568" s="2"/>
      <c r="E568" s="2"/>
      <c r="F568" s="2"/>
      <c r="G568" s="2"/>
      <c r="H568" s="2"/>
      <c r="I568" s="2"/>
      <c r="J568" s="2"/>
      <c r="K568" s="2"/>
      <c r="L568" s="2"/>
      <c r="M568" s="2"/>
      <c r="N568" s="2"/>
      <c r="O568" s="2"/>
    </row>
    <row r="569" spans="1:15" s="3" customFormat="1">
      <c r="A569" s="4"/>
      <c r="C569" s="2"/>
      <c r="D569" s="2"/>
      <c r="E569" s="2"/>
      <c r="F569" s="2"/>
      <c r="G569" s="2"/>
      <c r="H569" s="2"/>
      <c r="I569" s="2"/>
      <c r="J569" s="2"/>
      <c r="K569" s="2"/>
      <c r="L569" s="2"/>
      <c r="M569" s="2"/>
      <c r="N569" s="2"/>
      <c r="O569" s="2"/>
    </row>
    <row r="570" spans="1:15" s="3" customFormat="1">
      <c r="A570" s="4"/>
      <c r="C570" s="2"/>
      <c r="D570" s="2"/>
      <c r="E570" s="2"/>
      <c r="F570" s="2"/>
      <c r="G570" s="2"/>
      <c r="H570" s="2"/>
      <c r="I570" s="2"/>
      <c r="J570" s="2"/>
      <c r="K570" s="2"/>
      <c r="L570" s="2"/>
      <c r="M570" s="2"/>
      <c r="N570" s="2"/>
      <c r="O570" s="2"/>
    </row>
    <row r="571" spans="1:15" s="3" customFormat="1">
      <c r="A571" s="4"/>
      <c r="C571" s="2"/>
      <c r="D571" s="2"/>
      <c r="E571" s="2"/>
      <c r="F571" s="2"/>
      <c r="G571" s="2"/>
      <c r="H571" s="2"/>
      <c r="I571" s="2"/>
      <c r="J571" s="2"/>
      <c r="K571" s="2"/>
      <c r="L571" s="2"/>
      <c r="M571" s="2"/>
      <c r="N571" s="2"/>
      <c r="O571" s="2"/>
    </row>
    <row r="572" spans="1:15" s="3" customFormat="1">
      <c r="A572" s="4"/>
      <c r="C572" s="2"/>
      <c r="D572" s="2"/>
      <c r="E572" s="2"/>
      <c r="F572" s="2"/>
      <c r="G572" s="2"/>
      <c r="H572" s="2"/>
      <c r="I572" s="2"/>
      <c r="J572" s="2"/>
      <c r="K572" s="2"/>
      <c r="L572" s="2"/>
      <c r="M572" s="2"/>
      <c r="N572" s="2"/>
      <c r="O572" s="2"/>
    </row>
    <row r="573" spans="1:15" s="3" customFormat="1">
      <c r="A573" s="4"/>
      <c r="C573" s="2"/>
      <c r="D573" s="2"/>
      <c r="E573" s="2"/>
      <c r="F573" s="2"/>
      <c r="G573" s="2"/>
      <c r="H573" s="2"/>
      <c r="I573" s="2"/>
      <c r="J573" s="2"/>
      <c r="K573" s="2"/>
      <c r="L573" s="2"/>
      <c r="M573" s="2"/>
      <c r="N573" s="2"/>
      <c r="O573" s="2"/>
    </row>
    <row r="574" spans="1:15" s="3" customFormat="1">
      <c r="A574" s="4"/>
      <c r="C574" s="2"/>
      <c r="D574" s="2"/>
      <c r="E574" s="2"/>
      <c r="F574" s="2"/>
      <c r="G574" s="2"/>
      <c r="H574" s="2"/>
      <c r="I574" s="2"/>
      <c r="J574" s="2"/>
      <c r="K574" s="2"/>
      <c r="L574" s="2"/>
      <c r="M574" s="2"/>
      <c r="N574" s="2"/>
      <c r="O574" s="2"/>
    </row>
    <row r="575" spans="1:15" s="3" customFormat="1">
      <c r="A575" s="4"/>
      <c r="C575" s="2"/>
      <c r="D575" s="2"/>
      <c r="E575" s="2"/>
      <c r="F575" s="2"/>
      <c r="G575" s="2"/>
      <c r="H575" s="2"/>
      <c r="I575" s="2"/>
      <c r="J575" s="2"/>
      <c r="K575" s="2"/>
      <c r="L575" s="2"/>
      <c r="M575" s="2"/>
      <c r="N575" s="2"/>
      <c r="O575" s="2"/>
    </row>
    <row r="576" spans="1:15" s="3" customFormat="1">
      <c r="A576" s="4"/>
      <c r="C576" s="2"/>
      <c r="D576" s="2"/>
      <c r="E576" s="2"/>
      <c r="F576" s="2"/>
      <c r="G576" s="2"/>
      <c r="H576" s="2"/>
      <c r="I576" s="2"/>
      <c r="J576" s="2"/>
      <c r="K576" s="2"/>
      <c r="L576" s="2"/>
      <c r="M576" s="2"/>
      <c r="N576" s="2"/>
      <c r="O576" s="2"/>
    </row>
    <row r="577" spans="1:15" s="3" customFormat="1">
      <c r="A577" s="4"/>
      <c r="C577" s="2"/>
      <c r="D577" s="2"/>
      <c r="E577" s="2"/>
      <c r="F577" s="2"/>
      <c r="G577" s="2"/>
      <c r="H577" s="2"/>
      <c r="I577" s="2"/>
      <c r="J577" s="2"/>
      <c r="K577" s="2"/>
      <c r="L577" s="2"/>
      <c r="M577" s="2"/>
      <c r="N577" s="2"/>
      <c r="O577" s="2"/>
    </row>
    <row r="578" spans="1:15" s="3" customFormat="1">
      <c r="A578" s="4"/>
      <c r="C578" s="2"/>
      <c r="D578" s="2"/>
      <c r="E578" s="2"/>
      <c r="F578" s="2"/>
      <c r="G578" s="2"/>
      <c r="H578" s="2"/>
      <c r="I578" s="2"/>
      <c r="J578" s="2"/>
      <c r="K578" s="2"/>
      <c r="L578" s="2"/>
      <c r="M578" s="2"/>
      <c r="N578" s="2"/>
      <c r="O578" s="2"/>
    </row>
    <row r="579" spans="1:15" s="3" customFormat="1">
      <c r="A579" s="4"/>
      <c r="C579" s="2"/>
      <c r="D579" s="2"/>
      <c r="E579" s="2"/>
      <c r="F579" s="2"/>
      <c r="G579" s="2"/>
      <c r="H579" s="2"/>
      <c r="I579" s="2"/>
      <c r="J579" s="2"/>
      <c r="K579" s="2"/>
      <c r="L579" s="2"/>
      <c r="M579" s="2"/>
      <c r="N579" s="2"/>
      <c r="O579" s="2"/>
    </row>
    <row r="580" spans="1:15" s="3" customFormat="1">
      <c r="A580" s="4"/>
      <c r="C580" s="2"/>
      <c r="D580" s="2"/>
      <c r="E580" s="2"/>
      <c r="F580" s="2"/>
      <c r="G580" s="2"/>
      <c r="H580" s="2"/>
      <c r="I580" s="2"/>
      <c r="J580" s="2"/>
      <c r="K580" s="2"/>
      <c r="L580" s="2"/>
      <c r="M580" s="2"/>
      <c r="N580" s="2"/>
      <c r="O580" s="2"/>
    </row>
    <row r="581" spans="1:15" s="3" customFormat="1">
      <c r="A581" s="4"/>
      <c r="C581" s="2"/>
      <c r="D581" s="2"/>
      <c r="E581" s="2"/>
      <c r="F581" s="2"/>
      <c r="G581" s="2"/>
      <c r="H581" s="2"/>
      <c r="I581" s="2"/>
      <c r="J581" s="2"/>
      <c r="K581" s="2"/>
      <c r="L581" s="2"/>
      <c r="M581" s="2"/>
      <c r="N581" s="2"/>
      <c r="O581" s="2"/>
    </row>
    <row r="582" spans="1:15" s="3" customFormat="1">
      <c r="A582" s="4"/>
      <c r="C582" s="2"/>
      <c r="D582" s="2"/>
      <c r="E582" s="2"/>
      <c r="F582" s="2"/>
      <c r="G582" s="2"/>
      <c r="H582" s="2"/>
      <c r="I582" s="2"/>
      <c r="J582" s="2"/>
      <c r="K582" s="2"/>
      <c r="L582" s="2"/>
      <c r="M582" s="2"/>
      <c r="N582" s="2"/>
      <c r="O582" s="2"/>
    </row>
    <row r="583" spans="1:15" s="3" customFormat="1">
      <c r="A583" s="4"/>
      <c r="C583" s="2"/>
      <c r="D583" s="2"/>
      <c r="E583" s="2"/>
      <c r="F583" s="2"/>
      <c r="G583" s="2"/>
      <c r="H583" s="2"/>
      <c r="I583" s="2"/>
      <c r="J583" s="2"/>
      <c r="K583" s="2"/>
      <c r="L583" s="2"/>
      <c r="M583" s="2"/>
      <c r="N583" s="2"/>
      <c r="O583" s="2"/>
    </row>
    <row r="584" spans="1:15" s="3" customFormat="1">
      <c r="A584" s="4"/>
      <c r="C584" s="2"/>
      <c r="D584" s="2"/>
      <c r="E584" s="2"/>
      <c r="F584" s="2"/>
      <c r="G584" s="2"/>
      <c r="H584" s="2"/>
      <c r="I584" s="2"/>
      <c r="J584" s="2"/>
      <c r="K584" s="2"/>
      <c r="L584" s="2"/>
      <c r="M584" s="2"/>
      <c r="N584" s="2"/>
      <c r="O584" s="2"/>
    </row>
    <row r="585" spans="1:15" s="3" customFormat="1">
      <c r="A585" s="4"/>
      <c r="C585" s="2"/>
      <c r="D585" s="2"/>
      <c r="E585" s="2"/>
      <c r="F585" s="2"/>
      <c r="G585" s="2"/>
      <c r="H585" s="2"/>
      <c r="I585" s="2"/>
      <c r="J585" s="2"/>
      <c r="K585" s="2"/>
      <c r="L585" s="2"/>
      <c r="M585" s="2"/>
      <c r="N585" s="2"/>
      <c r="O585" s="2"/>
    </row>
    <row r="586" spans="1:15" s="3" customFormat="1">
      <c r="A586" s="4"/>
      <c r="C586" s="2"/>
      <c r="D586" s="2"/>
      <c r="E586" s="2"/>
      <c r="F586" s="2"/>
      <c r="G586" s="2"/>
      <c r="H586" s="2"/>
      <c r="I586" s="2"/>
      <c r="J586" s="2"/>
      <c r="K586" s="2"/>
      <c r="L586" s="2"/>
      <c r="M586" s="2"/>
      <c r="N586" s="2"/>
      <c r="O586" s="2"/>
    </row>
    <row r="587" spans="1:15" s="3" customFormat="1">
      <c r="A587" s="4"/>
      <c r="C587" s="2"/>
      <c r="D587" s="2"/>
      <c r="E587" s="2"/>
      <c r="F587" s="2"/>
      <c r="G587" s="2"/>
      <c r="H587" s="2"/>
      <c r="I587" s="2"/>
      <c r="J587" s="2"/>
      <c r="K587" s="2"/>
      <c r="L587" s="2"/>
      <c r="M587" s="2"/>
      <c r="N587" s="2"/>
      <c r="O587" s="2"/>
    </row>
    <row r="588" spans="1:15" s="3" customFormat="1">
      <c r="A588" s="4"/>
      <c r="C588" s="2"/>
      <c r="D588" s="2"/>
      <c r="E588" s="2"/>
      <c r="F588" s="2"/>
      <c r="G588" s="2"/>
      <c r="H588" s="2"/>
      <c r="I588" s="2"/>
      <c r="J588" s="2"/>
      <c r="K588" s="2"/>
      <c r="L588" s="2"/>
      <c r="M588" s="2"/>
      <c r="N588" s="2"/>
      <c r="O588" s="2"/>
    </row>
    <row r="589" spans="1:15" s="3" customFormat="1">
      <c r="A589" s="4"/>
      <c r="C589" s="2"/>
      <c r="D589" s="2"/>
      <c r="E589" s="2"/>
      <c r="F589" s="2"/>
      <c r="G589" s="2"/>
      <c r="H589" s="2"/>
      <c r="I589" s="2"/>
      <c r="J589" s="2"/>
      <c r="K589" s="2"/>
      <c r="L589" s="2"/>
      <c r="M589" s="2"/>
      <c r="N589" s="2"/>
      <c r="O589" s="2"/>
    </row>
    <row r="590" spans="1:15" s="3" customFormat="1">
      <c r="A590" s="4"/>
      <c r="C590" s="2"/>
      <c r="D590" s="2"/>
      <c r="E590" s="2"/>
      <c r="F590" s="2"/>
      <c r="G590" s="2"/>
      <c r="H590" s="2"/>
      <c r="I590" s="2"/>
      <c r="J590" s="2"/>
      <c r="K590" s="2"/>
      <c r="L590" s="2"/>
      <c r="M590" s="2"/>
      <c r="N590" s="2"/>
      <c r="O590" s="2"/>
    </row>
    <row r="591" spans="1:15" s="3" customFormat="1">
      <c r="A591" s="4"/>
      <c r="C591" s="2"/>
      <c r="D591" s="2"/>
      <c r="E591" s="2"/>
      <c r="F591" s="2"/>
      <c r="G591" s="2"/>
      <c r="H591" s="2"/>
      <c r="I591" s="2"/>
      <c r="J591" s="2"/>
      <c r="K591" s="2"/>
      <c r="L591" s="2"/>
      <c r="M591" s="2"/>
      <c r="N591" s="2"/>
      <c r="O591" s="2"/>
    </row>
    <row r="592" spans="1:15" s="3" customFormat="1">
      <c r="A592" s="4"/>
      <c r="C592" s="2"/>
      <c r="D592" s="2"/>
      <c r="E592" s="2"/>
      <c r="F592" s="2"/>
      <c r="G592" s="2"/>
      <c r="H592" s="2"/>
      <c r="I592" s="2"/>
      <c r="J592" s="2"/>
      <c r="K592" s="2"/>
      <c r="L592" s="2"/>
      <c r="M592" s="2"/>
      <c r="N592" s="2"/>
      <c r="O592" s="2"/>
    </row>
    <row r="593" spans="1:15" s="3" customFormat="1">
      <c r="A593" s="4"/>
      <c r="C593" s="2"/>
      <c r="D593" s="2"/>
      <c r="E593" s="2"/>
      <c r="F593" s="2"/>
      <c r="G593" s="2"/>
      <c r="H593" s="2"/>
      <c r="I593" s="2"/>
      <c r="J593" s="2"/>
      <c r="K593" s="2"/>
      <c r="L593" s="2"/>
      <c r="M593" s="2"/>
      <c r="N593" s="2"/>
      <c r="O593" s="2"/>
    </row>
    <row r="594" spans="1:15" s="3" customFormat="1">
      <c r="A594" s="4"/>
      <c r="C594" s="2"/>
      <c r="D594" s="2"/>
      <c r="E594" s="2"/>
      <c r="F594" s="2"/>
      <c r="G594" s="2"/>
      <c r="H594" s="2"/>
      <c r="I594" s="2"/>
      <c r="J594" s="2"/>
      <c r="K594" s="2"/>
      <c r="L594" s="2"/>
      <c r="M594" s="2"/>
      <c r="N594" s="2"/>
      <c r="O594" s="2"/>
    </row>
    <row r="595" spans="1:15" s="3" customFormat="1">
      <c r="A595" s="4"/>
      <c r="C595" s="2"/>
      <c r="D595" s="2"/>
      <c r="E595" s="2"/>
      <c r="F595" s="2"/>
      <c r="G595" s="2"/>
      <c r="H595" s="2"/>
      <c r="I595" s="2"/>
      <c r="J595" s="2"/>
      <c r="K595" s="2"/>
      <c r="L595" s="2"/>
      <c r="M595" s="2"/>
      <c r="N595" s="2"/>
      <c r="O595" s="2"/>
    </row>
    <row r="596" spans="1:15" s="3" customFormat="1">
      <c r="A596" s="4"/>
      <c r="C596" s="2"/>
      <c r="D596" s="2"/>
      <c r="E596" s="2"/>
      <c r="F596" s="2"/>
      <c r="G596" s="2"/>
      <c r="H596" s="2"/>
      <c r="I596" s="2"/>
      <c r="J596" s="2"/>
      <c r="K596" s="2"/>
      <c r="L596" s="2"/>
      <c r="M596" s="2"/>
      <c r="N596" s="2"/>
      <c r="O596" s="2"/>
    </row>
    <row r="597" spans="1:15" s="3" customFormat="1">
      <c r="A597" s="4"/>
      <c r="C597" s="2"/>
      <c r="D597" s="2"/>
      <c r="E597" s="2"/>
      <c r="F597" s="2"/>
      <c r="G597" s="2"/>
      <c r="H597" s="2"/>
      <c r="I597" s="2"/>
      <c r="J597" s="2"/>
      <c r="K597" s="2"/>
      <c r="L597" s="2"/>
      <c r="M597" s="2"/>
      <c r="N597" s="2"/>
      <c r="O597" s="2"/>
    </row>
    <row r="598" spans="1:15" s="3" customFormat="1">
      <c r="A598" s="4"/>
      <c r="C598" s="2"/>
      <c r="D598" s="2"/>
      <c r="E598" s="2"/>
      <c r="F598" s="2"/>
      <c r="G598" s="2"/>
      <c r="H598" s="2"/>
      <c r="I598" s="2"/>
      <c r="J598" s="2"/>
      <c r="K598" s="2"/>
      <c r="L598" s="2"/>
      <c r="M598" s="2"/>
      <c r="N598" s="2"/>
      <c r="O598" s="2"/>
    </row>
    <row r="599" spans="1:15" s="3" customFormat="1">
      <c r="A599" s="4"/>
      <c r="C599" s="2"/>
      <c r="D599" s="2"/>
      <c r="E599" s="2"/>
      <c r="F599" s="2"/>
      <c r="G599" s="2"/>
      <c r="H599" s="2"/>
      <c r="I599" s="2"/>
      <c r="J599" s="2"/>
      <c r="K599" s="2"/>
      <c r="L599" s="2"/>
      <c r="M599" s="2"/>
      <c r="N599" s="2"/>
      <c r="O599" s="2"/>
    </row>
    <row r="600" spans="1:15" s="3" customFormat="1">
      <c r="A600" s="4"/>
      <c r="C600" s="2"/>
      <c r="D600" s="2"/>
      <c r="E600" s="2"/>
      <c r="F600" s="2"/>
      <c r="G600" s="2"/>
      <c r="H600" s="2"/>
      <c r="I600" s="2"/>
      <c r="J600" s="2"/>
      <c r="K600" s="2"/>
      <c r="L600" s="2"/>
      <c r="M600" s="2"/>
      <c r="N600" s="2"/>
      <c r="O600" s="2"/>
    </row>
    <row r="601" spans="1:15" s="3" customFormat="1">
      <c r="A601" s="4"/>
      <c r="C601" s="2"/>
      <c r="D601" s="2"/>
      <c r="E601" s="2"/>
      <c r="F601" s="2"/>
      <c r="G601" s="2"/>
      <c r="H601" s="2"/>
      <c r="I601" s="2"/>
      <c r="J601" s="2"/>
      <c r="K601" s="2"/>
      <c r="L601" s="2"/>
      <c r="M601" s="2"/>
      <c r="N601" s="2"/>
      <c r="O601" s="2"/>
    </row>
    <row r="602" spans="1:15" s="3" customFormat="1">
      <c r="A602" s="4"/>
      <c r="C602" s="2"/>
      <c r="D602" s="2"/>
      <c r="E602" s="2"/>
      <c r="F602" s="2"/>
      <c r="G602" s="2"/>
      <c r="H602" s="2"/>
      <c r="I602" s="2"/>
      <c r="J602" s="2"/>
      <c r="K602" s="2"/>
      <c r="L602" s="2"/>
      <c r="M602" s="2"/>
      <c r="N602" s="2"/>
      <c r="O602" s="2"/>
    </row>
    <row r="603" spans="1:15" s="3" customFormat="1">
      <c r="A603" s="4"/>
      <c r="C603" s="2"/>
      <c r="D603" s="2"/>
      <c r="E603" s="2"/>
      <c r="F603" s="2"/>
      <c r="G603" s="2"/>
      <c r="H603" s="2"/>
      <c r="I603" s="2"/>
      <c r="J603" s="2"/>
      <c r="K603" s="2"/>
      <c r="L603" s="2"/>
      <c r="M603" s="2"/>
      <c r="N603" s="2"/>
      <c r="O603" s="2"/>
    </row>
    <row r="604" spans="1:15" s="3" customFormat="1">
      <c r="A604" s="4"/>
      <c r="C604" s="2"/>
      <c r="D604" s="2"/>
      <c r="E604" s="2"/>
      <c r="F604" s="2"/>
      <c r="G604" s="2"/>
      <c r="H604" s="2"/>
      <c r="I604" s="2"/>
      <c r="J604" s="2"/>
      <c r="K604" s="2"/>
      <c r="L604" s="2"/>
      <c r="M604" s="2"/>
      <c r="N604" s="2"/>
      <c r="O604" s="2"/>
    </row>
    <row r="605" spans="1:15" s="3" customFormat="1">
      <c r="A605" s="4"/>
      <c r="C605" s="2"/>
      <c r="D605" s="2"/>
      <c r="E605" s="2"/>
      <c r="F605" s="2"/>
      <c r="G605" s="2"/>
      <c r="H605" s="2"/>
      <c r="I605" s="2"/>
      <c r="J605" s="2"/>
      <c r="K605" s="2"/>
      <c r="L605" s="2"/>
      <c r="M605" s="2"/>
      <c r="N605" s="2"/>
      <c r="O605" s="2"/>
    </row>
    <row r="606" spans="1:15" s="3" customFormat="1">
      <c r="A606" s="4"/>
      <c r="C606" s="2"/>
      <c r="D606" s="2"/>
      <c r="E606" s="2"/>
      <c r="F606" s="2"/>
      <c r="G606" s="2"/>
      <c r="H606" s="2"/>
      <c r="I606" s="2"/>
      <c r="J606" s="2"/>
      <c r="K606" s="2"/>
      <c r="L606" s="2"/>
      <c r="M606" s="2"/>
      <c r="N606" s="2"/>
      <c r="O606" s="2"/>
    </row>
    <row r="607" spans="1:15" s="3" customFormat="1">
      <c r="A607" s="4"/>
      <c r="C607" s="2"/>
      <c r="D607" s="2"/>
      <c r="E607" s="2"/>
      <c r="F607" s="2"/>
      <c r="G607" s="2"/>
      <c r="H607" s="2"/>
      <c r="I607" s="2"/>
      <c r="J607" s="2"/>
      <c r="K607" s="2"/>
      <c r="L607" s="2"/>
      <c r="M607" s="2"/>
      <c r="N607" s="2"/>
      <c r="O607" s="2"/>
    </row>
    <row r="608" spans="1:15" s="3" customFormat="1">
      <c r="A608" s="4"/>
      <c r="C608" s="2"/>
      <c r="D608" s="2"/>
      <c r="E608" s="2"/>
      <c r="F608" s="2"/>
      <c r="G608" s="2"/>
      <c r="H608" s="2"/>
      <c r="I608" s="2"/>
      <c r="J608" s="2"/>
      <c r="K608" s="2"/>
      <c r="L608" s="2"/>
      <c r="M608" s="2"/>
      <c r="N608" s="2"/>
      <c r="O608" s="2"/>
    </row>
    <row r="609" spans="1:15" s="3" customFormat="1">
      <c r="A609" s="4"/>
      <c r="C609" s="2"/>
      <c r="D609" s="2"/>
      <c r="E609" s="2"/>
      <c r="F609" s="2"/>
      <c r="G609" s="2"/>
      <c r="H609" s="2"/>
      <c r="I609" s="2"/>
      <c r="J609" s="2"/>
      <c r="K609" s="2"/>
      <c r="L609" s="2"/>
      <c r="M609" s="2"/>
      <c r="N609" s="2"/>
      <c r="O609" s="2"/>
    </row>
    <row r="610" spans="1:15" s="3" customFormat="1">
      <c r="A610" s="4"/>
      <c r="C610" s="2"/>
      <c r="D610" s="2"/>
      <c r="E610" s="2"/>
      <c r="F610" s="2"/>
      <c r="G610" s="2"/>
      <c r="H610" s="2"/>
      <c r="I610" s="2"/>
      <c r="J610" s="2"/>
      <c r="K610" s="2"/>
      <c r="L610" s="2"/>
      <c r="M610" s="2"/>
      <c r="N610" s="2"/>
      <c r="O610" s="2"/>
    </row>
    <row r="611" spans="1:15" s="3" customFormat="1">
      <c r="A611" s="4"/>
      <c r="C611" s="2"/>
      <c r="D611" s="2"/>
      <c r="E611" s="2"/>
      <c r="F611" s="2"/>
      <c r="G611" s="2"/>
      <c r="H611" s="2"/>
      <c r="I611" s="2"/>
      <c r="J611" s="2"/>
      <c r="K611" s="2"/>
      <c r="L611" s="2"/>
      <c r="M611" s="2"/>
      <c r="N611" s="2"/>
      <c r="O611" s="2"/>
    </row>
    <row r="612" spans="1:15" s="3" customFormat="1">
      <c r="A612" s="4"/>
      <c r="C612" s="2"/>
      <c r="D612" s="2"/>
      <c r="E612" s="2"/>
      <c r="F612" s="2"/>
      <c r="G612" s="2"/>
      <c r="H612" s="2"/>
      <c r="I612" s="2"/>
      <c r="J612" s="2"/>
      <c r="K612" s="2"/>
      <c r="L612" s="2"/>
      <c r="M612" s="2"/>
      <c r="N612" s="2"/>
      <c r="O612" s="2"/>
    </row>
    <row r="613" spans="1:15" s="3" customFormat="1">
      <c r="A613" s="4"/>
      <c r="C613" s="2"/>
      <c r="D613" s="2"/>
      <c r="E613" s="2"/>
      <c r="F613" s="2"/>
      <c r="G613" s="2"/>
      <c r="H613" s="2"/>
      <c r="I613" s="2"/>
      <c r="J613" s="2"/>
      <c r="K613" s="2"/>
      <c r="L613" s="2"/>
      <c r="M613" s="2"/>
      <c r="N613" s="2"/>
      <c r="O613" s="2"/>
    </row>
    <row r="614" spans="1:15" s="3" customFormat="1">
      <c r="A614" s="4"/>
      <c r="C614" s="2"/>
      <c r="D614" s="2"/>
      <c r="E614" s="2"/>
      <c r="F614" s="2"/>
      <c r="G614" s="2"/>
      <c r="H614" s="2"/>
      <c r="I614" s="2"/>
      <c r="J614" s="2"/>
      <c r="K614" s="2"/>
      <c r="L614" s="2"/>
      <c r="M614" s="2"/>
      <c r="N614" s="2"/>
      <c r="O614" s="2"/>
    </row>
    <row r="615" spans="1:15" s="3" customFormat="1">
      <c r="A615" s="4"/>
      <c r="C615" s="2"/>
      <c r="D615" s="2"/>
      <c r="E615" s="2"/>
      <c r="F615" s="2"/>
      <c r="G615" s="2"/>
      <c r="H615" s="2"/>
      <c r="I615" s="2"/>
      <c r="J615" s="2"/>
      <c r="K615" s="2"/>
      <c r="L615" s="2"/>
      <c r="M615" s="2"/>
      <c r="N615" s="2"/>
      <c r="O615" s="2"/>
    </row>
    <row r="616" spans="1:15" s="3" customFormat="1">
      <c r="A616" s="4"/>
      <c r="C616" s="2"/>
      <c r="D616" s="2"/>
      <c r="E616" s="2"/>
      <c r="F616" s="2"/>
      <c r="G616" s="2"/>
      <c r="H616" s="2"/>
      <c r="I616" s="2"/>
      <c r="J616" s="2"/>
      <c r="K616" s="2"/>
      <c r="L616" s="2"/>
      <c r="M616" s="2"/>
      <c r="N616" s="2"/>
      <c r="O616" s="2"/>
    </row>
    <row r="617" spans="1:15" s="3" customFormat="1">
      <c r="A617" s="4"/>
      <c r="C617" s="2"/>
      <c r="D617" s="2"/>
      <c r="E617" s="2"/>
      <c r="F617" s="2"/>
      <c r="G617" s="2"/>
      <c r="H617" s="2"/>
      <c r="I617" s="2"/>
      <c r="J617" s="2"/>
      <c r="K617" s="2"/>
      <c r="L617" s="2"/>
      <c r="M617" s="2"/>
      <c r="N617" s="2"/>
      <c r="O617" s="2"/>
    </row>
    <row r="618" spans="1:15" s="3" customFormat="1">
      <c r="A618" s="4"/>
      <c r="C618" s="2"/>
      <c r="D618" s="2"/>
      <c r="E618" s="2"/>
      <c r="F618" s="2"/>
      <c r="G618" s="2"/>
      <c r="H618" s="2"/>
      <c r="I618" s="2"/>
      <c r="J618" s="2"/>
      <c r="K618" s="2"/>
      <c r="L618" s="2"/>
      <c r="M618" s="2"/>
      <c r="N618" s="2"/>
      <c r="O618" s="2"/>
    </row>
    <row r="619" spans="1:15" s="3" customFormat="1">
      <c r="A619" s="4"/>
      <c r="C619" s="2"/>
      <c r="D619" s="2"/>
      <c r="E619" s="2"/>
      <c r="F619" s="2"/>
      <c r="G619" s="2"/>
      <c r="H619" s="2"/>
      <c r="I619" s="2"/>
      <c r="J619" s="2"/>
      <c r="K619" s="2"/>
      <c r="L619" s="2"/>
      <c r="M619" s="2"/>
      <c r="N619" s="2"/>
      <c r="O619" s="2"/>
    </row>
    <row r="620" spans="1:15" s="3" customFormat="1">
      <c r="A620" s="4"/>
      <c r="C620" s="2"/>
      <c r="D620" s="2"/>
      <c r="E620" s="2"/>
      <c r="F620" s="2"/>
      <c r="G620" s="2"/>
      <c r="H620" s="2"/>
      <c r="I620" s="2"/>
      <c r="J620" s="2"/>
      <c r="K620" s="2"/>
      <c r="L620" s="2"/>
      <c r="M620" s="2"/>
      <c r="N620" s="2"/>
      <c r="O620" s="2"/>
    </row>
    <row r="621" spans="1:15" s="3" customFormat="1">
      <c r="A621" s="4"/>
      <c r="C621" s="2"/>
      <c r="D621" s="2"/>
      <c r="E621" s="2"/>
      <c r="F621" s="2"/>
      <c r="G621" s="2"/>
      <c r="H621" s="2"/>
      <c r="I621" s="2"/>
      <c r="J621" s="2"/>
      <c r="K621" s="2"/>
      <c r="L621" s="2"/>
      <c r="M621" s="2"/>
      <c r="N621" s="2"/>
      <c r="O621" s="2"/>
    </row>
    <row r="622" spans="1:15" s="3" customFormat="1">
      <c r="A622" s="4"/>
      <c r="C622" s="2"/>
      <c r="D622" s="2"/>
      <c r="E622" s="2"/>
      <c r="F622" s="2"/>
      <c r="G622" s="2"/>
      <c r="H622" s="2"/>
      <c r="I622" s="2"/>
      <c r="J622" s="2"/>
      <c r="K622" s="2"/>
      <c r="L622" s="2"/>
      <c r="M622" s="2"/>
      <c r="N622" s="2"/>
      <c r="O622" s="2"/>
    </row>
    <row r="623" spans="1:15" s="3" customFormat="1">
      <c r="A623" s="4"/>
      <c r="C623" s="2"/>
      <c r="D623" s="2"/>
      <c r="E623" s="2"/>
      <c r="F623" s="2"/>
      <c r="G623" s="2"/>
      <c r="H623" s="2"/>
      <c r="I623" s="2"/>
      <c r="J623" s="2"/>
      <c r="K623" s="2"/>
      <c r="L623" s="2"/>
      <c r="M623" s="2"/>
      <c r="N623" s="2"/>
      <c r="O623" s="2"/>
    </row>
    <row r="624" spans="1:15" s="3" customFormat="1">
      <c r="A624" s="4"/>
      <c r="C624" s="2"/>
      <c r="D624" s="2"/>
      <c r="E624" s="2"/>
      <c r="F624" s="2"/>
      <c r="G624" s="2"/>
      <c r="H624" s="2"/>
      <c r="I624" s="2"/>
      <c r="J624" s="2"/>
      <c r="K624" s="2"/>
      <c r="L624" s="2"/>
      <c r="M624" s="2"/>
      <c r="N624" s="2"/>
      <c r="O624" s="2"/>
    </row>
    <row r="625" spans="1:15" s="3" customFormat="1">
      <c r="A625" s="4"/>
      <c r="C625" s="2"/>
      <c r="D625" s="2"/>
      <c r="E625" s="2"/>
      <c r="F625" s="2"/>
      <c r="G625" s="2"/>
      <c r="H625" s="2"/>
      <c r="I625" s="2"/>
      <c r="J625" s="2"/>
      <c r="K625" s="2"/>
      <c r="L625" s="2"/>
      <c r="M625" s="2"/>
      <c r="N625" s="2"/>
      <c r="O625" s="2"/>
    </row>
    <row r="626" spans="1:15" s="3" customFormat="1">
      <c r="A626" s="4"/>
      <c r="C626" s="2"/>
      <c r="D626" s="2"/>
      <c r="E626" s="2"/>
      <c r="F626" s="2"/>
      <c r="G626" s="2"/>
      <c r="H626" s="2"/>
      <c r="I626" s="2"/>
      <c r="J626" s="2"/>
      <c r="K626" s="2"/>
      <c r="L626" s="2"/>
      <c r="M626" s="2"/>
      <c r="N626" s="2"/>
      <c r="O626" s="2"/>
    </row>
    <row r="627" spans="1:15" s="3" customFormat="1">
      <c r="A627" s="4"/>
      <c r="C627" s="2"/>
      <c r="D627" s="2"/>
      <c r="E627" s="2"/>
      <c r="F627" s="2"/>
      <c r="G627" s="2"/>
      <c r="H627" s="2"/>
      <c r="I627" s="2"/>
      <c r="J627" s="2"/>
      <c r="K627" s="2"/>
      <c r="L627" s="2"/>
      <c r="M627" s="2"/>
      <c r="N627" s="2"/>
      <c r="O627" s="2"/>
    </row>
    <row r="628" spans="1:15" s="3" customFormat="1">
      <c r="A628" s="4"/>
      <c r="C628" s="2"/>
      <c r="D628" s="2"/>
      <c r="E628" s="2"/>
      <c r="F628" s="2"/>
      <c r="G628" s="2"/>
      <c r="H628" s="2"/>
      <c r="I628" s="2"/>
      <c r="J628" s="2"/>
      <c r="K628" s="2"/>
      <c r="L628" s="2"/>
      <c r="M628" s="2"/>
      <c r="N628" s="2"/>
      <c r="O628" s="2"/>
    </row>
    <row r="629" spans="1:15" s="3" customFormat="1">
      <c r="A629" s="4"/>
      <c r="C629" s="2"/>
      <c r="D629" s="2"/>
      <c r="E629" s="2"/>
      <c r="F629" s="2"/>
      <c r="G629" s="2"/>
      <c r="H629" s="2"/>
      <c r="I629" s="2"/>
      <c r="J629" s="2"/>
      <c r="K629" s="2"/>
      <c r="L629" s="2"/>
      <c r="M629" s="2"/>
      <c r="N629" s="2"/>
      <c r="O629" s="2"/>
    </row>
    <row r="630" spans="1:15" s="3" customFormat="1">
      <c r="A630" s="4"/>
      <c r="C630" s="2"/>
      <c r="D630" s="2"/>
      <c r="E630" s="2"/>
      <c r="F630" s="2"/>
      <c r="G630" s="2"/>
      <c r="H630" s="2"/>
      <c r="I630" s="2"/>
      <c r="J630" s="2"/>
      <c r="K630" s="2"/>
      <c r="L630" s="2"/>
      <c r="M630" s="2"/>
      <c r="N630" s="2"/>
      <c r="O630" s="2"/>
    </row>
    <row r="631" spans="1:15" s="3" customFormat="1">
      <c r="A631" s="4"/>
      <c r="C631" s="2"/>
      <c r="D631" s="2"/>
      <c r="E631" s="2"/>
      <c r="F631" s="2"/>
      <c r="G631" s="2"/>
      <c r="H631" s="2"/>
      <c r="I631" s="2"/>
      <c r="J631" s="2"/>
      <c r="K631" s="2"/>
      <c r="L631" s="2"/>
      <c r="M631" s="2"/>
      <c r="N631" s="2"/>
      <c r="O631" s="2"/>
    </row>
    <row r="632" spans="1:15" s="3" customFormat="1">
      <c r="A632" s="4"/>
      <c r="C632" s="2"/>
      <c r="D632" s="2"/>
      <c r="E632" s="2"/>
      <c r="F632" s="2"/>
      <c r="G632" s="2"/>
      <c r="H632" s="2"/>
      <c r="I632" s="2"/>
      <c r="J632" s="2"/>
      <c r="K632" s="2"/>
      <c r="L632" s="2"/>
      <c r="M632" s="2"/>
      <c r="N632" s="2"/>
      <c r="O632" s="2"/>
    </row>
    <row r="633" spans="1:15" s="3" customFormat="1">
      <c r="A633" s="4"/>
      <c r="C633" s="2"/>
      <c r="D633" s="2"/>
      <c r="E633" s="2"/>
      <c r="F633" s="2"/>
      <c r="G633" s="2"/>
      <c r="H633" s="2"/>
      <c r="I633" s="2"/>
      <c r="J633" s="2"/>
      <c r="K633" s="2"/>
      <c r="L633" s="2"/>
      <c r="M633" s="2"/>
      <c r="N633" s="2"/>
      <c r="O633" s="2"/>
    </row>
    <row r="634" spans="1:15" s="3" customFormat="1">
      <c r="A634" s="4"/>
      <c r="C634" s="2"/>
      <c r="D634" s="2"/>
      <c r="E634" s="2"/>
      <c r="F634" s="2"/>
      <c r="G634" s="2"/>
      <c r="H634" s="2"/>
      <c r="I634" s="2"/>
      <c r="J634" s="2"/>
      <c r="K634" s="2"/>
      <c r="L634" s="2"/>
      <c r="M634" s="2"/>
      <c r="N634" s="2"/>
      <c r="O634" s="2"/>
    </row>
    <row r="635" spans="1:15" s="3" customFormat="1">
      <c r="A635" s="4"/>
      <c r="C635" s="2"/>
      <c r="D635" s="2"/>
      <c r="E635" s="2"/>
      <c r="F635" s="2"/>
      <c r="G635" s="2"/>
      <c r="H635" s="2"/>
      <c r="I635" s="2"/>
      <c r="J635" s="2"/>
      <c r="K635" s="2"/>
      <c r="L635" s="2"/>
      <c r="M635" s="2"/>
      <c r="N635" s="2"/>
      <c r="O635" s="2"/>
    </row>
    <row r="636" spans="1:15" s="3" customFormat="1">
      <c r="A636" s="4"/>
      <c r="C636" s="2"/>
      <c r="D636" s="2"/>
      <c r="E636" s="2"/>
      <c r="F636" s="2"/>
      <c r="G636" s="2"/>
      <c r="H636" s="2"/>
      <c r="I636" s="2"/>
      <c r="J636" s="2"/>
      <c r="K636" s="2"/>
      <c r="L636" s="2"/>
      <c r="M636" s="2"/>
      <c r="N636" s="2"/>
      <c r="O636" s="2"/>
    </row>
    <row r="637" spans="1:15" s="3" customFormat="1">
      <c r="A637" s="4"/>
      <c r="C637" s="2"/>
      <c r="D637" s="2"/>
      <c r="E637" s="2"/>
      <c r="F637" s="2"/>
      <c r="G637" s="2"/>
      <c r="H637" s="2"/>
      <c r="I637" s="2"/>
      <c r="J637" s="2"/>
      <c r="K637" s="2"/>
      <c r="L637" s="2"/>
      <c r="M637" s="2"/>
      <c r="N637" s="2"/>
      <c r="O637" s="2"/>
    </row>
    <row r="638" spans="1:15" s="3" customFormat="1">
      <c r="A638" s="4"/>
      <c r="C638" s="2"/>
      <c r="D638" s="2"/>
      <c r="E638" s="2"/>
      <c r="F638" s="2"/>
      <c r="G638" s="2"/>
      <c r="H638" s="2"/>
      <c r="I638" s="2"/>
      <c r="J638" s="2"/>
      <c r="K638" s="2"/>
      <c r="L638" s="2"/>
      <c r="M638" s="2"/>
      <c r="N638" s="2"/>
      <c r="O638" s="2"/>
    </row>
    <row r="639" spans="1:15" s="3" customFormat="1">
      <c r="A639" s="4"/>
      <c r="C639" s="2"/>
      <c r="D639" s="2"/>
      <c r="E639" s="2"/>
      <c r="F639" s="2"/>
      <c r="G639" s="2"/>
      <c r="H639" s="2"/>
      <c r="I639" s="2"/>
      <c r="J639" s="2"/>
      <c r="K639" s="2"/>
      <c r="L639" s="2"/>
      <c r="M639" s="2"/>
      <c r="N639" s="2"/>
      <c r="O639" s="2"/>
    </row>
    <row r="640" spans="1:15" s="3" customFormat="1">
      <c r="A640" s="4"/>
      <c r="C640" s="2"/>
      <c r="D640" s="2"/>
      <c r="E640" s="2"/>
      <c r="F640" s="2"/>
      <c r="G640" s="2"/>
      <c r="H640" s="2"/>
      <c r="I640" s="2"/>
      <c r="J640" s="2"/>
      <c r="K640" s="2"/>
      <c r="L640" s="2"/>
      <c r="M640" s="2"/>
      <c r="N640" s="2"/>
      <c r="O640" s="2"/>
    </row>
    <row r="641" spans="1:15" s="3" customFormat="1">
      <c r="A641" s="4"/>
      <c r="C641" s="2"/>
      <c r="D641" s="2"/>
      <c r="E641" s="2"/>
      <c r="F641" s="2"/>
      <c r="G641" s="2"/>
      <c r="H641" s="2"/>
      <c r="I641" s="2"/>
      <c r="J641" s="2"/>
      <c r="K641" s="2"/>
      <c r="L641" s="2"/>
      <c r="M641" s="2"/>
      <c r="N641" s="2"/>
      <c r="O641" s="2"/>
    </row>
    <row r="642" spans="1:15" s="3" customFormat="1">
      <c r="A642" s="4"/>
      <c r="C642" s="2"/>
      <c r="D642" s="2"/>
      <c r="E642" s="2"/>
      <c r="F642" s="2"/>
      <c r="G642" s="2"/>
      <c r="H642" s="2"/>
      <c r="I642" s="2"/>
      <c r="J642" s="2"/>
      <c r="K642" s="2"/>
      <c r="L642" s="2"/>
      <c r="M642" s="2"/>
      <c r="N642" s="2"/>
      <c r="O642" s="2"/>
    </row>
    <row r="643" spans="1:15" s="3" customFormat="1">
      <c r="A643" s="4"/>
      <c r="C643" s="2"/>
      <c r="D643" s="2"/>
      <c r="E643" s="2"/>
      <c r="F643" s="2"/>
      <c r="G643" s="2"/>
      <c r="H643" s="2"/>
      <c r="I643" s="2"/>
      <c r="J643" s="2"/>
      <c r="K643" s="2"/>
      <c r="L643" s="2"/>
      <c r="M643" s="2"/>
      <c r="N643" s="2"/>
      <c r="O643" s="2"/>
    </row>
    <row r="644" spans="1:15" s="3" customFormat="1">
      <c r="A644" s="4"/>
      <c r="C644" s="2"/>
      <c r="D644" s="2"/>
      <c r="E644" s="2"/>
      <c r="F644" s="2"/>
      <c r="G644" s="2"/>
      <c r="H644" s="2"/>
      <c r="I644" s="2"/>
      <c r="J644" s="2"/>
      <c r="K644" s="2"/>
      <c r="L644" s="2"/>
      <c r="M644" s="2"/>
      <c r="N644" s="2"/>
      <c r="O644" s="2"/>
    </row>
    <row r="645" spans="1:15" s="3" customFormat="1">
      <c r="A645" s="4"/>
      <c r="C645" s="2"/>
      <c r="D645" s="2"/>
      <c r="E645" s="2"/>
      <c r="F645" s="2"/>
      <c r="G645" s="2"/>
      <c r="H645" s="2"/>
      <c r="I645" s="2"/>
      <c r="J645" s="2"/>
      <c r="K645" s="2"/>
      <c r="L645" s="2"/>
      <c r="M645" s="2"/>
      <c r="N645" s="2"/>
      <c r="O645" s="2"/>
    </row>
    <row r="646" spans="1:15" s="3" customFormat="1">
      <c r="A646" s="4"/>
      <c r="C646" s="2"/>
      <c r="D646" s="2"/>
      <c r="E646" s="2"/>
      <c r="F646" s="2"/>
      <c r="G646" s="2"/>
      <c r="H646" s="2"/>
      <c r="I646" s="2"/>
      <c r="J646" s="2"/>
      <c r="K646" s="2"/>
      <c r="L646" s="2"/>
      <c r="M646" s="2"/>
      <c r="N646" s="2"/>
      <c r="O646" s="2"/>
    </row>
    <row r="647" spans="1:15" s="3" customFormat="1">
      <c r="A647" s="4"/>
      <c r="C647" s="2"/>
      <c r="D647" s="2"/>
      <c r="E647" s="2"/>
      <c r="F647" s="2"/>
      <c r="G647" s="2"/>
      <c r="H647" s="2"/>
      <c r="I647" s="2"/>
      <c r="J647" s="2"/>
      <c r="K647" s="2"/>
      <c r="L647" s="2"/>
      <c r="M647" s="2"/>
      <c r="N647" s="2"/>
      <c r="O647" s="2"/>
    </row>
    <row r="648" spans="1:15" s="3" customFormat="1">
      <c r="A648" s="4"/>
      <c r="C648" s="2"/>
      <c r="D648" s="2"/>
      <c r="E648" s="2"/>
      <c r="F648" s="2"/>
      <c r="G648" s="2"/>
      <c r="H648" s="2"/>
      <c r="I648" s="2"/>
      <c r="J648" s="2"/>
      <c r="K648" s="2"/>
      <c r="L648" s="2"/>
      <c r="M648" s="2"/>
      <c r="N648" s="2"/>
      <c r="O648" s="2"/>
    </row>
    <row r="649" spans="1:15" s="3" customFormat="1">
      <c r="A649" s="4"/>
      <c r="C649" s="2"/>
      <c r="D649" s="2"/>
      <c r="E649" s="2"/>
      <c r="F649" s="2"/>
      <c r="G649" s="2"/>
      <c r="H649" s="2"/>
      <c r="I649" s="2"/>
      <c r="J649" s="2"/>
      <c r="K649" s="2"/>
      <c r="L649" s="2"/>
      <c r="M649" s="2"/>
      <c r="N649" s="2"/>
      <c r="O649" s="2"/>
    </row>
    <row r="650" spans="1:15" s="3" customFormat="1">
      <c r="A650" s="4"/>
      <c r="C650" s="2"/>
      <c r="D650" s="2"/>
      <c r="E650" s="2"/>
      <c r="F650" s="2"/>
      <c r="G650" s="2"/>
      <c r="H650" s="2"/>
      <c r="I650" s="2"/>
      <c r="J650" s="2"/>
      <c r="K650" s="2"/>
      <c r="L650" s="2"/>
      <c r="M650" s="2"/>
      <c r="N650" s="2"/>
      <c r="O650" s="2"/>
    </row>
    <row r="651" spans="1:15" s="3" customFormat="1">
      <c r="A651" s="4"/>
      <c r="C651" s="2"/>
      <c r="D651" s="2"/>
      <c r="E651" s="2"/>
      <c r="F651" s="2"/>
      <c r="G651" s="2"/>
      <c r="H651" s="2"/>
      <c r="I651" s="2"/>
      <c r="J651" s="2"/>
      <c r="K651" s="2"/>
      <c r="L651" s="2"/>
      <c r="M651" s="2"/>
      <c r="N651" s="2"/>
      <c r="O651" s="2"/>
    </row>
    <row r="652" spans="1:15" s="3" customFormat="1">
      <c r="A652" s="4"/>
      <c r="C652" s="2"/>
      <c r="D652" s="2"/>
      <c r="E652" s="2"/>
      <c r="F652" s="2"/>
      <c r="G652" s="2"/>
      <c r="H652" s="2"/>
      <c r="I652" s="2"/>
      <c r="J652" s="2"/>
      <c r="K652" s="2"/>
      <c r="L652" s="2"/>
      <c r="M652" s="2"/>
      <c r="N652" s="2"/>
      <c r="O652" s="2"/>
    </row>
    <row r="653" spans="1:15" s="3" customFormat="1">
      <c r="A653" s="4"/>
      <c r="C653" s="2"/>
      <c r="D653" s="2"/>
      <c r="E653" s="2"/>
      <c r="F653" s="2"/>
      <c r="G653" s="2"/>
      <c r="H653" s="2"/>
      <c r="I653" s="2"/>
      <c r="J653" s="2"/>
      <c r="K653" s="2"/>
      <c r="L653" s="2"/>
      <c r="M653" s="2"/>
      <c r="N653" s="2"/>
      <c r="O653" s="2"/>
    </row>
    <row r="654" spans="1:15" s="3" customFormat="1">
      <c r="A654" s="4"/>
      <c r="C654" s="2"/>
      <c r="D654" s="2"/>
      <c r="E654" s="2"/>
      <c r="F654" s="2"/>
      <c r="G654" s="2"/>
      <c r="H654" s="2"/>
      <c r="I654" s="2"/>
      <c r="J654" s="2"/>
      <c r="K654" s="2"/>
      <c r="L654" s="2"/>
      <c r="M654" s="2"/>
      <c r="N654" s="2"/>
      <c r="O654" s="2"/>
    </row>
    <row r="655" spans="1:15" s="3" customFormat="1">
      <c r="A655" s="4"/>
      <c r="C655" s="2"/>
      <c r="D655" s="2"/>
      <c r="E655" s="2"/>
      <c r="F655" s="2"/>
      <c r="G655" s="2"/>
      <c r="H655" s="2"/>
      <c r="I655" s="2"/>
      <c r="J655" s="2"/>
      <c r="K655" s="2"/>
      <c r="L655" s="2"/>
      <c r="M655" s="2"/>
      <c r="N655" s="2"/>
      <c r="O655" s="2"/>
    </row>
    <row r="656" spans="1:15" s="3" customFormat="1">
      <c r="A656" s="4"/>
      <c r="C656" s="2"/>
      <c r="D656" s="2"/>
      <c r="E656" s="2"/>
      <c r="F656" s="2"/>
      <c r="G656" s="2"/>
      <c r="H656" s="2"/>
      <c r="I656" s="2"/>
      <c r="J656" s="2"/>
      <c r="K656" s="2"/>
      <c r="L656" s="2"/>
      <c r="M656" s="2"/>
      <c r="N656" s="2"/>
      <c r="O656" s="2"/>
    </row>
    <row r="657" spans="1:15" s="3" customFormat="1">
      <c r="A657" s="4"/>
      <c r="C657" s="2"/>
      <c r="D657" s="2"/>
      <c r="E657" s="2"/>
      <c r="F657" s="2"/>
      <c r="G657" s="2"/>
      <c r="H657" s="2"/>
      <c r="I657" s="2"/>
      <c r="J657" s="2"/>
      <c r="K657" s="2"/>
      <c r="L657" s="2"/>
      <c r="M657" s="2"/>
      <c r="N657" s="2"/>
      <c r="O657" s="2"/>
    </row>
    <row r="658" spans="1:15" s="3" customFormat="1">
      <c r="A658" s="4"/>
      <c r="C658" s="2"/>
      <c r="D658" s="2"/>
      <c r="E658" s="2"/>
      <c r="F658" s="2"/>
      <c r="G658" s="2"/>
      <c r="H658" s="2"/>
      <c r="I658" s="2"/>
      <c r="J658" s="2"/>
      <c r="K658" s="2"/>
      <c r="L658" s="2"/>
      <c r="M658" s="2"/>
      <c r="N658" s="2"/>
      <c r="O658" s="2"/>
    </row>
    <row r="659" spans="1:15" s="3" customFormat="1">
      <c r="A659" s="4"/>
      <c r="C659" s="2"/>
      <c r="D659" s="2"/>
      <c r="E659" s="2"/>
      <c r="F659" s="2"/>
      <c r="G659" s="2"/>
      <c r="H659" s="2"/>
      <c r="I659" s="2"/>
      <c r="J659" s="2"/>
      <c r="K659" s="2"/>
      <c r="L659" s="2"/>
      <c r="M659" s="2"/>
      <c r="N659" s="2"/>
      <c r="O659" s="2"/>
    </row>
    <row r="660" spans="1:15" s="3" customFormat="1">
      <c r="A660" s="4"/>
      <c r="C660" s="2"/>
      <c r="D660" s="2"/>
      <c r="E660" s="2"/>
      <c r="F660" s="2"/>
      <c r="G660" s="2"/>
      <c r="H660" s="2"/>
      <c r="I660" s="2"/>
      <c r="J660" s="2"/>
      <c r="K660" s="2"/>
      <c r="L660" s="2"/>
      <c r="M660" s="2"/>
      <c r="N660" s="2"/>
      <c r="O660" s="2"/>
    </row>
    <row r="661" spans="1:15" s="3" customFormat="1">
      <c r="A661" s="4"/>
      <c r="C661" s="2"/>
      <c r="D661" s="2"/>
      <c r="E661" s="2"/>
      <c r="F661" s="2"/>
      <c r="G661" s="2"/>
      <c r="H661" s="2"/>
      <c r="I661" s="2"/>
      <c r="J661" s="2"/>
      <c r="K661" s="2"/>
      <c r="L661" s="2"/>
      <c r="M661" s="2"/>
      <c r="N661" s="2"/>
      <c r="O661" s="2"/>
    </row>
    <row r="662" spans="1:15" s="3" customFormat="1">
      <c r="A662" s="4"/>
      <c r="C662" s="2"/>
      <c r="D662" s="2"/>
      <c r="E662" s="2"/>
      <c r="F662" s="2"/>
      <c r="G662" s="2"/>
      <c r="H662" s="2"/>
      <c r="I662" s="2"/>
      <c r="J662" s="2"/>
      <c r="K662" s="2"/>
      <c r="L662" s="2"/>
      <c r="M662" s="2"/>
      <c r="N662" s="2"/>
      <c r="O662" s="2"/>
    </row>
    <row r="663" spans="1:15" s="3" customFormat="1">
      <c r="A663" s="4"/>
      <c r="C663" s="2"/>
      <c r="D663" s="2"/>
      <c r="E663" s="2"/>
      <c r="F663" s="2"/>
      <c r="G663" s="2"/>
      <c r="H663" s="2"/>
      <c r="I663" s="2"/>
      <c r="J663" s="2"/>
      <c r="K663" s="2"/>
      <c r="L663" s="2"/>
      <c r="M663" s="2"/>
      <c r="N663" s="2"/>
      <c r="O663" s="2"/>
    </row>
    <row r="664" spans="1:15" s="3" customFormat="1">
      <c r="A664" s="4"/>
      <c r="C664" s="2"/>
      <c r="D664" s="2"/>
      <c r="E664" s="2"/>
      <c r="F664" s="2"/>
      <c r="G664" s="2"/>
      <c r="H664" s="2"/>
      <c r="I664" s="2"/>
      <c r="J664" s="2"/>
      <c r="K664" s="2"/>
      <c r="L664" s="2"/>
      <c r="M664" s="2"/>
      <c r="N664" s="2"/>
      <c r="O664" s="2"/>
    </row>
    <row r="665" spans="1:15" s="3" customFormat="1">
      <c r="A665" s="4"/>
      <c r="C665" s="2"/>
      <c r="D665" s="2"/>
      <c r="E665" s="2"/>
      <c r="F665" s="2"/>
      <c r="G665" s="2"/>
      <c r="H665" s="2"/>
      <c r="I665" s="2"/>
      <c r="J665" s="2"/>
      <c r="K665" s="2"/>
      <c r="L665" s="2"/>
      <c r="M665" s="2"/>
      <c r="N665" s="2"/>
      <c r="O665" s="2"/>
    </row>
    <row r="666" spans="1:15" s="3" customFormat="1">
      <c r="A666" s="4"/>
      <c r="C666" s="2"/>
      <c r="D666" s="2"/>
      <c r="E666" s="2"/>
      <c r="F666" s="2"/>
      <c r="G666" s="2"/>
      <c r="H666" s="2"/>
      <c r="I666" s="2"/>
      <c r="J666" s="2"/>
      <c r="K666" s="2"/>
      <c r="L666" s="2"/>
      <c r="M666" s="2"/>
      <c r="N666" s="2"/>
      <c r="O666" s="2"/>
    </row>
    <row r="667" spans="1:15" s="3" customFormat="1">
      <c r="A667" s="4"/>
      <c r="C667" s="2"/>
      <c r="D667" s="2"/>
      <c r="E667" s="2"/>
      <c r="F667" s="2"/>
      <c r="G667" s="2"/>
      <c r="H667" s="2"/>
      <c r="I667" s="2"/>
      <c r="J667" s="2"/>
      <c r="K667" s="2"/>
      <c r="L667" s="2"/>
      <c r="M667" s="2"/>
      <c r="N667" s="2"/>
      <c r="O667" s="2"/>
    </row>
    <row r="668" spans="1:15" s="3" customFormat="1">
      <c r="A668" s="4"/>
      <c r="C668" s="2"/>
      <c r="D668" s="2"/>
      <c r="E668" s="2"/>
      <c r="F668" s="2"/>
      <c r="G668" s="2"/>
      <c r="H668" s="2"/>
      <c r="I668" s="2"/>
      <c r="J668" s="2"/>
      <c r="K668" s="2"/>
      <c r="L668" s="2"/>
      <c r="M668" s="2"/>
      <c r="N668" s="2"/>
      <c r="O668" s="2"/>
    </row>
    <row r="669" spans="1:15" s="3" customFormat="1">
      <c r="A669" s="4"/>
      <c r="C669" s="2"/>
      <c r="D669" s="2"/>
      <c r="E669" s="2"/>
      <c r="F669" s="2"/>
      <c r="G669" s="2"/>
      <c r="H669" s="2"/>
      <c r="I669" s="2"/>
      <c r="J669" s="2"/>
      <c r="K669" s="2"/>
      <c r="L669" s="2"/>
      <c r="M669" s="2"/>
      <c r="N669" s="2"/>
      <c r="O669" s="2"/>
    </row>
    <row r="670" spans="1:15" s="3" customFormat="1">
      <c r="A670" s="4"/>
      <c r="C670" s="2"/>
      <c r="D670" s="2"/>
      <c r="E670" s="2"/>
      <c r="F670" s="2"/>
      <c r="G670" s="2"/>
      <c r="H670" s="2"/>
      <c r="I670" s="2"/>
      <c r="J670" s="2"/>
      <c r="K670" s="2"/>
      <c r="L670" s="2"/>
      <c r="M670" s="2"/>
      <c r="N670" s="2"/>
      <c r="O670" s="2"/>
    </row>
    <row r="671" spans="1:15" s="3" customFormat="1">
      <c r="A671" s="4"/>
      <c r="C671" s="2"/>
      <c r="D671" s="2"/>
      <c r="E671" s="2"/>
      <c r="F671" s="2"/>
      <c r="G671" s="2"/>
      <c r="H671" s="2"/>
      <c r="I671" s="2"/>
      <c r="J671" s="2"/>
      <c r="K671" s="2"/>
      <c r="L671" s="2"/>
      <c r="M671" s="2"/>
      <c r="N671" s="2"/>
      <c r="O671" s="2"/>
    </row>
    <row r="672" spans="1:15" s="3" customFormat="1">
      <c r="A672" s="4"/>
      <c r="C672" s="2"/>
      <c r="D672" s="2"/>
      <c r="E672" s="2"/>
      <c r="F672" s="2"/>
      <c r="G672" s="2"/>
      <c r="H672" s="2"/>
      <c r="I672" s="2"/>
      <c r="J672" s="2"/>
      <c r="K672" s="2"/>
      <c r="L672" s="2"/>
      <c r="M672" s="2"/>
      <c r="N672" s="2"/>
      <c r="O672" s="2"/>
    </row>
    <row r="673" spans="1:15" s="3" customFormat="1">
      <c r="A673" s="4"/>
      <c r="C673" s="2"/>
      <c r="D673" s="2"/>
      <c r="E673" s="2"/>
      <c r="F673" s="2"/>
      <c r="G673" s="2"/>
      <c r="H673" s="2"/>
      <c r="I673" s="2"/>
      <c r="J673" s="2"/>
      <c r="K673" s="2"/>
      <c r="L673" s="2"/>
      <c r="M673" s="2"/>
      <c r="N673" s="2"/>
      <c r="O673" s="2"/>
    </row>
    <row r="674" spans="1:15" s="3" customFormat="1">
      <c r="A674" s="4"/>
      <c r="C674" s="2"/>
      <c r="D674" s="2"/>
      <c r="E674" s="2"/>
      <c r="F674" s="2"/>
      <c r="G674" s="2"/>
      <c r="H674" s="2"/>
      <c r="I674" s="2"/>
      <c r="J674" s="2"/>
      <c r="K674" s="2"/>
      <c r="L674" s="2"/>
      <c r="M674" s="2"/>
      <c r="N674" s="2"/>
      <c r="O674" s="2"/>
    </row>
    <row r="675" spans="1:15" s="3" customFormat="1">
      <c r="A675" s="4"/>
      <c r="C675" s="2"/>
      <c r="D675" s="2"/>
      <c r="E675" s="2"/>
      <c r="F675" s="2"/>
      <c r="G675" s="2"/>
      <c r="H675" s="2"/>
      <c r="I675" s="2"/>
      <c r="J675" s="2"/>
      <c r="K675" s="2"/>
      <c r="L675" s="2"/>
      <c r="M675" s="2"/>
      <c r="N675" s="2"/>
      <c r="O675" s="2"/>
    </row>
    <row r="676" spans="1:15" s="3" customFormat="1">
      <c r="A676" s="4"/>
      <c r="C676" s="2"/>
      <c r="D676" s="2"/>
      <c r="E676" s="2"/>
      <c r="F676" s="2"/>
      <c r="G676" s="2"/>
      <c r="H676" s="2"/>
      <c r="I676" s="2"/>
      <c r="J676" s="2"/>
      <c r="K676" s="2"/>
      <c r="L676" s="2"/>
      <c r="M676" s="2"/>
      <c r="N676" s="2"/>
      <c r="O676" s="2"/>
    </row>
    <row r="677" spans="1:15" s="3" customFormat="1">
      <c r="A677" s="4"/>
      <c r="C677" s="2"/>
      <c r="D677" s="2"/>
      <c r="E677" s="2"/>
      <c r="F677" s="2"/>
      <c r="G677" s="2"/>
      <c r="H677" s="2"/>
      <c r="I677" s="2"/>
      <c r="J677" s="2"/>
      <c r="K677" s="2"/>
      <c r="L677" s="2"/>
      <c r="M677" s="2"/>
      <c r="N677" s="2"/>
      <c r="O677" s="2"/>
    </row>
    <row r="678" spans="1:15" s="3" customFormat="1">
      <c r="A678" s="4"/>
      <c r="C678" s="2"/>
      <c r="D678" s="2"/>
      <c r="E678" s="2"/>
      <c r="F678" s="2"/>
      <c r="G678" s="2"/>
      <c r="H678" s="2"/>
      <c r="I678" s="2"/>
      <c r="J678" s="2"/>
      <c r="K678" s="2"/>
      <c r="L678" s="2"/>
      <c r="M678" s="2"/>
      <c r="N678" s="2"/>
      <c r="O678" s="2"/>
    </row>
    <row r="679" spans="1:15" s="3" customFormat="1">
      <c r="A679" s="4"/>
      <c r="C679" s="2"/>
      <c r="D679" s="2"/>
      <c r="E679" s="2"/>
      <c r="F679" s="2"/>
      <c r="G679" s="2"/>
      <c r="H679" s="2"/>
      <c r="I679" s="2"/>
      <c r="J679" s="2"/>
      <c r="K679" s="2"/>
      <c r="L679" s="2"/>
      <c r="M679" s="2"/>
      <c r="N679" s="2"/>
      <c r="O679" s="2"/>
    </row>
    <row r="680" spans="1:15" s="3" customFormat="1">
      <c r="A680" s="4"/>
      <c r="C680" s="2"/>
      <c r="D680" s="2"/>
      <c r="E680" s="2"/>
      <c r="F680" s="2"/>
      <c r="G680" s="2"/>
      <c r="H680" s="2"/>
      <c r="I680" s="2"/>
      <c r="J680" s="2"/>
      <c r="K680" s="2"/>
      <c r="L680" s="2"/>
      <c r="M680" s="2"/>
      <c r="N680" s="2"/>
      <c r="O680" s="2"/>
    </row>
    <row r="681" spans="1:15" s="3" customFormat="1">
      <c r="A681" s="4"/>
      <c r="C681" s="2"/>
      <c r="D681" s="2"/>
      <c r="E681" s="2"/>
      <c r="F681" s="2"/>
      <c r="G681" s="2"/>
      <c r="H681" s="2"/>
      <c r="I681" s="2"/>
      <c r="J681" s="2"/>
      <c r="K681" s="2"/>
      <c r="L681" s="2"/>
      <c r="M681" s="2"/>
      <c r="N681" s="2"/>
      <c r="O681" s="2"/>
    </row>
    <row r="682" spans="1:15" s="3" customFormat="1">
      <c r="A682" s="4"/>
      <c r="C682" s="2"/>
      <c r="D682" s="2"/>
      <c r="E682" s="2"/>
      <c r="F682" s="2"/>
      <c r="G682" s="2"/>
      <c r="H682" s="2"/>
      <c r="I682" s="2"/>
      <c r="J682" s="2"/>
      <c r="K682" s="2"/>
      <c r="L682" s="2"/>
      <c r="M682" s="2"/>
      <c r="N682" s="2"/>
      <c r="O682" s="2"/>
    </row>
    <row r="683" spans="1:15" s="3" customFormat="1">
      <c r="A683" s="4"/>
      <c r="C683" s="2"/>
      <c r="D683" s="2"/>
      <c r="E683" s="2"/>
      <c r="F683" s="2"/>
      <c r="G683" s="2"/>
      <c r="H683" s="2"/>
      <c r="I683" s="2"/>
      <c r="J683" s="2"/>
      <c r="K683" s="2"/>
      <c r="L683" s="2"/>
      <c r="M683" s="2"/>
      <c r="N683" s="2"/>
      <c r="O683" s="2"/>
    </row>
    <row r="684" spans="1:15" s="3" customFormat="1">
      <c r="A684" s="4"/>
      <c r="C684" s="2"/>
      <c r="D684" s="2"/>
      <c r="E684" s="2"/>
      <c r="F684" s="2"/>
      <c r="G684" s="2"/>
      <c r="H684" s="2"/>
      <c r="I684" s="2"/>
      <c r="J684" s="2"/>
      <c r="K684" s="2"/>
      <c r="L684" s="2"/>
      <c r="M684" s="2"/>
      <c r="N684" s="2"/>
      <c r="O684" s="2"/>
    </row>
    <row r="685" spans="1:15" s="3" customFormat="1">
      <c r="A685" s="4"/>
      <c r="C685" s="2"/>
      <c r="D685" s="2"/>
      <c r="E685" s="2"/>
      <c r="F685" s="2"/>
      <c r="G685" s="2"/>
      <c r="H685" s="2"/>
      <c r="I685" s="2"/>
      <c r="J685" s="2"/>
      <c r="K685" s="2"/>
      <c r="L685" s="2"/>
      <c r="M685" s="2"/>
      <c r="N685" s="2"/>
      <c r="O685" s="2"/>
    </row>
    <row r="686" spans="1:15" s="3" customFormat="1">
      <c r="A686" s="4"/>
      <c r="C686" s="2"/>
      <c r="D686" s="2"/>
      <c r="E686" s="2"/>
      <c r="F686" s="2"/>
      <c r="G686" s="2"/>
      <c r="H686" s="2"/>
      <c r="I686" s="2"/>
      <c r="J686" s="2"/>
      <c r="K686" s="2"/>
      <c r="L686" s="2"/>
      <c r="M686" s="2"/>
      <c r="N686" s="2"/>
      <c r="O686" s="2"/>
    </row>
    <row r="687" spans="1:15" s="3" customFormat="1">
      <c r="A687" s="4"/>
      <c r="C687" s="2"/>
      <c r="D687" s="2"/>
      <c r="E687" s="2"/>
      <c r="F687" s="2"/>
      <c r="G687" s="2"/>
      <c r="H687" s="2"/>
      <c r="I687" s="2"/>
      <c r="J687" s="2"/>
      <c r="K687" s="2"/>
      <c r="L687" s="2"/>
      <c r="M687" s="2"/>
      <c r="N687" s="2"/>
      <c r="O687" s="2"/>
    </row>
    <row r="688" spans="1:15" s="3" customFormat="1">
      <c r="A688" s="4"/>
      <c r="C688" s="2"/>
      <c r="D688" s="2"/>
      <c r="E688" s="2"/>
      <c r="F688" s="2"/>
      <c r="G688" s="2"/>
      <c r="H688" s="2"/>
      <c r="I688" s="2"/>
      <c r="J688" s="2"/>
      <c r="K688" s="2"/>
      <c r="L688" s="2"/>
      <c r="M688" s="2"/>
      <c r="N688" s="2"/>
      <c r="O688" s="2"/>
    </row>
    <row r="689" spans="1:15" s="3" customFormat="1">
      <c r="A689" s="4"/>
      <c r="C689" s="2"/>
      <c r="D689" s="2"/>
      <c r="E689" s="2"/>
      <c r="F689" s="2"/>
      <c r="G689" s="2"/>
      <c r="H689" s="2"/>
      <c r="I689" s="2"/>
      <c r="J689" s="2"/>
      <c r="K689" s="2"/>
      <c r="L689" s="2"/>
      <c r="M689" s="2"/>
      <c r="N689" s="2"/>
      <c r="O689" s="2"/>
    </row>
    <row r="690" spans="1:15" s="3" customFormat="1">
      <c r="A690" s="4"/>
      <c r="C690" s="2"/>
      <c r="D690" s="2"/>
      <c r="E690" s="2"/>
      <c r="F690" s="2"/>
      <c r="G690" s="2"/>
      <c r="H690" s="2"/>
      <c r="I690" s="2"/>
      <c r="J690" s="2"/>
      <c r="K690" s="2"/>
      <c r="L690" s="2"/>
      <c r="M690" s="2"/>
      <c r="N690" s="2"/>
      <c r="O690" s="2"/>
    </row>
    <row r="691" spans="1:15" s="3" customFormat="1">
      <c r="A691" s="4"/>
      <c r="C691" s="2"/>
      <c r="D691" s="2"/>
      <c r="E691" s="2"/>
      <c r="F691" s="2"/>
      <c r="G691" s="2"/>
      <c r="H691" s="2"/>
      <c r="I691" s="2"/>
      <c r="J691" s="2"/>
      <c r="K691" s="2"/>
      <c r="L691" s="2"/>
      <c r="M691" s="2"/>
      <c r="N691" s="2"/>
      <c r="O691" s="2"/>
    </row>
    <row r="692" spans="1:15" s="3" customFormat="1">
      <c r="A692" s="4"/>
      <c r="C692" s="2"/>
      <c r="D692" s="2"/>
      <c r="E692" s="2"/>
      <c r="F692" s="2"/>
      <c r="G692" s="2"/>
      <c r="H692" s="2"/>
      <c r="I692" s="2"/>
      <c r="J692" s="2"/>
      <c r="K692" s="2"/>
      <c r="L692" s="2"/>
      <c r="M692" s="2"/>
      <c r="N692" s="2"/>
      <c r="O692" s="2"/>
    </row>
    <row r="693" spans="1:15" s="3" customFormat="1">
      <c r="A693" s="4"/>
      <c r="C693" s="2"/>
      <c r="D693" s="2"/>
      <c r="E693" s="2"/>
      <c r="F693" s="2"/>
      <c r="G693" s="2"/>
      <c r="H693" s="2"/>
      <c r="I693" s="2"/>
      <c r="J693" s="2"/>
      <c r="K693" s="2"/>
      <c r="L693" s="2"/>
      <c r="M693" s="2"/>
      <c r="N693" s="2"/>
      <c r="O693" s="2"/>
    </row>
    <row r="694" spans="1:15" s="3" customFormat="1">
      <c r="A694" s="4"/>
      <c r="C694" s="2"/>
      <c r="D694" s="2"/>
      <c r="E694" s="2"/>
      <c r="F694" s="2"/>
      <c r="G694" s="2"/>
      <c r="H694" s="2"/>
      <c r="I694" s="2"/>
      <c r="J694" s="2"/>
      <c r="K694" s="2"/>
      <c r="L694" s="2"/>
      <c r="M694" s="2"/>
      <c r="N694" s="2"/>
      <c r="O694" s="2"/>
    </row>
    <row r="695" spans="1:15" s="3" customFormat="1">
      <c r="A695" s="4"/>
      <c r="C695" s="2"/>
      <c r="D695" s="2"/>
      <c r="E695" s="2"/>
      <c r="F695" s="2"/>
      <c r="G695" s="2"/>
      <c r="H695" s="2"/>
      <c r="I695" s="2"/>
      <c r="J695" s="2"/>
      <c r="K695" s="2"/>
      <c r="L695" s="2"/>
      <c r="M695" s="2"/>
      <c r="N695" s="2"/>
      <c r="O695" s="2"/>
    </row>
    <row r="696" spans="1:15" s="3" customFormat="1">
      <c r="A696" s="4"/>
      <c r="C696" s="2"/>
      <c r="D696" s="2"/>
      <c r="E696" s="2"/>
      <c r="F696" s="2"/>
      <c r="G696" s="2"/>
      <c r="H696" s="2"/>
      <c r="I696" s="2"/>
      <c r="J696" s="2"/>
      <c r="K696" s="2"/>
      <c r="L696" s="2"/>
      <c r="M696" s="2"/>
      <c r="N696" s="2"/>
      <c r="O696" s="2"/>
    </row>
    <row r="697" spans="1:15" s="3" customFormat="1">
      <c r="A697" s="4"/>
      <c r="C697" s="2"/>
      <c r="D697" s="2"/>
      <c r="E697" s="2"/>
      <c r="F697" s="2"/>
      <c r="G697" s="2"/>
      <c r="H697" s="2"/>
      <c r="I697" s="2"/>
      <c r="J697" s="2"/>
      <c r="K697" s="2"/>
      <c r="L697" s="2"/>
      <c r="M697" s="2"/>
      <c r="N697" s="2"/>
      <c r="O697" s="2"/>
    </row>
    <row r="698" spans="1:15" s="3" customFormat="1">
      <c r="A698" s="4"/>
      <c r="C698" s="2"/>
      <c r="D698" s="2"/>
      <c r="E698" s="2"/>
      <c r="F698" s="2"/>
      <c r="G698" s="2"/>
      <c r="H698" s="2"/>
      <c r="I698" s="2"/>
      <c r="J698" s="2"/>
      <c r="K698" s="2"/>
      <c r="L698" s="2"/>
      <c r="M698" s="2"/>
      <c r="N698" s="2"/>
      <c r="O698" s="2"/>
    </row>
    <row r="699" spans="1:15" s="3" customFormat="1">
      <c r="A699" s="4"/>
      <c r="C699" s="2"/>
      <c r="D699" s="2"/>
      <c r="E699" s="2"/>
      <c r="F699" s="2"/>
      <c r="G699" s="2"/>
      <c r="H699" s="2"/>
      <c r="I699" s="2"/>
      <c r="J699" s="2"/>
      <c r="K699" s="2"/>
      <c r="L699" s="2"/>
      <c r="M699" s="2"/>
      <c r="N699" s="2"/>
      <c r="O699" s="2"/>
    </row>
    <row r="700" spans="1:15" s="3" customFormat="1">
      <c r="A700" s="4"/>
      <c r="C700" s="2"/>
      <c r="D700" s="2"/>
      <c r="E700" s="2"/>
      <c r="F700" s="2"/>
      <c r="G700" s="2"/>
      <c r="H700" s="2"/>
      <c r="I700" s="2"/>
      <c r="J700" s="2"/>
      <c r="K700" s="2"/>
      <c r="L700" s="2"/>
      <c r="M700" s="2"/>
      <c r="N700" s="2"/>
      <c r="O700" s="2"/>
    </row>
    <row r="701" spans="1:15" s="3" customFormat="1">
      <c r="A701" s="4"/>
      <c r="C701" s="2"/>
      <c r="D701" s="2"/>
      <c r="E701" s="2"/>
      <c r="F701" s="2"/>
      <c r="G701" s="2"/>
      <c r="H701" s="2"/>
      <c r="I701" s="2"/>
      <c r="J701" s="2"/>
      <c r="K701" s="2"/>
      <c r="L701" s="2"/>
      <c r="M701" s="2"/>
      <c r="N701" s="2"/>
      <c r="O701" s="2"/>
    </row>
    <row r="702" spans="1:15" s="3" customFormat="1">
      <c r="A702" s="4"/>
      <c r="C702" s="2"/>
      <c r="D702" s="2"/>
      <c r="E702" s="2"/>
      <c r="F702" s="2"/>
      <c r="G702" s="2"/>
      <c r="H702" s="2"/>
      <c r="I702" s="2"/>
      <c r="J702" s="2"/>
      <c r="K702" s="2"/>
      <c r="L702" s="2"/>
      <c r="M702" s="2"/>
      <c r="N702" s="2"/>
      <c r="O702" s="2"/>
    </row>
    <row r="703" spans="1:15" s="3" customFormat="1">
      <c r="A703" s="4"/>
      <c r="C703" s="2"/>
      <c r="D703" s="2"/>
      <c r="E703" s="2"/>
      <c r="F703" s="2"/>
      <c r="G703" s="2"/>
      <c r="H703" s="2"/>
      <c r="I703" s="2"/>
      <c r="J703" s="2"/>
      <c r="K703" s="2"/>
      <c r="L703" s="2"/>
      <c r="M703" s="2"/>
      <c r="N703" s="2"/>
      <c r="O703" s="2"/>
    </row>
    <row r="704" spans="1:15" s="3" customFormat="1">
      <c r="A704" s="4"/>
      <c r="C704" s="2"/>
      <c r="D704" s="2"/>
      <c r="E704" s="2"/>
      <c r="F704" s="2"/>
      <c r="G704" s="2"/>
      <c r="H704" s="2"/>
      <c r="I704" s="2"/>
      <c r="J704" s="2"/>
      <c r="K704" s="2"/>
      <c r="L704" s="2"/>
      <c r="M704" s="2"/>
      <c r="N704" s="2"/>
      <c r="O704" s="2"/>
    </row>
    <row r="705" spans="1:15" s="3" customFormat="1">
      <c r="A705" s="4"/>
      <c r="C705" s="2"/>
      <c r="D705" s="2"/>
      <c r="E705" s="2"/>
      <c r="F705" s="2"/>
      <c r="G705" s="2"/>
      <c r="H705" s="2"/>
      <c r="I705" s="2"/>
      <c r="J705" s="2"/>
      <c r="K705" s="2"/>
      <c r="L705" s="2"/>
      <c r="M705" s="2"/>
      <c r="N705" s="2"/>
      <c r="O705" s="2"/>
    </row>
    <row r="706" spans="1:15" s="3" customFormat="1">
      <c r="A706" s="4"/>
      <c r="C706" s="2"/>
      <c r="D706" s="2"/>
      <c r="E706" s="2"/>
      <c r="F706" s="2"/>
      <c r="G706" s="2"/>
      <c r="H706" s="2"/>
      <c r="I706" s="2"/>
      <c r="J706" s="2"/>
      <c r="K706" s="2"/>
      <c r="L706" s="2"/>
      <c r="M706" s="2"/>
      <c r="N706" s="2"/>
      <c r="O706" s="2"/>
    </row>
    <row r="707" spans="1:15" s="3" customFormat="1">
      <c r="A707" s="4"/>
      <c r="C707" s="2"/>
      <c r="D707" s="2"/>
      <c r="E707" s="2"/>
      <c r="F707" s="2"/>
      <c r="G707" s="2"/>
      <c r="H707" s="2"/>
      <c r="I707" s="2"/>
      <c r="J707" s="2"/>
      <c r="K707" s="2"/>
      <c r="L707" s="2"/>
      <c r="M707" s="2"/>
      <c r="N707" s="2"/>
      <c r="O707" s="2"/>
    </row>
    <row r="708" spans="1:15" s="3" customFormat="1">
      <c r="A708" s="4"/>
      <c r="C708" s="2"/>
      <c r="D708" s="2"/>
      <c r="E708" s="2"/>
      <c r="F708" s="2"/>
      <c r="G708" s="2"/>
      <c r="H708" s="2"/>
      <c r="I708" s="2"/>
      <c r="J708" s="2"/>
      <c r="K708" s="2"/>
      <c r="L708" s="2"/>
      <c r="M708" s="2"/>
      <c r="N708" s="2"/>
      <c r="O708" s="2"/>
    </row>
    <row r="709" spans="1:15" s="3" customFormat="1">
      <c r="A709" s="4"/>
      <c r="C709" s="2"/>
      <c r="D709" s="2"/>
      <c r="E709" s="2"/>
      <c r="F709" s="2"/>
      <c r="G709" s="2"/>
      <c r="H709" s="2"/>
      <c r="I709" s="2"/>
      <c r="J709" s="2"/>
      <c r="K709" s="2"/>
      <c r="L709" s="2"/>
      <c r="M709" s="2"/>
      <c r="N709" s="2"/>
      <c r="O709" s="2"/>
    </row>
    <row r="710" spans="1:15" s="3" customFormat="1">
      <c r="A710" s="4"/>
      <c r="C710" s="2"/>
      <c r="D710" s="2"/>
      <c r="E710" s="2"/>
      <c r="F710" s="2"/>
      <c r="G710" s="2"/>
      <c r="H710" s="2"/>
      <c r="I710" s="2"/>
      <c r="J710" s="2"/>
      <c r="K710" s="2"/>
      <c r="L710" s="2"/>
      <c r="M710" s="2"/>
      <c r="N710" s="2"/>
      <c r="O710" s="2"/>
    </row>
    <row r="711" spans="1:15" s="3" customFormat="1">
      <c r="A711" s="4"/>
      <c r="C711" s="2"/>
      <c r="D711" s="2"/>
      <c r="E711" s="2"/>
      <c r="F711" s="2"/>
      <c r="G711" s="2"/>
      <c r="H711" s="2"/>
      <c r="I711" s="2"/>
      <c r="J711" s="2"/>
      <c r="K711" s="2"/>
      <c r="L711" s="2"/>
      <c r="M711" s="2"/>
      <c r="N711" s="2"/>
      <c r="O711" s="2"/>
    </row>
    <row r="712" spans="1:15" s="3" customFormat="1">
      <c r="A712" s="4"/>
      <c r="C712" s="2"/>
      <c r="D712" s="2"/>
      <c r="E712" s="2"/>
      <c r="F712" s="2"/>
      <c r="G712" s="2"/>
      <c r="H712" s="2"/>
      <c r="I712" s="2"/>
      <c r="J712" s="2"/>
      <c r="K712" s="2"/>
      <c r="L712" s="2"/>
      <c r="M712" s="2"/>
      <c r="N712" s="2"/>
      <c r="O712" s="2"/>
    </row>
    <row r="713" spans="1:15" s="3" customFormat="1">
      <c r="A713" s="4"/>
      <c r="C713" s="2"/>
      <c r="D713" s="2"/>
      <c r="E713" s="2"/>
      <c r="F713" s="2"/>
      <c r="G713" s="2"/>
      <c r="H713" s="2"/>
      <c r="I713" s="2"/>
      <c r="J713" s="2"/>
      <c r="K713" s="2"/>
      <c r="L713" s="2"/>
      <c r="M713" s="2"/>
      <c r="N713" s="2"/>
      <c r="O713" s="2"/>
    </row>
    <row r="714" spans="1:15" s="3" customFormat="1">
      <c r="A714" s="4"/>
      <c r="C714" s="2"/>
      <c r="D714" s="2"/>
      <c r="E714" s="2"/>
      <c r="F714" s="2"/>
      <c r="G714" s="2"/>
      <c r="H714" s="2"/>
      <c r="I714" s="2"/>
      <c r="J714" s="2"/>
      <c r="K714" s="2"/>
      <c r="L714" s="2"/>
      <c r="M714" s="2"/>
      <c r="N714" s="2"/>
      <c r="O714" s="2"/>
    </row>
    <row r="715" spans="1:15" s="3" customFormat="1">
      <c r="A715" s="4"/>
      <c r="C715" s="2"/>
      <c r="D715" s="2"/>
      <c r="E715" s="2"/>
      <c r="F715" s="2"/>
      <c r="G715" s="2"/>
      <c r="H715" s="2"/>
      <c r="I715" s="2"/>
      <c r="J715" s="2"/>
      <c r="K715" s="2"/>
      <c r="L715" s="2"/>
      <c r="M715" s="2"/>
      <c r="N715" s="2"/>
      <c r="O715" s="2"/>
    </row>
    <row r="716" spans="1:15" s="3" customFormat="1">
      <c r="A716" s="4"/>
      <c r="C716" s="2"/>
      <c r="D716" s="2"/>
      <c r="E716" s="2"/>
      <c r="F716" s="2"/>
      <c r="G716" s="2"/>
      <c r="H716" s="2"/>
      <c r="I716" s="2"/>
      <c r="J716" s="2"/>
      <c r="K716" s="2"/>
      <c r="L716" s="2"/>
      <c r="M716" s="2"/>
      <c r="N716" s="2"/>
      <c r="O716" s="2"/>
    </row>
    <row r="717" spans="1:15" s="3" customFormat="1">
      <c r="A717" s="4"/>
      <c r="C717" s="2"/>
      <c r="D717" s="2"/>
      <c r="E717" s="2"/>
      <c r="F717" s="2"/>
      <c r="G717" s="2"/>
      <c r="H717" s="2"/>
      <c r="I717" s="2"/>
      <c r="J717" s="2"/>
      <c r="K717" s="2"/>
      <c r="L717" s="2"/>
      <c r="M717" s="2"/>
      <c r="N717" s="2"/>
      <c r="O717" s="2"/>
    </row>
    <row r="718" spans="1:15" s="3" customFormat="1">
      <c r="A718" s="4"/>
      <c r="C718" s="2"/>
      <c r="D718" s="2"/>
      <c r="E718" s="2"/>
      <c r="F718" s="2"/>
      <c r="G718" s="2"/>
      <c r="H718" s="2"/>
      <c r="I718" s="2"/>
      <c r="J718" s="2"/>
      <c r="K718" s="2"/>
      <c r="L718" s="2"/>
      <c r="M718" s="2"/>
      <c r="N718" s="2"/>
      <c r="O718" s="2"/>
    </row>
    <row r="719" spans="1:15" s="3" customFormat="1">
      <c r="A719" s="4"/>
      <c r="C719" s="2"/>
      <c r="D719" s="2"/>
      <c r="E719" s="2"/>
      <c r="F719" s="2"/>
      <c r="G719" s="2"/>
      <c r="H719" s="2"/>
      <c r="I719" s="2"/>
      <c r="J719" s="2"/>
      <c r="K719" s="2"/>
      <c r="L719" s="2"/>
      <c r="M719" s="2"/>
      <c r="N719" s="2"/>
      <c r="O719" s="2"/>
    </row>
    <row r="720" spans="1:15" s="3" customFormat="1">
      <c r="A720" s="4"/>
      <c r="C720" s="2"/>
      <c r="D720" s="2"/>
      <c r="E720" s="2"/>
      <c r="F720" s="2"/>
      <c r="G720" s="2"/>
      <c r="H720" s="2"/>
      <c r="I720" s="2"/>
      <c r="J720" s="2"/>
      <c r="K720" s="2"/>
      <c r="L720" s="2"/>
      <c r="M720" s="2"/>
      <c r="N720" s="2"/>
      <c r="O720" s="2"/>
    </row>
    <row r="721" spans="1:15" s="3" customFormat="1">
      <c r="A721" s="4"/>
      <c r="C721" s="2"/>
      <c r="D721" s="2"/>
      <c r="E721" s="2"/>
      <c r="F721" s="2"/>
      <c r="G721" s="2"/>
      <c r="H721" s="2"/>
      <c r="I721" s="2"/>
      <c r="J721" s="2"/>
      <c r="K721" s="2"/>
      <c r="L721" s="2"/>
      <c r="M721" s="2"/>
      <c r="N721" s="2"/>
      <c r="O721" s="2"/>
    </row>
    <row r="722" spans="1:15" s="3" customFormat="1">
      <c r="A722" s="4"/>
      <c r="C722" s="2"/>
      <c r="D722" s="2"/>
      <c r="E722" s="2"/>
      <c r="F722" s="2"/>
      <c r="G722" s="2"/>
      <c r="H722" s="2"/>
      <c r="I722" s="2"/>
      <c r="J722" s="2"/>
      <c r="K722" s="2"/>
      <c r="L722" s="2"/>
      <c r="M722" s="2"/>
      <c r="N722" s="2"/>
      <c r="O722" s="2"/>
    </row>
    <row r="723" spans="1:15" s="3" customFormat="1">
      <c r="A723" s="4"/>
      <c r="C723" s="2"/>
      <c r="D723" s="2"/>
      <c r="E723" s="2"/>
      <c r="F723" s="2"/>
      <c r="G723" s="2"/>
      <c r="H723" s="2"/>
      <c r="I723" s="2"/>
      <c r="J723" s="2"/>
      <c r="K723" s="2"/>
      <c r="L723" s="2"/>
      <c r="M723" s="2"/>
      <c r="N723" s="2"/>
      <c r="O723" s="2"/>
    </row>
    <row r="724" spans="1:15" s="3" customFormat="1">
      <c r="A724" s="4"/>
      <c r="C724" s="2"/>
      <c r="D724" s="2"/>
      <c r="E724" s="2"/>
      <c r="F724" s="2"/>
      <c r="G724" s="2"/>
      <c r="H724" s="2"/>
      <c r="I724" s="2"/>
      <c r="J724" s="2"/>
      <c r="K724" s="2"/>
      <c r="L724" s="2"/>
      <c r="M724" s="2"/>
      <c r="N724" s="2"/>
      <c r="O724" s="2"/>
    </row>
    <row r="725" spans="1:15" s="3" customFormat="1">
      <c r="A725" s="4"/>
      <c r="C725" s="2"/>
      <c r="D725" s="2"/>
      <c r="E725" s="2"/>
      <c r="F725" s="2"/>
      <c r="G725" s="2"/>
      <c r="H725" s="2"/>
      <c r="I725" s="2"/>
      <c r="J725" s="2"/>
      <c r="K725" s="2"/>
      <c r="L725" s="2"/>
      <c r="M725" s="2"/>
      <c r="N725" s="2"/>
      <c r="O725" s="2"/>
    </row>
    <row r="726" spans="1:15" s="3" customFormat="1">
      <c r="A726" s="4"/>
      <c r="C726" s="2"/>
      <c r="D726" s="2"/>
      <c r="E726" s="2"/>
      <c r="F726" s="2"/>
      <c r="G726" s="2"/>
      <c r="H726" s="2"/>
      <c r="I726" s="2"/>
      <c r="J726" s="2"/>
      <c r="K726" s="2"/>
      <c r="L726" s="2"/>
      <c r="M726" s="2"/>
      <c r="N726" s="2"/>
      <c r="O726" s="2"/>
    </row>
    <row r="727" spans="1:15" s="3" customFormat="1">
      <c r="A727" s="4"/>
      <c r="C727" s="2"/>
      <c r="D727" s="2"/>
      <c r="E727" s="2"/>
      <c r="F727" s="2"/>
      <c r="G727" s="2"/>
      <c r="H727" s="2"/>
      <c r="I727" s="2"/>
      <c r="J727" s="2"/>
      <c r="K727" s="2"/>
      <c r="L727" s="2"/>
      <c r="M727" s="2"/>
      <c r="N727" s="2"/>
      <c r="O727" s="2"/>
    </row>
    <row r="728" spans="1:15" s="3" customFormat="1">
      <c r="A728" s="4"/>
      <c r="C728" s="2"/>
      <c r="D728" s="2"/>
      <c r="E728" s="2"/>
      <c r="F728" s="2"/>
      <c r="G728" s="2"/>
      <c r="H728" s="2"/>
      <c r="I728" s="2"/>
      <c r="J728" s="2"/>
      <c r="K728" s="2"/>
      <c r="L728" s="2"/>
      <c r="M728" s="2"/>
      <c r="N728" s="2"/>
      <c r="O728" s="2"/>
    </row>
    <row r="729" spans="1:15" s="3" customFormat="1">
      <c r="A729" s="4"/>
      <c r="C729" s="2"/>
      <c r="D729" s="2"/>
      <c r="E729" s="2"/>
      <c r="F729" s="2"/>
      <c r="G729" s="2"/>
      <c r="H729" s="2"/>
      <c r="I729" s="2"/>
      <c r="J729" s="2"/>
      <c r="K729" s="2"/>
      <c r="L729" s="2"/>
      <c r="M729" s="2"/>
      <c r="N729" s="2"/>
      <c r="O729" s="2"/>
    </row>
    <row r="730" spans="1:15" s="3" customFormat="1">
      <c r="A730" s="4"/>
      <c r="C730" s="2"/>
      <c r="D730" s="2"/>
      <c r="E730" s="2"/>
      <c r="F730" s="2"/>
      <c r="G730" s="2"/>
      <c r="H730" s="2"/>
      <c r="I730" s="2"/>
      <c r="J730" s="2"/>
      <c r="K730" s="2"/>
      <c r="L730" s="2"/>
      <c r="M730" s="2"/>
      <c r="N730" s="2"/>
      <c r="O730" s="2"/>
    </row>
    <row r="731" spans="1:15" s="3" customFormat="1">
      <c r="A731" s="4"/>
      <c r="C731" s="2"/>
      <c r="D731" s="2"/>
      <c r="E731" s="2"/>
      <c r="F731" s="2"/>
      <c r="G731" s="2"/>
      <c r="H731" s="2"/>
      <c r="I731" s="2"/>
      <c r="J731" s="2"/>
      <c r="K731" s="2"/>
      <c r="L731" s="2"/>
      <c r="M731" s="2"/>
      <c r="N731" s="2"/>
      <c r="O731" s="2"/>
    </row>
    <row r="732" spans="1:15" s="3" customFormat="1">
      <c r="A732" s="4"/>
      <c r="C732" s="2"/>
      <c r="D732" s="2"/>
      <c r="E732" s="2"/>
      <c r="F732" s="2"/>
      <c r="G732" s="2"/>
      <c r="H732" s="2"/>
      <c r="I732" s="2"/>
      <c r="J732" s="2"/>
      <c r="K732" s="2"/>
      <c r="L732" s="2"/>
      <c r="M732" s="2"/>
      <c r="N732" s="2"/>
      <c r="O732" s="2"/>
    </row>
    <row r="733" spans="1:15" s="3" customFormat="1">
      <c r="A733" s="4"/>
      <c r="C733" s="2"/>
      <c r="D733" s="2"/>
      <c r="E733" s="2"/>
      <c r="F733" s="2"/>
      <c r="G733" s="2"/>
      <c r="H733" s="2"/>
      <c r="I733" s="2"/>
      <c r="J733" s="2"/>
      <c r="K733" s="2"/>
      <c r="L733" s="2"/>
      <c r="M733" s="2"/>
      <c r="N733" s="2"/>
      <c r="O733" s="2"/>
    </row>
    <row r="734" spans="1:15" s="3" customFormat="1">
      <c r="A734" s="4"/>
      <c r="C734" s="2"/>
      <c r="D734" s="2"/>
      <c r="E734" s="2"/>
      <c r="F734" s="2"/>
      <c r="G734" s="2"/>
      <c r="H734" s="2"/>
      <c r="I734" s="2"/>
      <c r="J734" s="2"/>
      <c r="K734" s="2"/>
      <c r="L734" s="2"/>
      <c r="M734" s="2"/>
      <c r="N734" s="2"/>
      <c r="O734" s="2"/>
    </row>
    <row r="735" spans="1:15" s="3" customFormat="1">
      <c r="A735" s="4"/>
      <c r="C735" s="2"/>
      <c r="D735" s="2"/>
      <c r="E735" s="2"/>
      <c r="F735" s="2"/>
      <c r="G735" s="2"/>
      <c r="H735" s="2"/>
      <c r="I735" s="2"/>
      <c r="J735" s="2"/>
      <c r="K735" s="2"/>
      <c r="L735" s="2"/>
      <c r="M735" s="2"/>
      <c r="N735" s="2"/>
      <c r="O735" s="2"/>
    </row>
    <row r="736" spans="1:15" s="3" customFormat="1">
      <c r="A736" s="4"/>
      <c r="C736" s="2"/>
      <c r="D736" s="2"/>
      <c r="E736" s="2"/>
      <c r="F736" s="2"/>
      <c r="G736" s="2"/>
      <c r="H736" s="2"/>
      <c r="I736" s="2"/>
      <c r="J736" s="2"/>
      <c r="K736" s="2"/>
      <c r="L736" s="2"/>
      <c r="M736" s="2"/>
      <c r="N736" s="2"/>
      <c r="O736" s="2"/>
    </row>
    <row r="737" spans="1:15" s="3" customFormat="1">
      <c r="A737" s="4"/>
      <c r="C737" s="2"/>
      <c r="D737" s="2"/>
      <c r="E737" s="2"/>
      <c r="F737" s="2"/>
      <c r="G737" s="2"/>
      <c r="H737" s="2"/>
      <c r="I737" s="2"/>
      <c r="J737" s="2"/>
      <c r="K737" s="2"/>
      <c r="L737" s="2"/>
      <c r="M737" s="2"/>
      <c r="N737" s="2"/>
      <c r="O737" s="2"/>
    </row>
    <row r="738" spans="1:15" s="3" customFormat="1">
      <c r="A738" s="4"/>
      <c r="C738" s="2"/>
      <c r="D738" s="2"/>
      <c r="E738" s="2"/>
      <c r="F738" s="2"/>
      <c r="G738" s="2"/>
      <c r="H738" s="2"/>
      <c r="I738" s="2"/>
      <c r="J738" s="2"/>
      <c r="K738" s="2"/>
      <c r="L738" s="2"/>
      <c r="M738" s="2"/>
      <c r="N738" s="2"/>
      <c r="O738" s="2"/>
    </row>
    <row r="739" spans="1:15" s="3" customFormat="1">
      <c r="A739" s="4"/>
      <c r="C739" s="2"/>
      <c r="D739" s="2"/>
      <c r="E739" s="2"/>
      <c r="F739" s="2"/>
      <c r="G739" s="2"/>
      <c r="H739" s="2"/>
      <c r="I739" s="2"/>
      <c r="J739" s="2"/>
      <c r="K739" s="2"/>
      <c r="L739" s="2"/>
      <c r="M739" s="2"/>
      <c r="N739" s="2"/>
      <c r="O739" s="2"/>
    </row>
    <row r="740" spans="1:15" s="3" customFormat="1">
      <c r="A740" s="4"/>
      <c r="C740" s="2"/>
      <c r="D740" s="2"/>
      <c r="E740" s="2"/>
      <c r="F740" s="2"/>
      <c r="G740" s="2"/>
      <c r="H740" s="2"/>
      <c r="I740" s="2"/>
      <c r="J740" s="2"/>
      <c r="K740" s="2"/>
      <c r="L740" s="2"/>
      <c r="M740" s="2"/>
      <c r="N740" s="2"/>
      <c r="O740" s="2"/>
    </row>
    <row r="741" spans="1:15" s="3" customFormat="1">
      <c r="A741" s="4"/>
      <c r="C741" s="2"/>
      <c r="D741" s="2"/>
      <c r="E741" s="2"/>
      <c r="F741" s="2"/>
      <c r="G741" s="2"/>
      <c r="H741" s="2"/>
      <c r="I741" s="2"/>
      <c r="J741" s="2"/>
      <c r="K741" s="2"/>
      <c r="L741" s="2"/>
      <c r="M741" s="2"/>
      <c r="N741" s="2"/>
      <c r="O741" s="2"/>
    </row>
    <row r="742" spans="1:15" s="3" customFormat="1">
      <c r="A742" s="4"/>
      <c r="C742" s="2"/>
      <c r="D742" s="2"/>
      <c r="E742" s="2"/>
      <c r="F742" s="2"/>
      <c r="G742" s="2"/>
      <c r="H742" s="2"/>
      <c r="I742" s="2"/>
      <c r="J742" s="2"/>
      <c r="K742" s="2"/>
      <c r="L742" s="2"/>
      <c r="M742" s="2"/>
      <c r="N742" s="2"/>
      <c r="O742" s="2"/>
    </row>
    <row r="743" spans="1:15" s="3" customFormat="1">
      <c r="A743" s="4"/>
      <c r="C743" s="2"/>
      <c r="D743" s="2"/>
      <c r="E743" s="2"/>
      <c r="F743" s="2"/>
      <c r="G743" s="2"/>
      <c r="H743" s="2"/>
      <c r="I743" s="2"/>
      <c r="J743" s="2"/>
      <c r="K743" s="2"/>
      <c r="L743" s="2"/>
      <c r="M743" s="2"/>
      <c r="N743" s="2"/>
      <c r="O743" s="2"/>
    </row>
    <row r="744" spans="1:15" s="3" customFormat="1">
      <c r="A744" s="4"/>
      <c r="C744" s="2"/>
      <c r="D744" s="2"/>
      <c r="E744" s="2"/>
      <c r="F744" s="2"/>
      <c r="G744" s="2"/>
      <c r="H744" s="2"/>
      <c r="I744" s="2"/>
      <c r="J744" s="2"/>
      <c r="K744" s="2"/>
      <c r="L744" s="2"/>
      <c r="M744" s="2"/>
      <c r="N744" s="2"/>
      <c r="O744" s="2"/>
    </row>
    <row r="745" spans="1:15" s="3" customFormat="1">
      <c r="A745" s="4"/>
      <c r="C745" s="2"/>
      <c r="D745" s="2"/>
      <c r="E745" s="2"/>
      <c r="F745" s="2"/>
      <c r="G745" s="2"/>
      <c r="H745" s="2"/>
      <c r="I745" s="2"/>
      <c r="J745" s="2"/>
      <c r="K745" s="2"/>
      <c r="L745" s="2"/>
      <c r="M745" s="2"/>
      <c r="N745" s="2"/>
      <c r="O745" s="2"/>
    </row>
    <row r="746" spans="1:15" s="3" customFormat="1">
      <c r="A746" s="4"/>
      <c r="C746" s="2"/>
      <c r="D746" s="2"/>
      <c r="E746" s="2"/>
      <c r="F746" s="2"/>
      <c r="G746" s="2"/>
      <c r="H746" s="2"/>
      <c r="I746" s="2"/>
      <c r="J746" s="2"/>
      <c r="K746" s="2"/>
      <c r="L746" s="2"/>
      <c r="M746" s="2"/>
      <c r="N746" s="2"/>
      <c r="O746" s="2"/>
    </row>
    <row r="747" spans="1:15" s="3" customFormat="1">
      <c r="A747" s="4"/>
      <c r="C747" s="2"/>
      <c r="D747" s="2"/>
      <c r="E747" s="2"/>
      <c r="F747" s="2"/>
      <c r="G747" s="2"/>
      <c r="H747" s="2"/>
      <c r="I747" s="2"/>
      <c r="J747" s="2"/>
      <c r="K747" s="2"/>
      <c r="L747" s="2"/>
      <c r="M747" s="2"/>
      <c r="N747" s="2"/>
      <c r="O747" s="2"/>
    </row>
    <row r="748" spans="1:15" s="3" customFormat="1">
      <c r="A748" s="4"/>
      <c r="C748" s="2"/>
      <c r="D748" s="2"/>
      <c r="E748" s="2"/>
      <c r="F748" s="2"/>
      <c r="G748" s="2"/>
      <c r="H748" s="2"/>
      <c r="I748" s="2"/>
      <c r="J748" s="2"/>
      <c r="K748" s="2"/>
      <c r="L748" s="2"/>
      <c r="M748" s="2"/>
      <c r="N748" s="2"/>
      <c r="O748" s="2"/>
    </row>
    <row r="749" spans="1:15" s="3" customFormat="1">
      <c r="A749" s="4"/>
      <c r="C749" s="2"/>
      <c r="D749" s="2"/>
      <c r="E749" s="2"/>
      <c r="F749" s="2"/>
      <c r="G749" s="2"/>
      <c r="H749" s="2"/>
      <c r="I749" s="2"/>
      <c r="J749" s="2"/>
      <c r="K749" s="2"/>
      <c r="L749" s="2"/>
      <c r="M749" s="2"/>
      <c r="N749" s="2"/>
      <c r="O749" s="2"/>
    </row>
    <row r="750" spans="1:15" s="3" customFormat="1">
      <c r="A750" s="4"/>
      <c r="C750" s="2"/>
      <c r="D750" s="2"/>
      <c r="E750" s="2"/>
      <c r="F750" s="2"/>
      <c r="G750" s="2"/>
      <c r="H750" s="2"/>
      <c r="I750" s="2"/>
      <c r="J750" s="2"/>
      <c r="K750" s="2"/>
      <c r="L750" s="2"/>
      <c r="M750" s="2"/>
      <c r="N750" s="2"/>
      <c r="O750" s="2"/>
    </row>
    <row r="751" spans="1:15" s="3" customFormat="1">
      <c r="A751" s="4"/>
      <c r="C751" s="2"/>
      <c r="D751" s="2"/>
      <c r="E751" s="2"/>
      <c r="F751" s="2"/>
      <c r="G751" s="2"/>
      <c r="H751" s="2"/>
      <c r="I751" s="2"/>
      <c r="J751" s="2"/>
      <c r="K751" s="2"/>
      <c r="L751" s="2"/>
      <c r="M751" s="2"/>
      <c r="N751" s="2"/>
      <c r="O751" s="2"/>
    </row>
    <row r="752" spans="1:15" s="3" customFormat="1">
      <c r="A752" s="4"/>
      <c r="C752" s="2"/>
      <c r="D752" s="2"/>
      <c r="E752" s="2"/>
      <c r="F752" s="2"/>
      <c r="G752" s="2"/>
      <c r="H752" s="2"/>
      <c r="I752" s="2"/>
      <c r="J752" s="2"/>
      <c r="K752" s="2"/>
      <c r="L752" s="2"/>
      <c r="M752" s="2"/>
      <c r="N752" s="2"/>
      <c r="O752" s="2"/>
    </row>
    <row r="753" spans="1:15" s="3" customFormat="1">
      <c r="A753" s="4"/>
      <c r="C753" s="2"/>
      <c r="D753" s="2"/>
      <c r="E753" s="2"/>
      <c r="F753" s="2"/>
      <c r="G753" s="2"/>
      <c r="H753" s="2"/>
      <c r="I753" s="2"/>
      <c r="J753" s="2"/>
      <c r="K753" s="2"/>
      <c r="L753" s="2"/>
      <c r="M753" s="2"/>
      <c r="N753" s="2"/>
      <c r="O753" s="2"/>
    </row>
    <row r="754" spans="1:15" s="3" customFormat="1">
      <c r="A754" s="4"/>
      <c r="C754" s="2"/>
      <c r="D754" s="2"/>
      <c r="E754" s="2"/>
      <c r="F754" s="2"/>
      <c r="G754" s="2"/>
      <c r="H754" s="2"/>
      <c r="I754" s="2"/>
      <c r="J754" s="2"/>
      <c r="K754" s="2"/>
      <c r="L754" s="2"/>
      <c r="M754" s="2"/>
      <c r="N754" s="2"/>
      <c r="O754" s="2"/>
    </row>
    <row r="755" spans="1:15" s="3" customFormat="1">
      <c r="A755" s="4"/>
      <c r="C755" s="2"/>
      <c r="D755" s="2"/>
      <c r="E755" s="2"/>
      <c r="F755" s="2"/>
      <c r="G755" s="2"/>
      <c r="H755" s="2"/>
      <c r="I755" s="2"/>
      <c r="J755" s="2"/>
      <c r="K755" s="2"/>
      <c r="L755" s="2"/>
      <c r="M755" s="2"/>
      <c r="N755" s="2"/>
      <c r="O755" s="2"/>
    </row>
    <row r="756" spans="1:15" s="3" customFormat="1">
      <c r="A756" s="4"/>
      <c r="C756" s="2"/>
      <c r="D756" s="2"/>
      <c r="E756" s="2"/>
      <c r="F756" s="2"/>
      <c r="G756" s="2"/>
      <c r="H756" s="2"/>
      <c r="I756" s="2"/>
      <c r="J756" s="2"/>
      <c r="K756" s="2"/>
      <c r="L756" s="2"/>
      <c r="M756" s="2"/>
      <c r="N756" s="2"/>
      <c r="O756" s="2"/>
    </row>
    <row r="757" spans="1:15" s="3" customFormat="1">
      <c r="A757" s="4"/>
      <c r="C757" s="2"/>
      <c r="D757" s="2"/>
      <c r="E757" s="2"/>
      <c r="F757" s="2"/>
      <c r="G757" s="2"/>
      <c r="H757" s="2"/>
      <c r="I757" s="2"/>
      <c r="J757" s="2"/>
      <c r="K757" s="2"/>
      <c r="L757" s="2"/>
      <c r="M757" s="2"/>
      <c r="N757" s="2"/>
      <c r="O757" s="2"/>
    </row>
    <row r="758" spans="1:15" s="3" customFormat="1">
      <c r="A758" s="4"/>
      <c r="C758" s="2"/>
      <c r="D758" s="2"/>
      <c r="E758" s="2"/>
      <c r="F758" s="2"/>
      <c r="G758" s="2"/>
      <c r="H758" s="2"/>
      <c r="I758" s="2"/>
      <c r="J758" s="2"/>
      <c r="K758" s="2"/>
      <c r="L758" s="2"/>
      <c r="M758" s="2"/>
      <c r="N758" s="2"/>
      <c r="O758" s="2"/>
    </row>
    <row r="759" spans="1:15" s="3" customFormat="1">
      <c r="A759" s="4"/>
      <c r="C759" s="2"/>
      <c r="D759" s="2"/>
      <c r="E759" s="2"/>
      <c r="F759" s="2"/>
      <c r="G759" s="2"/>
      <c r="H759" s="2"/>
      <c r="I759" s="2"/>
      <c r="J759" s="2"/>
      <c r="K759" s="2"/>
      <c r="L759" s="2"/>
      <c r="M759" s="2"/>
      <c r="N759" s="2"/>
      <c r="O759" s="2"/>
    </row>
    <row r="760" spans="1:15" s="3" customFormat="1">
      <c r="A760" s="4"/>
      <c r="C760" s="2"/>
      <c r="D760" s="2"/>
      <c r="E760" s="2"/>
      <c r="F760" s="2"/>
      <c r="G760" s="2"/>
      <c r="H760" s="2"/>
      <c r="I760" s="2"/>
      <c r="J760" s="2"/>
      <c r="K760" s="2"/>
      <c r="L760" s="2"/>
      <c r="M760" s="2"/>
      <c r="N760" s="2"/>
      <c r="O760" s="2"/>
    </row>
    <row r="761" spans="1:15" s="3" customFormat="1">
      <c r="A761" s="4"/>
      <c r="C761" s="2"/>
      <c r="D761" s="2"/>
      <c r="E761" s="2"/>
      <c r="F761" s="2"/>
      <c r="G761" s="2"/>
      <c r="H761" s="2"/>
      <c r="I761" s="2"/>
      <c r="J761" s="2"/>
      <c r="K761" s="2"/>
      <c r="L761" s="2"/>
      <c r="M761" s="2"/>
      <c r="N761" s="2"/>
      <c r="O761" s="2"/>
    </row>
    <row r="762" spans="1:15" s="3" customFormat="1">
      <c r="A762" s="4"/>
      <c r="C762" s="2"/>
      <c r="D762" s="2"/>
      <c r="E762" s="2"/>
      <c r="F762" s="2"/>
      <c r="G762" s="2"/>
      <c r="H762" s="2"/>
      <c r="I762" s="2"/>
      <c r="J762" s="2"/>
      <c r="K762" s="2"/>
      <c r="L762" s="2"/>
      <c r="M762" s="2"/>
      <c r="N762" s="2"/>
      <c r="O762" s="2"/>
    </row>
    <row r="763" spans="1:15" s="3" customFormat="1">
      <c r="A763" s="4"/>
      <c r="C763" s="2"/>
      <c r="D763" s="2"/>
      <c r="E763" s="2"/>
      <c r="F763" s="2"/>
      <c r="G763" s="2"/>
      <c r="H763" s="2"/>
      <c r="I763" s="2"/>
      <c r="J763" s="2"/>
      <c r="K763" s="2"/>
      <c r="L763" s="2"/>
      <c r="M763" s="2"/>
      <c r="N763" s="2"/>
      <c r="O763" s="2"/>
    </row>
    <row r="764" spans="1:15" s="3" customFormat="1">
      <c r="A764" s="4"/>
      <c r="C764" s="2"/>
      <c r="D764" s="2"/>
      <c r="E764" s="2"/>
      <c r="F764" s="2"/>
      <c r="G764" s="2"/>
      <c r="H764" s="2"/>
      <c r="I764" s="2"/>
      <c r="J764" s="2"/>
      <c r="K764" s="2"/>
      <c r="L764" s="2"/>
      <c r="M764" s="2"/>
      <c r="N764" s="2"/>
      <c r="O764" s="2"/>
    </row>
    <row r="765" spans="1:15" s="3" customFormat="1">
      <c r="A765" s="4"/>
      <c r="C765" s="2"/>
      <c r="D765" s="2"/>
      <c r="E765" s="2"/>
      <c r="F765" s="2"/>
      <c r="G765" s="2"/>
      <c r="H765" s="2"/>
      <c r="I765" s="2"/>
      <c r="J765" s="2"/>
      <c r="K765" s="2"/>
      <c r="L765" s="2"/>
      <c r="M765" s="2"/>
      <c r="N765" s="2"/>
      <c r="O765" s="2"/>
    </row>
    <row r="766" spans="1:15" s="3" customFormat="1">
      <c r="A766" s="4"/>
      <c r="C766" s="2"/>
      <c r="D766" s="2"/>
      <c r="E766" s="2"/>
      <c r="F766" s="2"/>
      <c r="G766" s="2"/>
      <c r="H766" s="2"/>
      <c r="I766" s="2"/>
      <c r="J766" s="2"/>
      <c r="K766" s="2"/>
      <c r="L766" s="2"/>
      <c r="M766" s="2"/>
      <c r="N766" s="2"/>
      <c r="O766" s="2"/>
    </row>
    <row r="767" spans="1:15" s="3" customFormat="1">
      <c r="A767" s="4"/>
      <c r="C767" s="2"/>
      <c r="D767" s="2"/>
      <c r="E767" s="2"/>
      <c r="F767" s="2"/>
      <c r="G767" s="2"/>
      <c r="H767" s="2"/>
      <c r="I767" s="2"/>
      <c r="J767" s="2"/>
      <c r="K767" s="2"/>
      <c r="L767" s="2"/>
      <c r="M767" s="2"/>
      <c r="N767" s="2"/>
      <c r="O767" s="2"/>
    </row>
    <row r="768" spans="1:15" s="3" customFormat="1">
      <c r="A768" s="4"/>
      <c r="C768" s="2"/>
      <c r="D768" s="2"/>
      <c r="E768" s="2"/>
      <c r="F768" s="2"/>
      <c r="G768" s="2"/>
      <c r="H768" s="2"/>
      <c r="I768" s="2"/>
      <c r="J768" s="2"/>
      <c r="K768" s="2"/>
      <c r="L768" s="2"/>
      <c r="M768" s="2"/>
      <c r="N768" s="2"/>
      <c r="O768" s="2"/>
    </row>
    <row r="769" spans="1:15" s="3" customFormat="1">
      <c r="A769" s="4"/>
      <c r="C769" s="2"/>
      <c r="D769" s="2"/>
      <c r="E769" s="2"/>
      <c r="F769" s="2"/>
      <c r="G769" s="2"/>
      <c r="H769" s="2"/>
      <c r="I769" s="2"/>
      <c r="J769" s="2"/>
      <c r="K769" s="2"/>
      <c r="L769" s="2"/>
      <c r="M769" s="2"/>
      <c r="N769" s="2"/>
      <c r="O769" s="2"/>
    </row>
    <row r="770" spans="1:15" s="3" customFormat="1">
      <c r="A770" s="4"/>
      <c r="C770" s="2"/>
      <c r="D770" s="2"/>
      <c r="E770" s="2"/>
      <c r="F770" s="2"/>
      <c r="G770" s="2"/>
      <c r="H770" s="2"/>
      <c r="I770" s="2"/>
      <c r="J770" s="2"/>
      <c r="K770" s="2"/>
      <c r="L770" s="2"/>
      <c r="M770" s="2"/>
      <c r="N770" s="2"/>
      <c r="O770" s="2"/>
    </row>
    <row r="771" spans="1:15" s="3" customFormat="1">
      <c r="A771" s="4"/>
      <c r="C771" s="2"/>
      <c r="D771" s="2"/>
      <c r="E771" s="2"/>
      <c r="F771" s="2"/>
      <c r="G771" s="2"/>
      <c r="H771" s="2"/>
      <c r="I771" s="2"/>
      <c r="J771" s="2"/>
      <c r="K771" s="2"/>
      <c r="L771" s="2"/>
      <c r="M771" s="2"/>
      <c r="N771" s="2"/>
      <c r="O771" s="2"/>
    </row>
    <row r="772" spans="1:15" s="3" customFormat="1">
      <c r="A772" s="4"/>
      <c r="C772" s="2"/>
      <c r="D772" s="2"/>
      <c r="E772" s="2"/>
      <c r="F772" s="2"/>
      <c r="G772" s="2"/>
      <c r="H772" s="2"/>
      <c r="I772" s="2"/>
      <c r="J772" s="2"/>
      <c r="K772" s="2"/>
      <c r="L772" s="2"/>
      <c r="M772" s="2"/>
      <c r="N772" s="2"/>
      <c r="O772" s="2"/>
    </row>
    <row r="773" spans="1:15" s="3" customFormat="1">
      <c r="A773" s="4"/>
      <c r="C773" s="2"/>
      <c r="D773" s="2"/>
      <c r="E773" s="2"/>
      <c r="F773" s="2"/>
      <c r="G773" s="2"/>
      <c r="H773" s="2"/>
      <c r="I773" s="2"/>
      <c r="J773" s="2"/>
      <c r="K773" s="2"/>
      <c r="L773" s="2"/>
      <c r="M773" s="2"/>
      <c r="N773" s="2"/>
      <c r="O773" s="2"/>
    </row>
    <row r="774" spans="1:15" s="3" customFormat="1">
      <c r="A774" s="4"/>
      <c r="C774" s="2"/>
      <c r="D774" s="2"/>
      <c r="E774" s="2"/>
      <c r="F774" s="2"/>
      <c r="G774" s="2"/>
      <c r="H774" s="2"/>
      <c r="I774" s="2"/>
      <c r="J774" s="2"/>
      <c r="K774" s="2"/>
      <c r="L774" s="2"/>
      <c r="M774" s="2"/>
      <c r="N774" s="2"/>
      <c r="O774" s="2"/>
    </row>
    <row r="775" spans="1:15" s="3" customFormat="1">
      <c r="A775" s="4"/>
      <c r="C775" s="2"/>
      <c r="D775" s="2"/>
      <c r="E775" s="2"/>
      <c r="F775" s="2"/>
      <c r="G775" s="2"/>
      <c r="H775" s="2"/>
      <c r="I775" s="2"/>
      <c r="J775" s="2"/>
      <c r="K775" s="2"/>
      <c r="L775" s="2"/>
      <c r="M775" s="2"/>
      <c r="N775" s="2"/>
      <c r="O775" s="2"/>
    </row>
    <row r="776" spans="1:15" s="3" customFormat="1">
      <c r="A776" s="4"/>
      <c r="C776" s="2"/>
      <c r="D776" s="2"/>
      <c r="E776" s="2"/>
      <c r="F776" s="2"/>
      <c r="G776" s="2"/>
      <c r="H776" s="2"/>
      <c r="I776" s="2"/>
      <c r="J776" s="2"/>
      <c r="K776" s="2"/>
      <c r="L776" s="2"/>
      <c r="M776" s="2"/>
      <c r="N776" s="2"/>
      <c r="O776" s="2"/>
    </row>
    <row r="777" spans="1:15" s="3" customFormat="1">
      <c r="A777" s="4"/>
      <c r="C777" s="2"/>
      <c r="D777" s="2"/>
      <c r="E777" s="2"/>
      <c r="F777" s="2"/>
      <c r="G777" s="2"/>
      <c r="H777" s="2"/>
      <c r="I777" s="2"/>
      <c r="J777" s="2"/>
      <c r="K777" s="2"/>
      <c r="L777" s="2"/>
      <c r="M777" s="2"/>
      <c r="N777" s="2"/>
      <c r="O777" s="2"/>
    </row>
    <row r="778" spans="1:15" s="3" customFormat="1">
      <c r="A778" s="4"/>
      <c r="C778" s="2"/>
      <c r="D778" s="2"/>
      <c r="E778" s="2"/>
      <c r="F778" s="2"/>
      <c r="G778" s="2"/>
      <c r="H778" s="2"/>
      <c r="I778" s="2"/>
      <c r="J778" s="2"/>
      <c r="K778" s="2"/>
      <c r="L778" s="2"/>
      <c r="M778" s="2"/>
      <c r="N778" s="2"/>
      <c r="O778" s="2"/>
    </row>
    <row r="779" spans="1:15" s="3" customFormat="1">
      <c r="A779" s="4"/>
      <c r="C779" s="2"/>
      <c r="D779" s="2"/>
      <c r="E779" s="2"/>
      <c r="F779" s="2"/>
      <c r="G779" s="2"/>
      <c r="H779" s="2"/>
      <c r="I779" s="2"/>
      <c r="J779" s="2"/>
      <c r="K779" s="2"/>
      <c r="L779" s="2"/>
      <c r="M779" s="2"/>
      <c r="N779" s="2"/>
      <c r="O779" s="2"/>
    </row>
    <row r="780" spans="1:15" s="3" customFormat="1">
      <c r="A780" s="4"/>
      <c r="C780" s="2"/>
      <c r="D780" s="2"/>
      <c r="E780" s="2"/>
      <c r="F780" s="2"/>
      <c r="G780" s="2"/>
      <c r="H780" s="2"/>
      <c r="I780" s="2"/>
      <c r="J780" s="2"/>
      <c r="K780" s="2"/>
      <c r="L780" s="2"/>
      <c r="M780" s="2"/>
      <c r="N780" s="2"/>
      <c r="O780" s="2"/>
    </row>
    <row r="781" spans="1:15" s="3" customFormat="1">
      <c r="A781" s="4"/>
      <c r="C781" s="2"/>
      <c r="D781" s="2"/>
      <c r="E781" s="2"/>
      <c r="F781" s="2"/>
      <c r="G781" s="2"/>
      <c r="H781" s="2"/>
      <c r="I781" s="2"/>
      <c r="J781" s="2"/>
      <c r="K781" s="2"/>
      <c r="L781" s="2"/>
      <c r="M781" s="2"/>
      <c r="N781" s="2"/>
      <c r="O781" s="2"/>
    </row>
    <row r="782" spans="1:15" s="3" customFormat="1">
      <c r="A782" s="4"/>
      <c r="C782" s="2"/>
      <c r="D782" s="2"/>
      <c r="E782" s="2"/>
      <c r="F782" s="2"/>
      <c r="G782" s="2"/>
      <c r="H782" s="2"/>
      <c r="I782" s="2"/>
      <c r="J782" s="2"/>
      <c r="K782" s="2"/>
      <c r="L782" s="2"/>
      <c r="M782" s="2"/>
      <c r="N782" s="2"/>
      <c r="O782" s="2"/>
    </row>
    <row r="783" spans="1:15" s="3" customFormat="1">
      <c r="A783" s="4"/>
      <c r="C783" s="2"/>
      <c r="D783" s="2"/>
      <c r="E783" s="2"/>
      <c r="F783" s="2"/>
      <c r="G783" s="2"/>
      <c r="H783" s="2"/>
      <c r="I783" s="2"/>
      <c r="J783" s="2"/>
      <c r="K783" s="2"/>
      <c r="L783" s="2"/>
      <c r="M783" s="2"/>
      <c r="N783" s="2"/>
      <c r="O783" s="2"/>
    </row>
    <row r="784" spans="1:15" s="3" customFormat="1">
      <c r="A784" s="4"/>
      <c r="C784" s="2"/>
      <c r="D784" s="2"/>
      <c r="E784" s="2"/>
      <c r="F784" s="2"/>
      <c r="G784" s="2"/>
      <c r="H784" s="2"/>
      <c r="I784" s="2"/>
      <c r="J784" s="2"/>
      <c r="K784" s="2"/>
      <c r="L784" s="2"/>
      <c r="M784" s="2"/>
      <c r="N784" s="2"/>
      <c r="O784" s="2"/>
    </row>
    <row r="785" spans="1:15" s="3" customFormat="1">
      <c r="A785" s="4"/>
      <c r="C785" s="2"/>
      <c r="D785" s="2"/>
      <c r="E785" s="2"/>
      <c r="F785" s="2"/>
      <c r="G785" s="2"/>
      <c r="H785" s="2"/>
      <c r="I785" s="2"/>
      <c r="J785" s="2"/>
      <c r="K785" s="2"/>
      <c r="L785" s="2"/>
      <c r="M785" s="2"/>
      <c r="N785" s="2"/>
      <c r="O785" s="2"/>
    </row>
    <row r="786" spans="1:15" s="3" customFormat="1">
      <c r="A786" s="4"/>
      <c r="C786" s="2"/>
      <c r="D786" s="2"/>
      <c r="E786" s="2"/>
      <c r="F786" s="2"/>
      <c r="G786" s="2"/>
      <c r="H786" s="2"/>
      <c r="I786" s="2"/>
      <c r="J786" s="2"/>
      <c r="K786" s="2"/>
      <c r="L786" s="2"/>
      <c r="M786" s="2"/>
      <c r="N786" s="2"/>
      <c r="O786" s="2"/>
    </row>
    <row r="787" spans="1:15" s="3" customFormat="1">
      <c r="A787" s="4"/>
      <c r="C787" s="2"/>
      <c r="D787" s="2"/>
      <c r="E787" s="2"/>
      <c r="F787" s="2"/>
      <c r="G787" s="2"/>
      <c r="H787" s="2"/>
      <c r="I787" s="2"/>
      <c r="J787" s="2"/>
      <c r="K787" s="2"/>
      <c r="L787" s="2"/>
      <c r="M787" s="2"/>
      <c r="N787" s="2"/>
      <c r="O787" s="2"/>
    </row>
    <row r="788" spans="1:15" s="3" customFormat="1">
      <c r="A788" s="4"/>
      <c r="C788" s="2"/>
      <c r="D788" s="2"/>
      <c r="E788" s="2"/>
      <c r="F788" s="2"/>
      <c r="G788" s="2"/>
      <c r="H788" s="2"/>
      <c r="I788" s="2"/>
      <c r="J788" s="2"/>
      <c r="K788" s="2"/>
      <c r="L788" s="2"/>
      <c r="M788" s="2"/>
      <c r="N788" s="2"/>
      <c r="O788" s="2"/>
    </row>
    <row r="789" spans="1:15" s="3" customFormat="1">
      <c r="A789" s="4"/>
      <c r="C789" s="2"/>
      <c r="D789" s="2"/>
      <c r="E789" s="2"/>
      <c r="F789" s="2"/>
      <c r="G789" s="2"/>
      <c r="H789" s="2"/>
      <c r="I789" s="2"/>
      <c r="J789" s="2"/>
      <c r="K789" s="2"/>
      <c r="L789" s="2"/>
      <c r="M789" s="2"/>
      <c r="N789" s="2"/>
      <c r="O789" s="2"/>
    </row>
    <row r="790" spans="1:15" s="3" customFormat="1">
      <c r="A790" s="4"/>
      <c r="C790" s="2"/>
      <c r="D790" s="2"/>
      <c r="E790" s="2"/>
      <c r="F790" s="2"/>
      <c r="G790" s="2"/>
      <c r="H790" s="2"/>
      <c r="I790" s="2"/>
      <c r="J790" s="2"/>
      <c r="K790" s="2"/>
      <c r="L790" s="2"/>
      <c r="M790" s="2"/>
      <c r="N790" s="2"/>
      <c r="O790" s="2"/>
    </row>
    <row r="791" spans="1:15" s="3" customFormat="1">
      <c r="A791" s="4"/>
      <c r="C791" s="2"/>
      <c r="D791" s="2"/>
      <c r="E791" s="2"/>
      <c r="F791" s="2"/>
      <c r="G791" s="2"/>
      <c r="H791" s="2"/>
      <c r="I791" s="2"/>
      <c r="J791" s="2"/>
      <c r="K791" s="2"/>
      <c r="L791" s="2"/>
      <c r="M791" s="2"/>
      <c r="N791" s="2"/>
      <c r="O791" s="2"/>
    </row>
    <row r="792" spans="1:15" s="3" customFormat="1">
      <c r="A792" s="4"/>
      <c r="C792" s="2"/>
      <c r="D792" s="2"/>
      <c r="E792" s="2"/>
      <c r="F792" s="2"/>
      <c r="G792" s="2"/>
      <c r="H792" s="2"/>
      <c r="I792" s="2"/>
      <c r="J792" s="2"/>
      <c r="K792" s="2"/>
      <c r="L792" s="2"/>
      <c r="M792" s="2"/>
      <c r="N792" s="2"/>
      <c r="O792" s="2"/>
    </row>
    <row r="793" spans="1:15" s="3" customFormat="1">
      <c r="A793" s="4"/>
      <c r="C793" s="2"/>
      <c r="D793" s="2"/>
      <c r="E793" s="2"/>
      <c r="F793" s="2"/>
      <c r="G793" s="2"/>
      <c r="H793" s="2"/>
      <c r="I793" s="2"/>
      <c r="J793" s="2"/>
      <c r="K793" s="2"/>
      <c r="L793" s="2"/>
      <c r="M793" s="2"/>
      <c r="N793" s="2"/>
      <c r="O793" s="2"/>
    </row>
    <row r="794" spans="1:15" s="3" customFormat="1">
      <c r="A794" s="4"/>
      <c r="C794" s="2"/>
      <c r="D794" s="2"/>
      <c r="E794" s="2"/>
      <c r="F794" s="2"/>
      <c r="G794" s="2"/>
      <c r="H794" s="2"/>
      <c r="I794" s="2"/>
      <c r="J794" s="2"/>
      <c r="K794" s="2"/>
      <c r="L794" s="2"/>
      <c r="M794" s="2"/>
      <c r="N794" s="2"/>
      <c r="O794" s="2"/>
    </row>
    <row r="795" spans="1:15" s="3" customFormat="1">
      <c r="A795" s="4"/>
      <c r="C795" s="2"/>
      <c r="D795" s="2"/>
      <c r="E795" s="2"/>
      <c r="F795" s="2"/>
      <c r="G795" s="2"/>
      <c r="H795" s="2"/>
      <c r="I795" s="2"/>
      <c r="J795" s="2"/>
      <c r="K795" s="2"/>
      <c r="L795" s="2"/>
      <c r="M795" s="2"/>
      <c r="N795" s="2"/>
      <c r="O795" s="2"/>
    </row>
    <row r="796" spans="1:15" s="3" customFormat="1">
      <c r="A796" s="4"/>
      <c r="C796" s="2"/>
      <c r="D796" s="2"/>
      <c r="E796" s="2"/>
      <c r="F796" s="2"/>
      <c r="G796" s="2"/>
      <c r="H796" s="2"/>
      <c r="I796" s="2"/>
      <c r="J796" s="2"/>
      <c r="K796" s="2"/>
      <c r="L796" s="2"/>
      <c r="M796" s="2"/>
      <c r="N796" s="2"/>
      <c r="O796" s="2"/>
    </row>
    <row r="797" spans="1:15" s="3" customFormat="1">
      <c r="A797" s="4"/>
      <c r="C797" s="2"/>
      <c r="D797" s="2"/>
      <c r="E797" s="2"/>
      <c r="F797" s="2"/>
      <c r="G797" s="2"/>
      <c r="H797" s="2"/>
      <c r="I797" s="2"/>
      <c r="J797" s="2"/>
      <c r="K797" s="2"/>
      <c r="L797" s="2"/>
      <c r="M797" s="2"/>
      <c r="N797" s="2"/>
      <c r="O797" s="2"/>
    </row>
    <row r="798" spans="1:15" s="3" customFormat="1">
      <c r="A798" s="4"/>
      <c r="C798" s="2"/>
      <c r="D798" s="2"/>
      <c r="E798" s="2"/>
      <c r="F798" s="2"/>
      <c r="G798" s="2"/>
      <c r="H798" s="2"/>
      <c r="I798" s="2"/>
      <c r="J798" s="2"/>
      <c r="K798" s="2"/>
      <c r="L798" s="2"/>
      <c r="M798" s="2"/>
      <c r="N798" s="2"/>
      <c r="O798" s="2"/>
    </row>
    <row r="799" spans="1:15" s="3" customFormat="1">
      <c r="A799" s="4"/>
      <c r="C799" s="2"/>
      <c r="D799" s="2"/>
      <c r="E799" s="2"/>
      <c r="F799" s="2"/>
      <c r="G799" s="2"/>
      <c r="H799" s="2"/>
      <c r="I799" s="2"/>
      <c r="J799" s="2"/>
      <c r="K799" s="2"/>
      <c r="L799" s="2"/>
      <c r="M799" s="2"/>
      <c r="N799" s="2"/>
      <c r="O799" s="2"/>
    </row>
    <row r="800" spans="1:15" s="3" customFormat="1">
      <c r="A800" s="4"/>
      <c r="C800" s="2"/>
      <c r="D800" s="2"/>
      <c r="E800" s="2"/>
      <c r="F800" s="2"/>
      <c r="G800" s="2"/>
      <c r="H800" s="2"/>
      <c r="I800" s="2"/>
      <c r="J800" s="2"/>
      <c r="K800" s="2"/>
      <c r="L800" s="2"/>
      <c r="M800" s="2"/>
      <c r="N800" s="2"/>
      <c r="O800" s="2"/>
    </row>
    <row r="801" spans="1:15" s="3" customFormat="1">
      <c r="A801" s="4"/>
      <c r="C801" s="2"/>
      <c r="D801" s="2"/>
      <c r="E801" s="2"/>
      <c r="F801" s="2"/>
      <c r="G801" s="2"/>
      <c r="H801" s="2"/>
      <c r="I801" s="2"/>
      <c r="J801" s="2"/>
      <c r="K801" s="2"/>
      <c r="L801" s="2"/>
      <c r="M801" s="2"/>
      <c r="N801" s="2"/>
      <c r="O801" s="2"/>
    </row>
    <row r="802" spans="1:15" s="3" customFormat="1">
      <c r="A802" s="4"/>
      <c r="C802" s="2"/>
      <c r="D802" s="2"/>
      <c r="E802" s="2"/>
      <c r="F802" s="2"/>
      <c r="G802" s="2"/>
      <c r="H802" s="2"/>
      <c r="I802" s="2"/>
      <c r="J802" s="2"/>
      <c r="K802" s="2"/>
      <c r="L802" s="2"/>
      <c r="M802" s="2"/>
      <c r="N802" s="2"/>
      <c r="O802" s="2"/>
    </row>
    <row r="803" spans="1:15" s="3" customFormat="1">
      <c r="A803" s="4"/>
      <c r="C803" s="2"/>
      <c r="D803" s="2"/>
      <c r="E803" s="2"/>
      <c r="F803" s="2"/>
      <c r="G803" s="2"/>
      <c r="H803" s="2"/>
      <c r="I803" s="2"/>
      <c r="J803" s="2"/>
      <c r="K803" s="2"/>
      <c r="L803" s="2"/>
      <c r="M803" s="2"/>
      <c r="N803" s="2"/>
      <c r="O803" s="2"/>
    </row>
    <row r="804" spans="1:15" s="3" customFormat="1">
      <c r="A804" s="4"/>
      <c r="C804" s="2"/>
      <c r="D804" s="2"/>
      <c r="E804" s="2"/>
      <c r="F804" s="2"/>
      <c r="G804" s="2"/>
      <c r="H804" s="2"/>
      <c r="I804" s="2"/>
      <c r="J804" s="2"/>
      <c r="K804" s="2"/>
      <c r="L804" s="2"/>
      <c r="M804" s="2"/>
      <c r="N804" s="2"/>
      <c r="O804" s="2"/>
    </row>
    <row r="805" spans="1:15" s="3" customFormat="1">
      <c r="A805" s="4"/>
      <c r="C805" s="2"/>
      <c r="D805" s="2"/>
      <c r="E805" s="2"/>
      <c r="F805" s="2"/>
      <c r="G805" s="2"/>
      <c r="H805" s="2"/>
      <c r="I805" s="2"/>
      <c r="J805" s="2"/>
      <c r="K805" s="2"/>
      <c r="L805" s="2"/>
      <c r="M805" s="2"/>
      <c r="N805" s="2"/>
      <c r="O805" s="2"/>
    </row>
    <row r="806" spans="1:15" s="3" customFormat="1">
      <c r="A806" s="4"/>
      <c r="C806" s="2"/>
      <c r="D806" s="2"/>
      <c r="E806" s="2"/>
      <c r="F806" s="2"/>
      <c r="G806" s="2"/>
      <c r="H806" s="2"/>
      <c r="I806" s="2"/>
      <c r="J806" s="2"/>
      <c r="K806" s="2"/>
      <c r="L806" s="2"/>
      <c r="M806" s="2"/>
      <c r="N806" s="2"/>
      <c r="O806" s="2"/>
    </row>
    <row r="807" spans="1:15" s="3" customFormat="1">
      <c r="A807" s="4"/>
      <c r="C807" s="2"/>
      <c r="D807" s="2"/>
      <c r="E807" s="2"/>
      <c r="F807" s="2"/>
      <c r="G807" s="2"/>
      <c r="H807" s="2"/>
      <c r="I807" s="2"/>
      <c r="J807" s="2"/>
      <c r="K807" s="2"/>
      <c r="L807" s="2"/>
      <c r="M807" s="2"/>
      <c r="N807" s="2"/>
      <c r="O807" s="2"/>
    </row>
    <row r="808" spans="1:15" s="3" customFormat="1">
      <c r="A808" s="4"/>
      <c r="C808" s="2"/>
      <c r="D808" s="2"/>
      <c r="E808" s="2"/>
      <c r="F808" s="2"/>
      <c r="G808" s="2"/>
      <c r="H808" s="2"/>
      <c r="I808" s="2"/>
      <c r="J808" s="2"/>
      <c r="K808" s="2"/>
      <c r="L808" s="2"/>
      <c r="M808" s="2"/>
      <c r="N808" s="2"/>
      <c r="O808" s="2"/>
    </row>
    <row r="809" spans="1:15" s="3" customFormat="1">
      <c r="A809" s="4"/>
      <c r="C809" s="2"/>
      <c r="D809" s="2"/>
      <c r="E809" s="2"/>
      <c r="F809" s="2"/>
      <c r="G809" s="2"/>
      <c r="H809" s="2"/>
      <c r="I809" s="2"/>
      <c r="J809" s="2"/>
      <c r="K809" s="2"/>
      <c r="L809" s="2"/>
      <c r="M809" s="2"/>
      <c r="N809" s="2"/>
      <c r="O809" s="2"/>
    </row>
    <row r="810" spans="1:15" s="3" customFormat="1">
      <c r="A810" s="4"/>
      <c r="C810" s="2"/>
      <c r="D810" s="2"/>
      <c r="E810" s="2"/>
      <c r="F810" s="2"/>
      <c r="G810" s="2"/>
      <c r="H810" s="2"/>
      <c r="I810" s="2"/>
      <c r="J810" s="2"/>
      <c r="K810" s="2"/>
      <c r="L810" s="2"/>
      <c r="M810" s="2"/>
      <c r="N810" s="2"/>
      <c r="O810" s="2"/>
    </row>
    <row r="811" spans="1:15" s="3" customFormat="1">
      <c r="A811" s="4"/>
      <c r="C811" s="2"/>
      <c r="D811" s="2"/>
      <c r="E811" s="2"/>
      <c r="F811" s="2"/>
      <c r="G811" s="2"/>
      <c r="H811" s="2"/>
      <c r="I811" s="2"/>
      <c r="J811" s="2"/>
      <c r="K811" s="2"/>
      <c r="L811" s="2"/>
      <c r="M811" s="2"/>
      <c r="N811" s="2"/>
      <c r="O811" s="2"/>
    </row>
    <row r="812" spans="1:15" s="3" customFormat="1">
      <c r="A812" s="4"/>
      <c r="C812" s="2"/>
      <c r="D812" s="2"/>
      <c r="E812" s="2"/>
      <c r="F812" s="2"/>
      <c r="G812" s="2"/>
      <c r="H812" s="2"/>
      <c r="I812" s="2"/>
      <c r="J812" s="2"/>
      <c r="K812" s="2"/>
      <c r="L812" s="2"/>
      <c r="M812" s="2"/>
      <c r="N812" s="2"/>
      <c r="O812" s="2"/>
    </row>
    <row r="813" spans="1:15" s="3" customFormat="1">
      <c r="A813" s="4"/>
      <c r="C813" s="2"/>
      <c r="D813" s="2"/>
      <c r="E813" s="2"/>
      <c r="F813" s="2"/>
      <c r="G813" s="2"/>
      <c r="H813" s="2"/>
      <c r="I813" s="2"/>
      <c r="J813" s="2"/>
      <c r="K813" s="2"/>
      <c r="L813" s="2"/>
      <c r="M813" s="2"/>
      <c r="N813" s="2"/>
      <c r="O813" s="2"/>
    </row>
    <row r="814" spans="1:15" s="3" customFormat="1">
      <c r="A814" s="4"/>
      <c r="C814" s="2"/>
      <c r="D814" s="2"/>
      <c r="E814" s="2"/>
      <c r="F814" s="2"/>
      <c r="G814" s="2"/>
      <c r="H814" s="2"/>
      <c r="I814" s="2"/>
      <c r="J814" s="2"/>
      <c r="K814" s="2"/>
      <c r="L814" s="2"/>
      <c r="M814" s="2"/>
      <c r="N814" s="2"/>
      <c r="O814" s="2"/>
    </row>
    <row r="815" spans="1:15" s="3" customFormat="1">
      <c r="A815" s="4"/>
      <c r="C815" s="2"/>
      <c r="D815" s="2"/>
      <c r="E815" s="2"/>
      <c r="F815" s="2"/>
      <c r="G815" s="2"/>
      <c r="H815" s="2"/>
      <c r="I815" s="2"/>
      <c r="J815" s="2"/>
      <c r="K815" s="2"/>
      <c r="L815" s="2"/>
      <c r="M815" s="2"/>
      <c r="N815" s="2"/>
      <c r="O815" s="2"/>
    </row>
    <row r="816" spans="1:15" s="3" customFormat="1">
      <c r="A816" s="4"/>
      <c r="C816" s="2"/>
      <c r="D816" s="2"/>
      <c r="E816" s="2"/>
      <c r="F816" s="2"/>
      <c r="G816" s="2"/>
      <c r="H816" s="2"/>
      <c r="I816" s="2"/>
      <c r="J816" s="2"/>
      <c r="K816" s="2"/>
      <c r="L816" s="2"/>
      <c r="M816" s="2"/>
      <c r="N816" s="2"/>
      <c r="O816" s="2"/>
    </row>
    <row r="817" spans="1:15" s="3" customFormat="1">
      <c r="A817" s="4"/>
      <c r="C817" s="2"/>
      <c r="D817" s="2"/>
      <c r="E817" s="2"/>
      <c r="F817" s="2"/>
      <c r="G817" s="2"/>
      <c r="H817" s="2"/>
      <c r="I817" s="2"/>
      <c r="J817" s="2"/>
      <c r="K817" s="2"/>
      <c r="L817" s="2"/>
      <c r="M817" s="2"/>
      <c r="N817" s="2"/>
      <c r="O817" s="2"/>
    </row>
    <row r="818" spans="1:15" s="3" customFormat="1">
      <c r="A818" s="4"/>
      <c r="C818" s="2"/>
      <c r="D818" s="2"/>
      <c r="E818" s="2"/>
      <c r="F818" s="2"/>
      <c r="G818" s="2"/>
      <c r="H818" s="2"/>
      <c r="I818" s="2"/>
      <c r="J818" s="2"/>
      <c r="K818" s="2"/>
      <c r="L818" s="2"/>
      <c r="M818" s="2"/>
      <c r="N818" s="2"/>
      <c r="O818" s="2"/>
    </row>
    <row r="819" spans="1:15" s="3" customFormat="1">
      <c r="A819" s="4"/>
      <c r="C819" s="2"/>
      <c r="D819" s="2"/>
      <c r="E819" s="2"/>
      <c r="F819" s="2"/>
      <c r="G819" s="2"/>
      <c r="H819" s="2"/>
      <c r="I819" s="2"/>
      <c r="J819" s="2"/>
      <c r="K819" s="2"/>
      <c r="L819" s="2"/>
      <c r="M819" s="2"/>
      <c r="N819" s="2"/>
      <c r="O819" s="2"/>
    </row>
    <row r="820" spans="1:15" s="3" customFormat="1">
      <c r="A820" s="4"/>
      <c r="C820" s="2"/>
      <c r="D820" s="2"/>
      <c r="E820" s="2"/>
      <c r="F820" s="2"/>
      <c r="G820" s="2"/>
      <c r="H820" s="2"/>
      <c r="I820" s="2"/>
      <c r="J820" s="2"/>
      <c r="K820" s="2"/>
      <c r="L820" s="2"/>
      <c r="M820" s="2"/>
      <c r="N820" s="2"/>
      <c r="O820" s="2"/>
    </row>
    <row r="821" spans="1:15" s="3" customFormat="1">
      <c r="A821" s="4"/>
      <c r="C821" s="2"/>
      <c r="D821" s="2"/>
      <c r="E821" s="2"/>
      <c r="F821" s="2"/>
      <c r="G821" s="2"/>
      <c r="H821" s="2"/>
      <c r="I821" s="2"/>
      <c r="J821" s="2"/>
      <c r="K821" s="2"/>
      <c r="L821" s="2"/>
      <c r="M821" s="2"/>
      <c r="N821" s="2"/>
      <c r="O821" s="2"/>
    </row>
    <row r="822" spans="1:15" s="3" customFormat="1">
      <c r="A822" s="4"/>
      <c r="C822" s="2"/>
      <c r="D822" s="2"/>
      <c r="E822" s="2"/>
      <c r="F822" s="2"/>
      <c r="G822" s="2"/>
      <c r="H822" s="2"/>
      <c r="I822" s="2"/>
      <c r="J822" s="2"/>
      <c r="K822" s="2"/>
      <c r="L822" s="2"/>
      <c r="M822" s="2"/>
      <c r="N822" s="2"/>
      <c r="O822" s="2"/>
    </row>
    <row r="823" spans="1:15" s="3" customFormat="1">
      <c r="A823" s="4"/>
      <c r="C823" s="2"/>
      <c r="D823" s="2"/>
      <c r="E823" s="2"/>
      <c r="F823" s="2"/>
      <c r="G823" s="2"/>
      <c r="H823" s="2"/>
      <c r="I823" s="2"/>
      <c r="J823" s="2"/>
      <c r="K823" s="2"/>
      <c r="L823" s="2"/>
      <c r="M823" s="2"/>
      <c r="N823" s="2"/>
      <c r="O823" s="2"/>
    </row>
    <row r="824" spans="1:15" s="3" customFormat="1">
      <c r="A824" s="4"/>
      <c r="C824" s="2"/>
      <c r="D824" s="2"/>
      <c r="E824" s="2"/>
      <c r="F824" s="2"/>
      <c r="G824" s="2"/>
      <c r="H824" s="2"/>
      <c r="I824" s="2"/>
      <c r="J824" s="2"/>
      <c r="K824" s="2"/>
      <c r="L824" s="2"/>
      <c r="M824" s="2"/>
      <c r="N824" s="2"/>
      <c r="O824" s="2"/>
    </row>
    <row r="825" spans="1:15" s="3" customFormat="1">
      <c r="A825" s="4"/>
      <c r="C825" s="2"/>
      <c r="D825" s="2"/>
      <c r="E825" s="2"/>
      <c r="F825" s="2"/>
      <c r="G825" s="2"/>
      <c r="H825" s="2"/>
      <c r="I825" s="2"/>
      <c r="J825" s="2"/>
      <c r="K825" s="2"/>
      <c r="L825" s="2"/>
      <c r="M825" s="2"/>
      <c r="N825" s="2"/>
      <c r="O825" s="2"/>
    </row>
    <row r="826" spans="1:15" s="3" customFormat="1">
      <c r="A826" s="4"/>
      <c r="C826" s="2"/>
      <c r="D826" s="2"/>
      <c r="E826" s="2"/>
      <c r="F826" s="2"/>
      <c r="G826" s="2"/>
      <c r="H826" s="2"/>
      <c r="I826" s="2"/>
      <c r="J826" s="2"/>
      <c r="K826" s="2"/>
      <c r="L826" s="2"/>
      <c r="M826" s="2"/>
      <c r="N826" s="2"/>
      <c r="O826" s="2"/>
    </row>
    <row r="827" spans="1:15" s="3" customFormat="1">
      <c r="A827" s="4"/>
      <c r="C827" s="2"/>
      <c r="D827" s="2"/>
      <c r="E827" s="2"/>
      <c r="F827" s="2"/>
      <c r="G827" s="2"/>
      <c r="H827" s="2"/>
      <c r="I827" s="2"/>
      <c r="J827" s="2"/>
      <c r="K827" s="2"/>
      <c r="L827" s="2"/>
      <c r="M827" s="2"/>
      <c r="N827" s="2"/>
      <c r="O827" s="2"/>
    </row>
    <row r="828" spans="1:15" s="3" customFormat="1">
      <c r="A828" s="4"/>
      <c r="C828" s="2"/>
      <c r="D828" s="2"/>
      <c r="E828" s="2"/>
      <c r="F828" s="2"/>
      <c r="G828" s="2"/>
      <c r="H828" s="2"/>
      <c r="I828" s="2"/>
      <c r="J828" s="2"/>
      <c r="K828" s="2"/>
      <c r="L828" s="2"/>
      <c r="M828" s="2"/>
      <c r="N828" s="2"/>
      <c r="O828" s="2"/>
    </row>
    <row r="829" spans="1:15" s="3" customFormat="1">
      <c r="A829" s="4"/>
      <c r="C829" s="2"/>
      <c r="D829" s="2"/>
      <c r="E829" s="2"/>
      <c r="F829" s="2"/>
      <c r="G829" s="2"/>
      <c r="H829" s="2"/>
      <c r="I829" s="2"/>
      <c r="J829" s="2"/>
      <c r="K829" s="2"/>
      <c r="L829" s="2"/>
      <c r="M829" s="2"/>
      <c r="N829" s="2"/>
      <c r="O829" s="2"/>
    </row>
    <row r="830" spans="1:15" s="3" customFormat="1">
      <c r="A830" s="4"/>
      <c r="C830" s="2"/>
      <c r="D830" s="2"/>
      <c r="E830" s="2"/>
      <c r="F830" s="2"/>
      <c r="G830" s="2"/>
      <c r="H830" s="2"/>
      <c r="I830" s="2"/>
      <c r="J830" s="2"/>
      <c r="K830" s="2"/>
      <c r="L830" s="2"/>
      <c r="M830" s="2"/>
      <c r="N830" s="2"/>
      <c r="O830" s="2"/>
    </row>
    <row r="831" spans="1:15" s="3" customFormat="1">
      <c r="A831" s="4"/>
      <c r="C831" s="2"/>
      <c r="D831" s="2"/>
      <c r="E831" s="2"/>
      <c r="F831" s="2"/>
      <c r="G831" s="2"/>
      <c r="H831" s="2"/>
      <c r="I831" s="2"/>
      <c r="J831" s="2"/>
      <c r="K831" s="2"/>
      <c r="L831" s="2"/>
      <c r="M831" s="2"/>
      <c r="N831" s="2"/>
      <c r="O831" s="2"/>
    </row>
    <row r="832" spans="1:15" s="3" customFormat="1">
      <c r="A832" s="4"/>
      <c r="C832" s="2"/>
      <c r="D832" s="2"/>
      <c r="E832" s="2"/>
      <c r="F832" s="2"/>
      <c r="G832" s="2"/>
      <c r="H832" s="2"/>
      <c r="I832" s="2"/>
      <c r="J832" s="2"/>
      <c r="K832" s="2"/>
      <c r="L832" s="2"/>
      <c r="M832" s="2"/>
      <c r="N832" s="2"/>
      <c r="O832" s="2"/>
    </row>
    <row r="833" spans="1:15" s="3" customFormat="1">
      <c r="A833" s="4"/>
      <c r="C833" s="2"/>
      <c r="D833" s="2"/>
      <c r="E833" s="2"/>
      <c r="F833" s="2"/>
      <c r="G833" s="2"/>
      <c r="H833" s="2"/>
      <c r="I833" s="2"/>
      <c r="J833" s="2"/>
      <c r="K833" s="2"/>
      <c r="L833" s="2"/>
      <c r="M833" s="2"/>
      <c r="N833" s="2"/>
      <c r="O833" s="2"/>
    </row>
    <row r="834" spans="1:15" s="3" customFormat="1">
      <c r="A834" s="4"/>
      <c r="C834" s="2"/>
      <c r="D834" s="2"/>
      <c r="E834" s="2"/>
      <c r="F834" s="2"/>
      <c r="G834" s="2"/>
      <c r="H834" s="2"/>
      <c r="I834" s="2"/>
      <c r="J834" s="2"/>
      <c r="K834" s="2"/>
      <c r="L834" s="2"/>
      <c r="M834" s="2"/>
      <c r="N834" s="2"/>
      <c r="O834" s="2"/>
    </row>
    <row r="835" spans="1:15" s="3" customFormat="1">
      <c r="A835" s="4"/>
      <c r="C835" s="2"/>
      <c r="D835" s="2"/>
      <c r="E835" s="2"/>
      <c r="F835" s="2"/>
      <c r="G835" s="2"/>
      <c r="H835" s="2"/>
      <c r="I835" s="2"/>
      <c r="J835" s="2"/>
      <c r="K835" s="2"/>
      <c r="L835" s="2"/>
      <c r="M835" s="2"/>
      <c r="N835" s="2"/>
      <c r="O835" s="2"/>
    </row>
    <row r="836" spans="1:15" s="3" customFormat="1">
      <c r="A836" s="4"/>
      <c r="C836" s="2"/>
      <c r="D836" s="2"/>
      <c r="E836" s="2"/>
      <c r="F836" s="2"/>
      <c r="G836" s="2"/>
      <c r="H836" s="2"/>
      <c r="I836" s="2"/>
      <c r="J836" s="2"/>
      <c r="K836" s="2"/>
      <c r="L836" s="2"/>
      <c r="M836" s="2"/>
      <c r="N836" s="2"/>
      <c r="O836" s="2"/>
    </row>
    <row r="837" spans="1:15" s="3" customFormat="1">
      <c r="A837" s="4"/>
      <c r="C837" s="2"/>
      <c r="D837" s="2"/>
      <c r="E837" s="2"/>
      <c r="F837" s="2"/>
      <c r="G837" s="2"/>
      <c r="H837" s="2"/>
      <c r="I837" s="2"/>
      <c r="J837" s="2"/>
      <c r="K837" s="2"/>
      <c r="L837" s="2"/>
      <c r="M837" s="2"/>
      <c r="N837" s="2"/>
      <c r="O837" s="2"/>
    </row>
    <row r="838" spans="1:15" s="3" customFormat="1">
      <c r="A838" s="4"/>
      <c r="C838" s="2"/>
      <c r="D838" s="2"/>
      <c r="E838" s="2"/>
      <c r="F838" s="2"/>
      <c r="G838" s="2"/>
      <c r="H838" s="2"/>
      <c r="I838" s="2"/>
      <c r="J838" s="2"/>
      <c r="K838" s="2"/>
      <c r="L838" s="2"/>
      <c r="M838" s="2"/>
      <c r="N838" s="2"/>
      <c r="O838" s="2"/>
    </row>
    <row r="839" spans="1:15" s="3" customFormat="1">
      <c r="A839" s="4"/>
      <c r="C839" s="2"/>
      <c r="D839" s="2"/>
      <c r="E839" s="2"/>
      <c r="F839" s="2"/>
      <c r="G839" s="2"/>
      <c r="H839" s="2"/>
      <c r="I839" s="2"/>
      <c r="J839" s="2"/>
      <c r="K839" s="2"/>
      <c r="L839" s="2"/>
      <c r="M839" s="2"/>
      <c r="N839" s="2"/>
      <c r="O839" s="2"/>
    </row>
    <row r="840" spans="1:15" s="3" customFormat="1">
      <c r="A840" s="4"/>
      <c r="C840" s="2"/>
      <c r="D840" s="2"/>
      <c r="E840" s="2"/>
      <c r="F840" s="2"/>
      <c r="G840" s="2"/>
      <c r="H840" s="2"/>
      <c r="I840" s="2"/>
      <c r="J840" s="2"/>
      <c r="K840" s="2"/>
      <c r="L840" s="2"/>
      <c r="M840" s="2"/>
      <c r="N840" s="2"/>
      <c r="O840" s="2"/>
    </row>
    <row r="841" spans="1:15" s="3" customFormat="1">
      <c r="A841" s="4"/>
      <c r="C841" s="2"/>
      <c r="D841" s="2"/>
      <c r="E841" s="2"/>
      <c r="F841" s="2"/>
      <c r="G841" s="2"/>
      <c r="H841" s="2"/>
      <c r="I841" s="2"/>
      <c r="J841" s="2"/>
      <c r="K841" s="2"/>
      <c r="L841" s="2"/>
      <c r="M841" s="2"/>
      <c r="N841" s="2"/>
      <c r="O841" s="2"/>
    </row>
    <row r="842" spans="1:15" s="3" customFormat="1">
      <c r="A842" s="4"/>
      <c r="C842" s="2"/>
      <c r="D842" s="2"/>
      <c r="E842" s="2"/>
      <c r="F842" s="2"/>
      <c r="G842" s="2"/>
      <c r="H842" s="2"/>
      <c r="I842" s="2"/>
      <c r="J842" s="2"/>
      <c r="K842" s="2"/>
      <c r="L842" s="2"/>
      <c r="M842" s="2"/>
      <c r="N842" s="2"/>
      <c r="O842" s="2"/>
    </row>
    <row r="843" spans="1:15" s="3" customFormat="1">
      <c r="A843" s="4"/>
      <c r="C843" s="2"/>
      <c r="D843" s="2"/>
      <c r="E843" s="2"/>
      <c r="F843" s="2"/>
      <c r="G843" s="2"/>
      <c r="H843" s="2"/>
      <c r="I843" s="2"/>
      <c r="J843" s="2"/>
      <c r="K843" s="2"/>
      <c r="L843" s="2"/>
      <c r="M843" s="2"/>
      <c r="N843" s="2"/>
      <c r="O843" s="2"/>
    </row>
    <row r="844" spans="1:15" s="3" customFormat="1">
      <c r="A844" s="4"/>
      <c r="C844" s="2"/>
      <c r="D844" s="2"/>
      <c r="E844" s="2"/>
      <c r="F844" s="2"/>
      <c r="G844" s="2"/>
      <c r="H844" s="2"/>
      <c r="I844" s="2"/>
      <c r="J844" s="2"/>
      <c r="K844" s="2"/>
      <c r="L844" s="2"/>
      <c r="M844" s="2"/>
      <c r="N844" s="2"/>
      <c r="O844" s="2"/>
    </row>
    <row r="845" spans="1:15" s="3" customFormat="1">
      <c r="A845" s="4"/>
      <c r="C845" s="2"/>
      <c r="D845" s="2"/>
      <c r="E845" s="2"/>
      <c r="F845" s="2"/>
      <c r="G845" s="2"/>
      <c r="H845" s="2"/>
      <c r="I845" s="2"/>
      <c r="J845" s="2"/>
      <c r="K845" s="2"/>
      <c r="L845" s="2"/>
      <c r="M845" s="2"/>
      <c r="N845" s="2"/>
      <c r="O845" s="2"/>
    </row>
    <row r="846" spans="1:15" s="3" customFormat="1">
      <c r="A846" s="4"/>
      <c r="C846" s="2"/>
      <c r="D846" s="2"/>
      <c r="E846" s="2"/>
      <c r="F846" s="2"/>
      <c r="G846" s="2"/>
      <c r="H846" s="2"/>
      <c r="I846" s="2"/>
      <c r="J846" s="2"/>
      <c r="K846" s="2"/>
      <c r="L846" s="2"/>
      <c r="M846" s="2"/>
      <c r="N846" s="2"/>
      <c r="O846" s="2"/>
    </row>
    <row r="847" spans="1:15" s="3" customFormat="1">
      <c r="A847" s="4"/>
      <c r="C847" s="2"/>
      <c r="D847" s="2"/>
      <c r="E847" s="2"/>
      <c r="F847" s="2"/>
      <c r="G847" s="2"/>
      <c r="H847" s="2"/>
      <c r="I847" s="2"/>
      <c r="J847" s="2"/>
      <c r="K847" s="2"/>
      <c r="L847" s="2"/>
      <c r="M847" s="2"/>
      <c r="N847" s="2"/>
      <c r="O847" s="2"/>
    </row>
    <row r="848" spans="1:15" s="3" customFormat="1">
      <c r="A848" s="4"/>
      <c r="C848" s="2"/>
      <c r="D848" s="2"/>
      <c r="E848" s="2"/>
      <c r="F848" s="2"/>
      <c r="G848" s="2"/>
      <c r="H848" s="2"/>
      <c r="I848" s="2"/>
      <c r="J848" s="2"/>
      <c r="K848" s="2"/>
      <c r="L848" s="2"/>
      <c r="M848" s="2"/>
      <c r="N848" s="2"/>
      <c r="O848" s="2"/>
    </row>
    <row r="849" spans="1:15" s="3" customFormat="1">
      <c r="A849" s="4"/>
      <c r="C849" s="2"/>
      <c r="D849" s="2"/>
      <c r="E849" s="2"/>
      <c r="F849" s="2"/>
      <c r="G849" s="2"/>
      <c r="H849" s="2"/>
      <c r="I849" s="2"/>
      <c r="J849" s="2"/>
      <c r="K849" s="2"/>
      <c r="L849" s="2"/>
      <c r="M849" s="2"/>
      <c r="N849" s="2"/>
      <c r="O849" s="2"/>
    </row>
    <row r="850" spans="1:15" s="3" customFormat="1">
      <c r="A850" s="4"/>
      <c r="C850" s="2"/>
      <c r="D850" s="2"/>
      <c r="E850" s="2"/>
      <c r="F850" s="2"/>
      <c r="G850" s="2"/>
      <c r="H850" s="2"/>
      <c r="I850" s="2"/>
      <c r="J850" s="2"/>
      <c r="K850" s="2"/>
      <c r="L850" s="2"/>
      <c r="M850" s="2"/>
      <c r="N850" s="2"/>
      <c r="O850" s="2"/>
    </row>
    <row r="851" spans="1:15" s="3" customFormat="1">
      <c r="A851" s="4"/>
      <c r="C851" s="2"/>
      <c r="D851" s="2"/>
      <c r="E851" s="2"/>
      <c r="F851" s="2"/>
      <c r="G851" s="2"/>
      <c r="H851" s="2"/>
      <c r="I851" s="2"/>
      <c r="J851" s="2"/>
      <c r="K851" s="2"/>
      <c r="L851" s="2"/>
      <c r="M851" s="2"/>
      <c r="N851" s="2"/>
      <c r="O851" s="2"/>
    </row>
    <row r="852" spans="1:15" s="3" customFormat="1">
      <c r="A852" s="4"/>
      <c r="C852" s="2"/>
      <c r="D852" s="2"/>
      <c r="E852" s="2"/>
      <c r="F852" s="2"/>
      <c r="G852" s="2"/>
      <c r="H852" s="2"/>
      <c r="I852" s="2"/>
      <c r="J852" s="2"/>
      <c r="K852" s="2"/>
      <c r="L852" s="2"/>
      <c r="M852" s="2"/>
      <c r="N852" s="2"/>
      <c r="O852" s="2"/>
    </row>
    <row r="853" spans="1:15" s="3" customFormat="1">
      <c r="A853" s="4"/>
      <c r="C853" s="2"/>
      <c r="D853" s="2"/>
      <c r="E853" s="2"/>
      <c r="F853" s="2"/>
      <c r="G853" s="2"/>
      <c r="H853" s="2"/>
      <c r="I853" s="2"/>
      <c r="J853" s="2"/>
      <c r="K853" s="2"/>
      <c r="L853" s="2"/>
      <c r="M853" s="2"/>
      <c r="N853" s="2"/>
      <c r="O853" s="2"/>
    </row>
    <row r="854" spans="1:15" s="3" customFormat="1">
      <c r="A854" s="4"/>
      <c r="C854" s="2"/>
      <c r="D854" s="2"/>
      <c r="E854" s="2"/>
      <c r="F854" s="2"/>
      <c r="G854" s="2"/>
      <c r="H854" s="2"/>
      <c r="I854" s="2"/>
      <c r="J854" s="2"/>
      <c r="K854" s="2"/>
      <c r="L854" s="2"/>
      <c r="M854" s="2"/>
      <c r="N854" s="2"/>
      <c r="O854" s="2"/>
    </row>
    <row r="855" spans="1:15" s="3" customFormat="1">
      <c r="A855" s="4"/>
      <c r="C855" s="2"/>
      <c r="D855" s="2"/>
      <c r="E855" s="2"/>
      <c r="F855" s="2"/>
      <c r="G855" s="2"/>
      <c r="H855" s="2"/>
      <c r="I855" s="2"/>
      <c r="J855" s="2"/>
      <c r="K855" s="2"/>
      <c r="L855" s="2"/>
      <c r="M855" s="2"/>
      <c r="N855" s="2"/>
      <c r="O855" s="2"/>
    </row>
    <row r="856" spans="1:15" s="3" customFormat="1">
      <c r="A856" s="4"/>
      <c r="C856" s="2"/>
      <c r="D856" s="2"/>
      <c r="E856" s="2"/>
      <c r="F856" s="2"/>
      <c r="G856" s="2"/>
      <c r="H856" s="2"/>
      <c r="I856" s="2"/>
      <c r="J856" s="2"/>
      <c r="K856" s="2"/>
      <c r="L856" s="2"/>
      <c r="M856" s="2"/>
      <c r="N856" s="2"/>
      <c r="O856" s="2"/>
    </row>
    <row r="857" spans="1:15" s="3" customFormat="1">
      <c r="A857" s="4"/>
      <c r="C857" s="2"/>
      <c r="D857" s="2"/>
      <c r="E857" s="2"/>
      <c r="F857" s="2"/>
      <c r="G857" s="2"/>
      <c r="H857" s="2"/>
      <c r="I857" s="2"/>
      <c r="J857" s="2"/>
      <c r="K857" s="2"/>
      <c r="L857" s="2"/>
      <c r="M857" s="2"/>
      <c r="N857" s="2"/>
      <c r="O857" s="2"/>
    </row>
    <row r="858" spans="1:15" s="3" customFormat="1">
      <c r="A858" s="4"/>
      <c r="C858" s="2"/>
      <c r="D858" s="2"/>
      <c r="E858" s="2"/>
      <c r="F858" s="2"/>
      <c r="G858" s="2"/>
      <c r="H858" s="2"/>
      <c r="I858" s="2"/>
      <c r="J858" s="2"/>
      <c r="K858" s="2"/>
      <c r="L858" s="2"/>
      <c r="M858" s="2"/>
      <c r="N858" s="2"/>
      <c r="O858" s="2"/>
    </row>
    <row r="859" spans="1:15" s="3" customFormat="1">
      <c r="A859" s="4"/>
      <c r="C859" s="2"/>
      <c r="D859" s="2"/>
      <c r="E859" s="2"/>
      <c r="F859" s="2"/>
      <c r="G859" s="2"/>
      <c r="H859" s="2"/>
      <c r="I859" s="2"/>
      <c r="J859" s="2"/>
      <c r="K859" s="2"/>
      <c r="L859" s="2"/>
      <c r="M859" s="2"/>
      <c r="N859" s="2"/>
      <c r="O859" s="2"/>
    </row>
    <row r="860" spans="1:15" s="3" customFormat="1">
      <c r="A860" s="4"/>
      <c r="C860" s="2"/>
      <c r="D860" s="2"/>
      <c r="E860" s="2"/>
      <c r="F860" s="2"/>
      <c r="G860" s="2"/>
      <c r="H860" s="2"/>
      <c r="I860" s="2"/>
      <c r="J860" s="2"/>
      <c r="K860" s="2"/>
      <c r="L860" s="2"/>
      <c r="M860" s="2"/>
      <c r="N860" s="2"/>
      <c r="O860" s="2"/>
    </row>
    <row r="861" spans="1:15" s="3" customFormat="1">
      <c r="A861" s="4"/>
      <c r="C861" s="2"/>
      <c r="D861" s="2"/>
      <c r="E861" s="2"/>
      <c r="F861" s="2"/>
      <c r="G861" s="2"/>
      <c r="H861" s="2"/>
      <c r="I861" s="2"/>
      <c r="J861" s="2"/>
      <c r="K861" s="2"/>
      <c r="L861" s="2"/>
      <c r="M861" s="2"/>
      <c r="N861" s="2"/>
      <c r="O861" s="2"/>
    </row>
    <row r="862" spans="1:15" s="3" customFormat="1">
      <c r="A862" s="4"/>
      <c r="C862" s="2"/>
      <c r="D862" s="2"/>
      <c r="E862" s="2"/>
      <c r="F862" s="2"/>
      <c r="G862" s="2"/>
      <c r="H862" s="2"/>
      <c r="I862" s="2"/>
      <c r="J862" s="2"/>
      <c r="K862" s="2"/>
      <c r="L862" s="2"/>
      <c r="M862" s="2"/>
      <c r="N862" s="2"/>
      <c r="O862" s="2"/>
    </row>
    <row r="863" spans="1:15" s="3" customFormat="1">
      <c r="A863" s="4"/>
      <c r="C863" s="2"/>
      <c r="D863" s="2"/>
      <c r="E863" s="2"/>
      <c r="F863" s="2"/>
      <c r="G863" s="2"/>
      <c r="H863" s="2"/>
      <c r="I863" s="2"/>
      <c r="J863" s="2"/>
      <c r="K863" s="2"/>
      <c r="L863" s="2"/>
      <c r="M863" s="2"/>
      <c r="N863" s="2"/>
      <c r="O863" s="2"/>
    </row>
    <row r="864" spans="1:15" s="3" customFormat="1">
      <c r="A864" s="4"/>
      <c r="C864" s="2"/>
      <c r="D864" s="2"/>
      <c r="E864" s="2"/>
      <c r="F864" s="2"/>
      <c r="G864" s="2"/>
      <c r="H864" s="2"/>
      <c r="I864" s="2"/>
      <c r="J864" s="2"/>
      <c r="K864" s="2"/>
      <c r="L864" s="2"/>
      <c r="M864" s="2"/>
      <c r="N864" s="2"/>
      <c r="O864" s="2"/>
    </row>
    <row r="865" spans="1:15" s="3" customFormat="1">
      <c r="A865" s="4"/>
      <c r="C865" s="2"/>
      <c r="D865" s="2"/>
      <c r="E865" s="2"/>
      <c r="F865" s="2"/>
      <c r="G865" s="2"/>
      <c r="H865" s="2"/>
      <c r="I865" s="2"/>
      <c r="J865" s="2"/>
      <c r="K865" s="2"/>
      <c r="L865" s="2"/>
      <c r="M865" s="2"/>
      <c r="N865" s="2"/>
      <c r="O865" s="2"/>
    </row>
    <row r="866" spans="1:15" s="3" customFormat="1">
      <c r="A866" s="4"/>
      <c r="C866" s="2"/>
      <c r="D866" s="2"/>
      <c r="E866" s="2"/>
      <c r="F866" s="2"/>
      <c r="G866" s="2"/>
      <c r="H866" s="2"/>
      <c r="I866" s="2"/>
      <c r="J866" s="2"/>
      <c r="K866" s="2"/>
      <c r="L866" s="2"/>
      <c r="M866" s="2"/>
      <c r="N866" s="2"/>
      <c r="O866" s="2"/>
    </row>
    <row r="867" spans="1:15" s="3" customFormat="1">
      <c r="A867" s="4"/>
      <c r="C867" s="2"/>
      <c r="D867" s="2"/>
      <c r="E867" s="2"/>
      <c r="F867" s="2"/>
      <c r="G867" s="2"/>
      <c r="H867" s="2"/>
      <c r="I867" s="2"/>
      <c r="J867" s="2"/>
      <c r="K867" s="2"/>
      <c r="L867" s="2"/>
      <c r="M867" s="2"/>
      <c r="N867" s="2"/>
      <c r="O867" s="2"/>
    </row>
    <row r="868" spans="1:15" s="3" customFormat="1">
      <c r="A868" s="4"/>
      <c r="C868" s="2"/>
      <c r="D868" s="2"/>
      <c r="E868" s="2"/>
      <c r="F868" s="2"/>
      <c r="G868" s="2"/>
      <c r="H868" s="2"/>
      <c r="I868" s="2"/>
      <c r="J868" s="2"/>
      <c r="K868" s="2"/>
      <c r="L868" s="2"/>
      <c r="M868" s="2"/>
      <c r="N868" s="2"/>
      <c r="O868" s="2"/>
    </row>
    <row r="869" spans="1:15" s="3" customFormat="1">
      <c r="A869" s="4"/>
      <c r="C869" s="2"/>
      <c r="D869" s="2"/>
      <c r="E869" s="2"/>
      <c r="F869" s="2"/>
      <c r="G869" s="2"/>
      <c r="H869" s="2"/>
      <c r="I869" s="2"/>
      <c r="J869" s="2"/>
      <c r="K869" s="2"/>
      <c r="L869" s="2"/>
      <c r="M869" s="2"/>
      <c r="N869" s="2"/>
      <c r="O869" s="2"/>
    </row>
    <row r="870" spans="1:15" s="3" customFormat="1">
      <c r="A870" s="4"/>
      <c r="C870" s="2"/>
      <c r="D870" s="2"/>
      <c r="E870" s="2"/>
      <c r="F870" s="2"/>
      <c r="G870" s="2"/>
      <c r="H870" s="2"/>
      <c r="I870" s="2"/>
      <c r="J870" s="2"/>
      <c r="K870" s="2"/>
      <c r="L870" s="2"/>
      <c r="M870" s="2"/>
      <c r="N870" s="2"/>
      <c r="O870" s="2"/>
    </row>
    <row r="871" spans="1:15" s="3" customFormat="1">
      <c r="A871" s="4"/>
      <c r="C871" s="2"/>
      <c r="D871" s="2"/>
      <c r="E871" s="2"/>
      <c r="F871" s="2"/>
      <c r="G871" s="2"/>
      <c r="H871" s="2"/>
      <c r="I871" s="2"/>
      <c r="J871" s="2"/>
      <c r="K871" s="2"/>
      <c r="L871" s="2"/>
      <c r="M871" s="2"/>
      <c r="N871" s="2"/>
      <c r="O871" s="2"/>
    </row>
    <row r="872" spans="1:15" s="3" customFormat="1">
      <c r="A872" s="4"/>
      <c r="C872" s="2"/>
      <c r="D872" s="2"/>
      <c r="E872" s="2"/>
      <c r="F872" s="2"/>
      <c r="G872" s="2"/>
      <c r="H872" s="2"/>
      <c r="I872" s="2"/>
      <c r="J872" s="2"/>
      <c r="K872" s="2"/>
      <c r="L872" s="2"/>
      <c r="M872" s="2"/>
      <c r="N872" s="2"/>
      <c r="O872" s="2"/>
    </row>
    <row r="873" spans="1:15" s="3" customFormat="1">
      <c r="A873" s="4"/>
      <c r="C873" s="2"/>
      <c r="D873" s="2"/>
      <c r="E873" s="2"/>
      <c r="F873" s="2"/>
      <c r="G873" s="2"/>
      <c r="H873" s="2"/>
      <c r="I873" s="2"/>
      <c r="J873" s="2"/>
      <c r="K873" s="2"/>
      <c r="L873" s="2"/>
      <c r="M873" s="2"/>
      <c r="N873" s="2"/>
      <c r="O873" s="2"/>
    </row>
    <row r="874" spans="1:15" s="3" customFormat="1">
      <c r="A874" s="4"/>
      <c r="C874" s="2"/>
      <c r="D874" s="2"/>
      <c r="E874" s="2"/>
      <c r="F874" s="2"/>
      <c r="G874" s="2"/>
      <c r="H874" s="2"/>
      <c r="I874" s="2"/>
      <c r="J874" s="2"/>
      <c r="K874" s="2"/>
      <c r="L874" s="2"/>
      <c r="M874" s="2"/>
      <c r="N874" s="2"/>
      <c r="O874" s="2"/>
    </row>
    <row r="875" spans="1:15" s="3" customFormat="1">
      <c r="A875" s="4"/>
      <c r="C875" s="2"/>
      <c r="D875" s="2"/>
      <c r="E875" s="2"/>
      <c r="F875" s="2"/>
      <c r="G875" s="2"/>
      <c r="H875" s="2"/>
      <c r="I875" s="2"/>
      <c r="J875" s="2"/>
      <c r="K875" s="2"/>
      <c r="L875" s="2"/>
      <c r="M875" s="2"/>
      <c r="N875" s="2"/>
      <c r="O875" s="2"/>
    </row>
    <row r="876" spans="1:15" s="3" customFormat="1">
      <c r="A876" s="4"/>
      <c r="C876" s="2"/>
      <c r="D876" s="2"/>
      <c r="E876" s="2"/>
      <c r="F876" s="2"/>
      <c r="G876" s="2"/>
      <c r="H876" s="2"/>
      <c r="I876" s="2"/>
      <c r="J876" s="2"/>
      <c r="K876" s="2"/>
      <c r="L876" s="2"/>
      <c r="M876" s="2"/>
      <c r="N876" s="2"/>
      <c r="O876" s="2"/>
    </row>
    <row r="877" spans="1:15" s="3" customFormat="1">
      <c r="A877" s="4"/>
      <c r="C877" s="2"/>
      <c r="D877" s="2"/>
      <c r="E877" s="2"/>
      <c r="F877" s="2"/>
      <c r="G877" s="2"/>
      <c r="H877" s="2"/>
      <c r="I877" s="2"/>
      <c r="J877" s="2"/>
      <c r="K877" s="2"/>
      <c r="L877" s="2"/>
      <c r="M877" s="2"/>
      <c r="N877" s="2"/>
      <c r="O877" s="2"/>
    </row>
    <row r="878" spans="1:15" s="3" customFormat="1">
      <c r="A878" s="4"/>
      <c r="C878" s="2"/>
      <c r="D878" s="2"/>
      <c r="E878" s="2"/>
      <c r="F878" s="2"/>
      <c r="G878" s="2"/>
      <c r="H878" s="2"/>
      <c r="I878" s="2"/>
      <c r="J878" s="2"/>
      <c r="K878" s="2"/>
      <c r="L878" s="2"/>
      <c r="M878" s="2"/>
      <c r="N878" s="2"/>
      <c r="O878" s="2"/>
    </row>
    <row r="879" spans="1:15" s="3" customFormat="1">
      <c r="A879" s="4"/>
      <c r="C879" s="2"/>
      <c r="D879" s="2"/>
      <c r="E879" s="2"/>
      <c r="F879" s="2"/>
      <c r="G879" s="2"/>
      <c r="H879" s="2"/>
      <c r="I879" s="2"/>
      <c r="J879" s="2"/>
      <c r="K879" s="2"/>
      <c r="L879" s="2"/>
      <c r="M879" s="2"/>
      <c r="N879" s="2"/>
      <c r="O879" s="2"/>
    </row>
    <row r="880" spans="1:15" s="3" customFormat="1">
      <c r="A880" s="4"/>
      <c r="C880" s="2"/>
      <c r="D880" s="2"/>
      <c r="E880" s="2"/>
      <c r="F880" s="2"/>
      <c r="G880" s="2"/>
      <c r="H880" s="2"/>
      <c r="I880" s="2"/>
      <c r="J880" s="2"/>
      <c r="K880" s="2"/>
      <c r="L880" s="2"/>
      <c r="M880" s="2"/>
      <c r="N880" s="2"/>
      <c r="O880" s="2"/>
    </row>
    <row r="881" spans="1:15" s="3" customFormat="1">
      <c r="A881" s="4"/>
      <c r="C881" s="2"/>
      <c r="D881" s="2"/>
      <c r="E881" s="2"/>
      <c r="F881" s="2"/>
      <c r="G881" s="2"/>
      <c r="H881" s="2"/>
      <c r="I881" s="2"/>
      <c r="J881" s="2"/>
      <c r="K881" s="2"/>
      <c r="L881" s="2"/>
      <c r="M881" s="2"/>
      <c r="N881" s="2"/>
      <c r="O881" s="2"/>
    </row>
    <row r="882" spans="1:15" s="3" customFormat="1">
      <c r="A882" s="4"/>
      <c r="C882" s="2"/>
      <c r="D882" s="2"/>
      <c r="E882" s="2"/>
      <c r="F882" s="2"/>
      <c r="G882" s="2"/>
      <c r="H882" s="2"/>
      <c r="I882" s="2"/>
      <c r="J882" s="2"/>
      <c r="K882" s="2"/>
      <c r="L882" s="2"/>
      <c r="M882" s="2"/>
      <c r="N882" s="2"/>
      <c r="O882" s="2"/>
    </row>
    <row r="883" spans="1:15" s="3" customFormat="1">
      <c r="A883" s="4"/>
      <c r="C883" s="2"/>
      <c r="D883" s="2"/>
      <c r="E883" s="2"/>
      <c r="F883" s="2"/>
      <c r="G883" s="2"/>
      <c r="H883" s="2"/>
      <c r="I883" s="2"/>
      <c r="J883" s="2"/>
      <c r="K883" s="2"/>
      <c r="L883" s="2"/>
      <c r="M883" s="2"/>
      <c r="N883" s="2"/>
      <c r="O883" s="2"/>
    </row>
    <row r="884" spans="1:15" s="3" customFormat="1">
      <c r="A884" s="4"/>
      <c r="C884" s="2"/>
      <c r="D884" s="2"/>
      <c r="E884" s="2"/>
      <c r="F884" s="2"/>
      <c r="G884" s="2"/>
      <c r="H884" s="2"/>
      <c r="I884" s="2"/>
      <c r="J884" s="2"/>
      <c r="K884" s="2"/>
      <c r="L884" s="2"/>
      <c r="M884" s="2"/>
      <c r="N884" s="2"/>
      <c r="O884" s="2"/>
    </row>
    <row r="885" spans="1:15" s="3" customFormat="1">
      <c r="A885" s="4"/>
      <c r="C885" s="2"/>
      <c r="D885" s="2"/>
      <c r="E885" s="2"/>
      <c r="F885" s="2"/>
      <c r="G885" s="2"/>
      <c r="H885" s="2"/>
      <c r="I885" s="2"/>
      <c r="J885" s="2"/>
      <c r="K885" s="2"/>
      <c r="L885" s="2"/>
      <c r="M885" s="2"/>
      <c r="N885" s="2"/>
      <c r="O885" s="2"/>
    </row>
    <row r="886" spans="1:15" s="3" customFormat="1">
      <c r="A886" s="4"/>
      <c r="C886" s="2"/>
      <c r="D886" s="2"/>
      <c r="E886" s="2"/>
      <c r="F886" s="2"/>
      <c r="G886" s="2"/>
      <c r="H886" s="2"/>
      <c r="I886" s="2"/>
      <c r="J886" s="2"/>
      <c r="K886" s="2"/>
      <c r="L886" s="2"/>
      <c r="M886" s="2"/>
      <c r="N886" s="2"/>
      <c r="O886" s="2"/>
    </row>
    <row r="887" spans="1:15" s="3" customFormat="1">
      <c r="A887" s="4"/>
      <c r="C887" s="2"/>
      <c r="D887" s="2"/>
      <c r="E887" s="2"/>
      <c r="F887" s="2"/>
      <c r="G887" s="2"/>
      <c r="H887" s="2"/>
      <c r="I887" s="2"/>
      <c r="J887" s="2"/>
      <c r="K887" s="2"/>
      <c r="L887" s="2"/>
      <c r="M887" s="2"/>
      <c r="N887" s="2"/>
      <c r="O887" s="2"/>
    </row>
    <row r="888" spans="1:15" s="3" customFormat="1">
      <c r="A888" s="4"/>
      <c r="C888" s="2"/>
      <c r="D888" s="2"/>
      <c r="E888" s="2"/>
      <c r="F888" s="2"/>
      <c r="G888" s="2"/>
      <c r="H888" s="2"/>
      <c r="I888" s="2"/>
      <c r="J888" s="2"/>
      <c r="K888" s="2"/>
      <c r="L888" s="2"/>
      <c r="M888" s="2"/>
      <c r="N888" s="2"/>
      <c r="O888" s="2"/>
    </row>
    <row r="889" spans="1:15" s="3" customFormat="1">
      <c r="A889" s="4"/>
      <c r="C889" s="2"/>
      <c r="D889" s="2"/>
      <c r="E889" s="2"/>
      <c r="F889" s="2"/>
      <c r="G889" s="2"/>
      <c r="H889" s="2"/>
      <c r="I889" s="2"/>
      <c r="J889" s="2"/>
      <c r="K889" s="2"/>
      <c r="L889" s="2"/>
      <c r="M889" s="2"/>
      <c r="N889" s="2"/>
      <c r="O889" s="2"/>
    </row>
    <row r="890" spans="1:15" s="3" customFormat="1">
      <c r="A890" s="4"/>
      <c r="C890" s="2"/>
      <c r="D890" s="2"/>
      <c r="E890" s="2"/>
      <c r="F890" s="2"/>
      <c r="G890" s="2"/>
      <c r="H890" s="2"/>
      <c r="I890" s="2"/>
      <c r="J890" s="2"/>
      <c r="K890" s="2"/>
      <c r="L890" s="2"/>
      <c r="M890" s="2"/>
      <c r="N890" s="2"/>
      <c r="O890" s="2"/>
    </row>
    <row r="891" spans="1:15" s="3" customFormat="1">
      <c r="A891" s="4"/>
      <c r="C891" s="2"/>
      <c r="D891" s="2"/>
      <c r="E891" s="2"/>
      <c r="F891" s="2"/>
      <c r="G891" s="2"/>
      <c r="H891" s="2"/>
      <c r="I891" s="2"/>
      <c r="J891" s="2"/>
      <c r="K891" s="2"/>
      <c r="L891" s="2"/>
      <c r="M891" s="2"/>
      <c r="N891" s="2"/>
      <c r="O891" s="2"/>
    </row>
    <row r="892" spans="1:15" s="3" customFormat="1">
      <c r="A892" s="4"/>
      <c r="C892" s="2"/>
      <c r="D892" s="2"/>
      <c r="E892" s="2"/>
      <c r="F892" s="2"/>
      <c r="G892" s="2"/>
      <c r="H892" s="2"/>
      <c r="I892" s="2"/>
      <c r="J892" s="2"/>
      <c r="K892" s="2"/>
      <c r="L892" s="2"/>
      <c r="M892" s="2"/>
      <c r="N892" s="2"/>
      <c r="O892" s="2"/>
    </row>
    <row r="893" spans="1:15" s="3" customFormat="1">
      <c r="A893" s="4"/>
      <c r="C893" s="2"/>
      <c r="D893" s="2"/>
      <c r="E893" s="2"/>
      <c r="F893" s="2"/>
      <c r="G893" s="2"/>
      <c r="H893" s="2"/>
      <c r="I893" s="2"/>
      <c r="J893" s="2"/>
      <c r="K893" s="2"/>
      <c r="L893" s="2"/>
      <c r="M893" s="2"/>
      <c r="N893" s="2"/>
      <c r="O893" s="2"/>
    </row>
    <row r="894" spans="1:15" s="3" customFormat="1">
      <c r="A894" s="4"/>
      <c r="C894" s="2"/>
      <c r="D894" s="2"/>
      <c r="E894" s="2"/>
      <c r="F894" s="2"/>
      <c r="G894" s="2"/>
      <c r="H894" s="2"/>
      <c r="I894" s="2"/>
      <c r="J894" s="2"/>
      <c r="K894" s="2"/>
      <c r="L894" s="2"/>
      <c r="M894" s="2"/>
      <c r="N894" s="2"/>
      <c r="O894" s="2"/>
    </row>
    <row r="895" spans="1:15" s="3" customFormat="1">
      <c r="A895" s="4"/>
      <c r="C895" s="2"/>
      <c r="D895" s="2"/>
      <c r="E895" s="2"/>
      <c r="F895" s="2"/>
      <c r="G895" s="2"/>
      <c r="H895" s="2"/>
      <c r="I895" s="2"/>
      <c r="J895" s="2"/>
      <c r="K895" s="2"/>
      <c r="L895" s="2"/>
      <c r="M895" s="2"/>
      <c r="N895" s="2"/>
      <c r="O895" s="2"/>
    </row>
    <row r="896" spans="1:15" s="3" customFormat="1">
      <c r="A896" s="4"/>
      <c r="C896" s="2"/>
      <c r="D896" s="2"/>
      <c r="E896" s="2"/>
      <c r="F896" s="2"/>
      <c r="G896" s="2"/>
      <c r="H896" s="2"/>
      <c r="I896" s="2"/>
      <c r="J896" s="2"/>
      <c r="K896" s="2"/>
      <c r="L896" s="2"/>
      <c r="M896" s="2"/>
      <c r="N896" s="2"/>
      <c r="O896" s="2"/>
    </row>
    <row r="897" spans="1:15" s="3" customFormat="1">
      <c r="A897" s="4"/>
      <c r="C897" s="2"/>
      <c r="D897" s="2"/>
      <c r="E897" s="2"/>
      <c r="F897" s="2"/>
      <c r="G897" s="2"/>
      <c r="H897" s="2"/>
      <c r="I897" s="2"/>
      <c r="J897" s="2"/>
      <c r="K897" s="2"/>
      <c r="L897" s="2"/>
      <c r="M897" s="2"/>
      <c r="N897" s="2"/>
      <c r="O897" s="2"/>
    </row>
    <row r="898" spans="1:15" s="3" customFormat="1">
      <c r="A898" s="4"/>
      <c r="C898" s="2"/>
      <c r="D898" s="2"/>
      <c r="E898" s="2"/>
      <c r="F898" s="2"/>
      <c r="G898" s="2"/>
      <c r="H898" s="2"/>
      <c r="I898" s="2"/>
      <c r="J898" s="2"/>
      <c r="K898" s="2"/>
      <c r="L898" s="2"/>
      <c r="M898" s="2"/>
      <c r="N898" s="2"/>
      <c r="O898" s="2"/>
    </row>
    <row r="899" spans="1:15" s="3" customFormat="1">
      <c r="A899" s="4"/>
      <c r="C899" s="2"/>
      <c r="D899" s="2"/>
      <c r="E899" s="2"/>
      <c r="F899" s="2"/>
      <c r="G899" s="2"/>
      <c r="H899" s="2"/>
      <c r="I899" s="2"/>
      <c r="J899" s="2"/>
      <c r="K899" s="2"/>
      <c r="L899" s="2"/>
      <c r="M899" s="2"/>
      <c r="N899" s="2"/>
      <c r="O899" s="2"/>
    </row>
    <row r="900" spans="1:15" s="3" customFormat="1">
      <c r="A900" s="4"/>
      <c r="C900" s="2"/>
      <c r="D900" s="2"/>
      <c r="E900" s="2"/>
      <c r="F900" s="2"/>
      <c r="G900" s="2"/>
      <c r="H900" s="2"/>
      <c r="I900" s="2"/>
      <c r="J900" s="2"/>
      <c r="K900" s="2"/>
      <c r="L900" s="2"/>
      <c r="M900" s="2"/>
      <c r="N900" s="2"/>
      <c r="O900" s="2"/>
    </row>
    <row r="901" spans="1:15" s="3" customFormat="1">
      <c r="A901" s="4"/>
      <c r="C901" s="2"/>
      <c r="D901" s="2"/>
      <c r="E901" s="2"/>
      <c r="F901" s="2"/>
      <c r="G901" s="2"/>
      <c r="H901" s="2"/>
      <c r="I901" s="2"/>
      <c r="J901" s="2"/>
      <c r="K901" s="2"/>
      <c r="L901" s="2"/>
      <c r="M901" s="2"/>
      <c r="N901" s="2"/>
      <c r="O901" s="2"/>
    </row>
    <row r="902" spans="1:15" s="3" customFormat="1">
      <c r="A902" s="4"/>
      <c r="C902" s="2"/>
      <c r="D902" s="2"/>
      <c r="E902" s="2"/>
      <c r="F902" s="2"/>
      <c r="G902" s="2"/>
      <c r="H902" s="2"/>
      <c r="I902" s="2"/>
      <c r="J902" s="2"/>
      <c r="K902" s="2"/>
      <c r="L902" s="2"/>
      <c r="M902" s="2"/>
      <c r="N902" s="2"/>
      <c r="O902" s="2"/>
    </row>
    <row r="903" spans="1:15" s="3" customFormat="1">
      <c r="A903" s="4"/>
      <c r="C903" s="2"/>
      <c r="D903" s="2"/>
      <c r="E903" s="2"/>
      <c r="F903" s="2"/>
      <c r="G903" s="2"/>
      <c r="H903" s="2"/>
      <c r="I903" s="2"/>
      <c r="J903" s="2"/>
      <c r="K903" s="2"/>
      <c r="L903" s="2"/>
      <c r="M903" s="2"/>
      <c r="N903" s="2"/>
      <c r="O903" s="2"/>
    </row>
    <row r="904" spans="1:15" s="3" customFormat="1">
      <c r="A904" s="4"/>
      <c r="C904" s="2"/>
      <c r="D904" s="2"/>
      <c r="E904" s="2"/>
      <c r="F904" s="2"/>
      <c r="G904" s="2"/>
      <c r="H904" s="2"/>
      <c r="I904" s="2"/>
      <c r="J904" s="2"/>
      <c r="K904" s="2"/>
      <c r="L904" s="2"/>
      <c r="M904" s="2"/>
      <c r="N904" s="2"/>
      <c r="O904" s="2"/>
    </row>
    <row r="905" spans="1:15" s="3" customFormat="1">
      <c r="A905" s="4"/>
      <c r="C905" s="2"/>
      <c r="D905" s="2"/>
      <c r="E905" s="2"/>
      <c r="F905" s="2"/>
      <c r="G905" s="2"/>
      <c r="H905" s="2"/>
      <c r="I905" s="2"/>
      <c r="J905" s="2"/>
      <c r="K905" s="2"/>
      <c r="L905" s="2"/>
      <c r="M905" s="2"/>
      <c r="N905" s="2"/>
      <c r="O905" s="2"/>
    </row>
    <row r="906" spans="1:15" s="3" customFormat="1">
      <c r="A906" s="4"/>
      <c r="C906" s="2"/>
      <c r="D906" s="2"/>
      <c r="E906" s="2"/>
      <c r="F906" s="2"/>
      <c r="G906" s="2"/>
      <c r="H906" s="2"/>
      <c r="I906" s="2"/>
      <c r="J906" s="2"/>
      <c r="K906" s="2"/>
      <c r="L906" s="2"/>
      <c r="M906" s="2"/>
      <c r="N906" s="2"/>
      <c r="O906" s="2"/>
    </row>
    <row r="907" spans="1:15" s="3" customFormat="1">
      <c r="A907" s="4"/>
      <c r="C907" s="2"/>
      <c r="D907" s="2"/>
      <c r="E907" s="2"/>
      <c r="F907" s="2"/>
      <c r="G907" s="2"/>
      <c r="H907" s="2"/>
      <c r="I907" s="2"/>
      <c r="J907" s="2"/>
      <c r="K907" s="2"/>
      <c r="L907" s="2"/>
      <c r="M907" s="2"/>
      <c r="N907" s="2"/>
      <c r="O907" s="2"/>
    </row>
    <row r="908" spans="1:15" s="3" customFormat="1">
      <c r="A908" s="4"/>
      <c r="C908" s="2"/>
      <c r="D908" s="2"/>
      <c r="E908" s="2"/>
      <c r="F908" s="2"/>
      <c r="G908" s="2"/>
      <c r="H908" s="2"/>
      <c r="I908" s="2"/>
      <c r="J908" s="2"/>
      <c r="K908" s="2"/>
      <c r="L908" s="2"/>
      <c r="M908" s="2"/>
      <c r="N908" s="2"/>
      <c r="O908" s="2"/>
    </row>
    <row r="909" spans="1:15" s="3" customFormat="1">
      <c r="A909" s="4"/>
      <c r="C909" s="2"/>
      <c r="D909" s="2"/>
      <c r="E909" s="2"/>
      <c r="F909" s="2"/>
      <c r="G909" s="2"/>
      <c r="H909" s="2"/>
      <c r="I909" s="2"/>
      <c r="J909" s="2"/>
      <c r="K909" s="2"/>
      <c r="L909" s="2"/>
      <c r="M909" s="2"/>
      <c r="N909" s="2"/>
      <c r="O909" s="2"/>
    </row>
    <row r="910" spans="1:15" s="3" customFormat="1">
      <c r="A910" s="4"/>
      <c r="C910" s="2"/>
      <c r="D910" s="2"/>
      <c r="E910" s="2"/>
      <c r="F910" s="2"/>
      <c r="G910" s="2"/>
      <c r="H910" s="2"/>
      <c r="I910" s="2"/>
      <c r="J910" s="2"/>
      <c r="K910" s="2"/>
      <c r="L910" s="2"/>
      <c r="M910" s="2"/>
      <c r="N910" s="2"/>
      <c r="O910" s="2"/>
    </row>
    <row r="911" spans="1:15" s="3" customFormat="1">
      <c r="A911" s="4"/>
      <c r="C911" s="2"/>
      <c r="D911" s="2"/>
      <c r="E911" s="2"/>
      <c r="F911" s="2"/>
      <c r="G911" s="2"/>
      <c r="H911" s="2"/>
      <c r="I911" s="2"/>
      <c r="J911" s="2"/>
      <c r="K911" s="2"/>
      <c r="L911" s="2"/>
      <c r="M911" s="2"/>
      <c r="N911" s="2"/>
      <c r="O911" s="2"/>
    </row>
    <row r="912" spans="1:15" s="3" customFormat="1">
      <c r="A912" s="4"/>
      <c r="C912" s="2"/>
      <c r="D912" s="2"/>
      <c r="E912" s="2"/>
      <c r="F912" s="2"/>
      <c r="G912" s="2"/>
      <c r="H912" s="2"/>
      <c r="I912" s="2"/>
      <c r="J912" s="2"/>
      <c r="K912" s="2"/>
      <c r="L912" s="2"/>
      <c r="M912" s="2"/>
      <c r="N912" s="2"/>
      <c r="O912" s="2"/>
    </row>
    <row r="913" spans="1:15" s="3" customFormat="1">
      <c r="A913" s="4"/>
      <c r="C913" s="2"/>
      <c r="D913" s="2"/>
      <c r="E913" s="2"/>
      <c r="F913" s="2"/>
      <c r="G913" s="2"/>
      <c r="H913" s="2"/>
      <c r="I913" s="2"/>
      <c r="J913" s="2"/>
      <c r="K913" s="2"/>
      <c r="L913" s="2"/>
      <c r="M913" s="2"/>
      <c r="N913" s="2"/>
      <c r="O913" s="2"/>
    </row>
    <row r="914" spans="1:15" s="3" customFormat="1">
      <c r="A914" s="4"/>
      <c r="C914" s="2"/>
      <c r="D914" s="2"/>
      <c r="E914" s="2"/>
      <c r="F914" s="2"/>
      <c r="G914" s="2"/>
      <c r="H914" s="2"/>
      <c r="I914" s="2"/>
      <c r="J914" s="2"/>
      <c r="K914" s="2"/>
      <c r="L914" s="2"/>
      <c r="M914" s="2"/>
      <c r="N914" s="2"/>
      <c r="O914" s="2"/>
    </row>
    <row r="915" spans="1:15" s="3" customFormat="1">
      <c r="A915" s="4"/>
      <c r="C915" s="2"/>
      <c r="D915" s="2"/>
      <c r="E915" s="2"/>
      <c r="F915" s="2"/>
      <c r="G915" s="2"/>
      <c r="H915" s="2"/>
      <c r="I915" s="2"/>
      <c r="J915" s="2"/>
      <c r="K915" s="2"/>
      <c r="L915" s="2"/>
      <c r="M915" s="2"/>
      <c r="N915" s="2"/>
      <c r="O915" s="2"/>
    </row>
    <row r="916" spans="1:15" s="3" customFormat="1">
      <c r="A916" s="4"/>
      <c r="C916" s="2"/>
      <c r="D916" s="2"/>
      <c r="E916" s="2"/>
      <c r="F916" s="2"/>
      <c r="G916" s="2"/>
      <c r="H916" s="2"/>
      <c r="I916" s="2"/>
      <c r="J916" s="2"/>
      <c r="K916" s="2"/>
      <c r="L916" s="2"/>
      <c r="M916" s="2"/>
      <c r="N916" s="2"/>
      <c r="O916" s="2"/>
    </row>
    <row r="917" spans="1:15" s="3" customFormat="1">
      <c r="A917" s="4"/>
      <c r="C917" s="2"/>
      <c r="D917" s="2"/>
      <c r="E917" s="2"/>
      <c r="F917" s="2"/>
      <c r="G917" s="2"/>
      <c r="H917" s="2"/>
      <c r="I917" s="2"/>
      <c r="J917" s="2"/>
      <c r="K917" s="2"/>
      <c r="L917" s="2"/>
      <c r="M917" s="2"/>
      <c r="N917" s="2"/>
      <c r="O917" s="2"/>
    </row>
    <row r="918" spans="1:15" s="3" customFormat="1">
      <c r="A918" s="4"/>
      <c r="C918" s="2"/>
      <c r="D918" s="2"/>
      <c r="E918" s="2"/>
      <c r="F918" s="2"/>
      <c r="G918" s="2"/>
      <c r="H918" s="2"/>
      <c r="I918" s="2"/>
      <c r="J918" s="2"/>
      <c r="K918" s="2"/>
      <c r="L918" s="2"/>
      <c r="M918" s="2"/>
      <c r="N918" s="2"/>
      <c r="O918" s="2"/>
    </row>
    <row r="919" spans="1:15" s="3" customFormat="1">
      <c r="A919" s="4"/>
      <c r="C919" s="2"/>
      <c r="D919" s="2"/>
      <c r="E919" s="2"/>
      <c r="F919" s="2"/>
      <c r="G919" s="2"/>
      <c r="H919" s="2"/>
      <c r="I919" s="2"/>
      <c r="J919" s="2"/>
      <c r="K919" s="2"/>
      <c r="L919" s="2"/>
      <c r="M919" s="2"/>
      <c r="N919" s="2"/>
      <c r="O919" s="2"/>
    </row>
    <row r="920" spans="1:15" s="3" customFormat="1">
      <c r="A920" s="4"/>
      <c r="C920" s="2"/>
      <c r="D920" s="2"/>
      <c r="E920" s="2"/>
      <c r="F920" s="2"/>
      <c r="G920" s="2"/>
      <c r="H920" s="2"/>
      <c r="I920" s="2"/>
      <c r="J920" s="2"/>
      <c r="K920" s="2"/>
      <c r="L920" s="2"/>
      <c r="M920" s="2"/>
      <c r="N920" s="2"/>
      <c r="O920" s="2"/>
    </row>
    <row r="921" spans="1:15" s="3" customFormat="1">
      <c r="A921" s="4"/>
      <c r="C921" s="2"/>
      <c r="D921" s="2"/>
      <c r="E921" s="2"/>
      <c r="F921" s="2"/>
      <c r="G921" s="2"/>
      <c r="H921" s="2"/>
      <c r="I921" s="2"/>
      <c r="J921" s="2"/>
      <c r="K921" s="2"/>
      <c r="L921" s="2"/>
      <c r="M921" s="2"/>
      <c r="N921" s="2"/>
      <c r="O921" s="2"/>
    </row>
    <row r="922" spans="1:15" s="3" customFormat="1">
      <c r="A922" s="4"/>
      <c r="C922" s="2"/>
      <c r="D922" s="2"/>
      <c r="E922" s="2"/>
      <c r="F922" s="2"/>
      <c r="G922" s="2"/>
      <c r="H922" s="2"/>
      <c r="I922" s="2"/>
      <c r="J922" s="2"/>
      <c r="K922" s="2"/>
      <c r="L922" s="2"/>
      <c r="M922" s="2"/>
      <c r="N922" s="2"/>
      <c r="O922" s="2"/>
    </row>
    <row r="923" spans="1:15" s="3" customFormat="1">
      <c r="A923" s="4"/>
      <c r="C923" s="2"/>
      <c r="D923" s="2"/>
      <c r="E923" s="2"/>
      <c r="F923" s="2"/>
      <c r="G923" s="2"/>
      <c r="H923" s="2"/>
      <c r="I923" s="2"/>
      <c r="J923" s="2"/>
      <c r="K923" s="2"/>
      <c r="L923" s="2"/>
      <c r="M923" s="2"/>
      <c r="N923" s="2"/>
      <c r="O923" s="2"/>
    </row>
    <row r="924" spans="1:15" s="3" customFormat="1">
      <c r="A924" s="4"/>
      <c r="C924" s="2"/>
      <c r="D924" s="2"/>
      <c r="E924" s="2"/>
      <c r="F924" s="2"/>
      <c r="G924" s="2"/>
      <c r="H924" s="2"/>
      <c r="I924" s="2"/>
      <c r="J924" s="2"/>
      <c r="K924" s="2"/>
      <c r="L924" s="2"/>
      <c r="M924" s="2"/>
      <c r="N924" s="2"/>
      <c r="O924" s="2"/>
    </row>
    <row r="925" spans="1:15" s="3" customFormat="1">
      <c r="A925" s="4"/>
      <c r="C925" s="2"/>
      <c r="D925" s="2"/>
      <c r="E925" s="2"/>
      <c r="F925" s="2"/>
      <c r="G925" s="2"/>
      <c r="H925" s="2"/>
      <c r="I925" s="2"/>
      <c r="J925" s="2"/>
      <c r="K925" s="2"/>
      <c r="L925" s="2"/>
      <c r="M925" s="2"/>
      <c r="N925" s="2"/>
      <c r="O925" s="2"/>
    </row>
    <row r="926" spans="1:15" s="3" customFormat="1">
      <c r="A926" s="4"/>
      <c r="C926" s="2"/>
      <c r="D926" s="2"/>
      <c r="E926" s="2"/>
      <c r="F926" s="2"/>
      <c r="G926" s="2"/>
      <c r="H926" s="2"/>
      <c r="I926" s="2"/>
      <c r="J926" s="2"/>
      <c r="K926" s="2"/>
      <c r="L926" s="2"/>
      <c r="M926" s="2"/>
      <c r="N926" s="2"/>
      <c r="O926" s="2"/>
    </row>
    <row r="927" spans="1:15" s="3" customFormat="1">
      <c r="A927" s="4"/>
      <c r="C927" s="2"/>
      <c r="D927" s="2"/>
      <c r="E927" s="2"/>
      <c r="F927" s="2"/>
      <c r="G927" s="2"/>
      <c r="H927" s="2"/>
      <c r="I927" s="2"/>
      <c r="J927" s="2"/>
      <c r="K927" s="2"/>
      <c r="L927" s="2"/>
      <c r="M927" s="2"/>
      <c r="N927" s="2"/>
      <c r="O927" s="2"/>
    </row>
    <row r="928" spans="1:15" s="3" customFormat="1">
      <c r="A928" s="4"/>
      <c r="C928" s="2"/>
      <c r="D928" s="2"/>
      <c r="E928" s="2"/>
      <c r="F928" s="2"/>
      <c r="G928" s="2"/>
      <c r="H928" s="2"/>
      <c r="I928" s="2"/>
      <c r="J928" s="2"/>
      <c r="K928" s="2"/>
      <c r="L928" s="2"/>
      <c r="M928" s="2"/>
      <c r="N928" s="2"/>
      <c r="O928" s="2"/>
    </row>
    <row r="929" spans="1:15" s="3" customFormat="1">
      <c r="A929" s="4"/>
      <c r="C929" s="2"/>
      <c r="D929" s="2"/>
      <c r="E929" s="2"/>
      <c r="F929" s="2"/>
      <c r="G929" s="2"/>
      <c r="H929" s="2"/>
      <c r="I929" s="2"/>
      <c r="J929" s="2"/>
      <c r="K929" s="2"/>
      <c r="L929" s="2"/>
      <c r="M929" s="2"/>
      <c r="N929" s="2"/>
      <c r="O929" s="2"/>
    </row>
    <row r="930" spans="1:15" s="3" customFormat="1">
      <c r="A930" s="4"/>
      <c r="C930" s="2"/>
      <c r="D930" s="2"/>
      <c r="E930" s="2"/>
      <c r="F930" s="2"/>
      <c r="G930" s="2"/>
      <c r="H930" s="2"/>
      <c r="I930" s="2"/>
      <c r="J930" s="2"/>
      <c r="K930" s="2"/>
      <c r="L930" s="2"/>
      <c r="M930" s="2"/>
      <c r="N930" s="2"/>
      <c r="O930" s="2"/>
    </row>
    <row r="931" spans="1:15" s="3" customFormat="1">
      <c r="A931" s="4"/>
      <c r="C931" s="2"/>
      <c r="D931" s="2"/>
      <c r="E931" s="2"/>
      <c r="F931" s="2"/>
      <c r="G931" s="2"/>
      <c r="H931" s="2"/>
      <c r="I931" s="2"/>
      <c r="J931" s="2"/>
      <c r="K931" s="2"/>
      <c r="L931" s="2"/>
      <c r="M931" s="2"/>
      <c r="N931" s="2"/>
      <c r="O931" s="2"/>
    </row>
    <row r="932" spans="1:15" s="3" customFormat="1">
      <c r="A932" s="4"/>
      <c r="C932" s="2"/>
      <c r="D932" s="2"/>
      <c r="E932" s="2"/>
      <c r="F932" s="2"/>
      <c r="G932" s="2"/>
      <c r="H932" s="2"/>
      <c r="I932" s="2"/>
      <c r="J932" s="2"/>
      <c r="K932" s="2"/>
      <c r="L932" s="2"/>
      <c r="M932" s="2"/>
      <c r="N932" s="2"/>
      <c r="O932" s="2"/>
    </row>
    <row r="933" spans="1:15" s="3" customFormat="1">
      <c r="A933" s="4"/>
      <c r="C933" s="2"/>
      <c r="D933" s="2"/>
      <c r="E933" s="2"/>
      <c r="F933" s="2"/>
      <c r="G933" s="2"/>
      <c r="H933" s="2"/>
      <c r="I933" s="2"/>
      <c r="J933" s="2"/>
      <c r="K933" s="2"/>
      <c r="L933" s="2"/>
      <c r="M933" s="2"/>
      <c r="N933" s="2"/>
      <c r="O933" s="2"/>
    </row>
    <row r="934" spans="1:15" s="3" customFormat="1">
      <c r="A934" s="4"/>
      <c r="C934" s="2"/>
      <c r="D934" s="2"/>
      <c r="E934" s="2"/>
      <c r="F934" s="2"/>
      <c r="G934" s="2"/>
      <c r="H934" s="2"/>
      <c r="I934" s="2"/>
      <c r="J934" s="2"/>
      <c r="K934" s="2"/>
      <c r="L934" s="2"/>
      <c r="M934" s="2"/>
      <c r="N934" s="2"/>
      <c r="O934" s="2"/>
    </row>
    <row r="935" spans="1:15" s="3" customFormat="1">
      <c r="A935" s="4"/>
      <c r="C935" s="2"/>
      <c r="D935" s="2"/>
      <c r="E935" s="2"/>
      <c r="F935" s="2"/>
      <c r="G935" s="2"/>
      <c r="H935" s="2"/>
      <c r="I935" s="2"/>
      <c r="J935" s="2"/>
      <c r="K935" s="2"/>
      <c r="L935" s="2"/>
      <c r="M935" s="2"/>
      <c r="N935" s="2"/>
      <c r="O935" s="2"/>
    </row>
    <row r="936" spans="1:15" s="3" customFormat="1">
      <c r="A936" s="4"/>
      <c r="C936" s="2"/>
      <c r="D936" s="2"/>
      <c r="E936" s="2"/>
      <c r="F936" s="2"/>
      <c r="G936" s="2"/>
      <c r="H936" s="2"/>
      <c r="I936" s="2"/>
      <c r="J936" s="2"/>
      <c r="K936" s="2"/>
      <c r="L936" s="2"/>
      <c r="M936" s="2"/>
      <c r="N936" s="2"/>
      <c r="O936" s="2"/>
    </row>
    <row r="937" spans="1:15" s="3" customFormat="1">
      <c r="A937" s="4"/>
      <c r="C937" s="2"/>
      <c r="D937" s="2"/>
      <c r="E937" s="2"/>
      <c r="F937" s="2"/>
      <c r="G937" s="2"/>
      <c r="H937" s="2"/>
      <c r="I937" s="2"/>
      <c r="J937" s="2"/>
      <c r="K937" s="2"/>
      <c r="L937" s="2"/>
      <c r="M937" s="2"/>
      <c r="N937" s="2"/>
      <c r="O937" s="2"/>
    </row>
    <row r="938" spans="1:15" s="3" customFormat="1">
      <c r="A938" s="4"/>
      <c r="C938" s="2"/>
      <c r="D938" s="2"/>
      <c r="E938" s="2"/>
      <c r="F938" s="2"/>
      <c r="G938" s="2"/>
      <c r="H938" s="2"/>
      <c r="I938" s="2"/>
      <c r="J938" s="2"/>
      <c r="K938" s="2"/>
      <c r="L938" s="2"/>
      <c r="M938" s="2"/>
      <c r="N938" s="2"/>
      <c r="O938" s="2"/>
    </row>
    <row r="939" spans="1:15" s="3" customFormat="1">
      <c r="A939" s="4"/>
      <c r="C939" s="2"/>
      <c r="D939" s="2"/>
      <c r="E939" s="2"/>
      <c r="F939" s="2"/>
      <c r="G939" s="2"/>
      <c r="H939" s="2"/>
      <c r="I939" s="2"/>
      <c r="J939" s="2"/>
      <c r="K939" s="2"/>
      <c r="L939" s="2"/>
      <c r="M939" s="2"/>
      <c r="N939" s="2"/>
      <c r="O939" s="2"/>
    </row>
    <row r="940" spans="1:15" s="3" customFormat="1">
      <c r="A940" s="4"/>
      <c r="C940" s="2"/>
      <c r="D940" s="2"/>
      <c r="E940" s="2"/>
      <c r="F940" s="2"/>
      <c r="G940" s="2"/>
      <c r="H940" s="2"/>
      <c r="I940" s="2"/>
      <c r="J940" s="2"/>
      <c r="K940" s="2"/>
      <c r="L940" s="2"/>
      <c r="M940" s="2"/>
      <c r="N940" s="2"/>
      <c r="O940" s="2"/>
    </row>
    <row r="941" spans="1:15" s="3" customFormat="1">
      <c r="A941" s="4"/>
      <c r="C941" s="2"/>
      <c r="D941" s="2"/>
      <c r="E941" s="2"/>
      <c r="F941" s="2"/>
      <c r="G941" s="2"/>
      <c r="H941" s="2"/>
      <c r="I941" s="2"/>
      <c r="J941" s="2"/>
      <c r="K941" s="2"/>
      <c r="L941" s="2"/>
      <c r="M941" s="2"/>
      <c r="N941" s="2"/>
      <c r="O941" s="2"/>
    </row>
    <row r="942" spans="1:15" s="3" customFormat="1">
      <c r="A942" s="4"/>
      <c r="C942" s="2"/>
      <c r="D942" s="2"/>
      <c r="E942" s="2"/>
      <c r="F942" s="2"/>
      <c r="G942" s="2"/>
      <c r="H942" s="2"/>
      <c r="I942" s="2"/>
      <c r="J942" s="2"/>
      <c r="K942" s="2"/>
      <c r="L942" s="2"/>
      <c r="M942" s="2"/>
      <c r="N942" s="2"/>
      <c r="O942" s="2"/>
    </row>
    <row r="943" spans="1:15" s="3" customFormat="1">
      <c r="A943" s="4"/>
      <c r="C943" s="2"/>
      <c r="D943" s="2"/>
      <c r="E943" s="2"/>
      <c r="F943" s="2"/>
      <c r="G943" s="2"/>
      <c r="H943" s="2"/>
      <c r="I943" s="2"/>
      <c r="J943" s="2"/>
      <c r="K943" s="2"/>
      <c r="L943" s="2"/>
      <c r="M943" s="2"/>
      <c r="N943" s="2"/>
      <c r="O943" s="2"/>
    </row>
    <row r="944" spans="1:15" s="3" customFormat="1">
      <c r="A944" s="4"/>
      <c r="C944" s="2"/>
      <c r="D944" s="2"/>
      <c r="E944" s="2"/>
      <c r="F944" s="2"/>
      <c r="G944" s="2"/>
      <c r="H944" s="2"/>
      <c r="I944" s="2"/>
      <c r="J944" s="2"/>
      <c r="K944" s="2"/>
      <c r="L944" s="2"/>
      <c r="M944" s="2"/>
      <c r="N944" s="2"/>
      <c r="O944" s="2"/>
    </row>
    <row r="945" spans="1:15" s="3" customFormat="1">
      <c r="A945" s="4"/>
      <c r="C945" s="2"/>
      <c r="D945" s="2"/>
      <c r="E945" s="2"/>
      <c r="F945" s="2"/>
      <c r="G945" s="2"/>
      <c r="H945" s="2"/>
      <c r="I945" s="2"/>
      <c r="J945" s="2"/>
      <c r="K945" s="2"/>
      <c r="L945" s="2"/>
      <c r="M945" s="2"/>
      <c r="N945" s="2"/>
      <c r="O945" s="2"/>
    </row>
    <row r="946" spans="1:15" s="3" customFormat="1">
      <c r="A946" s="4"/>
      <c r="C946" s="2"/>
      <c r="D946" s="2"/>
      <c r="E946" s="2"/>
      <c r="F946" s="2"/>
      <c r="G946" s="2"/>
      <c r="H946" s="2"/>
      <c r="I946" s="2"/>
      <c r="J946" s="2"/>
      <c r="K946" s="2"/>
      <c r="L946" s="2"/>
      <c r="M946" s="2"/>
      <c r="N946" s="2"/>
      <c r="O946" s="2"/>
    </row>
    <row r="947" spans="1:15" s="3" customFormat="1">
      <c r="A947" s="4"/>
      <c r="C947" s="2"/>
      <c r="D947" s="2"/>
      <c r="E947" s="2"/>
      <c r="F947" s="2"/>
      <c r="G947" s="2"/>
      <c r="H947" s="2"/>
      <c r="I947" s="2"/>
      <c r="J947" s="2"/>
      <c r="K947" s="2"/>
      <c r="L947" s="2"/>
      <c r="M947" s="2"/>
      <c r="N947" s="2"/>
      <c r="O947" s="2"/>
    </row>
    <row r="948" spans="1:15" s="3" customFormat="1">
      <c r="A948" s="4"/>
      <c r="C948" s="2"/>
      <c r="D948" s="2"/>
      <c r="E948" s="2"/>
      <c r="F948" s="2"/>
      <c r="G948" s="2"/>
      <c r="H948" s="2"/>
      <c r="I948" s="2"/>
      <c r="J948" s="2"/>
      <c r="K948" s="2"/>
      <c r="L948" s="2"/>
      <c r="M948" s="2"/>
      <c r="N948" s="2"/>
      <c r="O948" s="2"/>
    </row>
    <row r="949" spans="1:15" s="3" customFormat="1">
      <c r="A949" s="4"/>
      <c r="C949" s="2"/>
      <c r="D949" s="2"/>
      <c r="E949" s="2"/>
      <c r="F949" s="2"/>
      <c r="G949" s="2"/>
      <c r="H949" s="2"/>
      <c r="I949" s="2"/>
      <c r="J949" s="2"/>
      <c r="K949" s="2"/>
      <c r="L949" s="2"/>
      <c r="M949" s="2"/>
      <c r="N949" s="2"/>
      <c r="O949" s="2"/>
    </row>
    <row r="950" spans="1:15" s="3" customFormat="1">
      <c r="A950" s="4"/>
      <c r="C950" s="2"/>
      <c r="D950" s="2"/>
      <c r="E950" s="2"/>
      <c r="F950" s="2"/>
      <c r="G950" s="2"/>
      <c r="H950" s="2"/>
      <c r="I950" s="2"/>
      <c r="J950" s="2"/>
      <c r="K950" s="2"/>
      <c r="L950" s="2"/>
      <c r="M950" s="2"/>
      <c r="N950" s="2"/>
      <c r="O950" s="2"/>
    </row>
    <row r="951" spans="1:15" s="3" customFormat="1">
      <c r="A951" s="4"/>
      <c r="C951" s="2"/>
      <c r="D951" s="2"/>
      <c r="E951" s="2"/>
      <c r="F951" s="2"/>
      <c r="G951" s="2"/>
      <c r="H951" s="2"/>
      <c r="I951" s="2"/>
      <c r="J951" s="2"/>
      <c r="K951" s="2"/>
      <c r="L951" s="2"/>
      <c r="M951" s="2"/>
      <c r="N951" s="2"/>
      <c r="O951" s="2"/>
    </row>
    <row r="952" spans="1:15" s="3" customFormat="1">
      <c r="A952" s="4"/>
      <c r="C952" s="2"/>
      <c r="D952" s="2"/>
      <c r="E952" s="2"/>
      <c r="F952" s="2"/>
      <c r="G952" s="2"/>
      <c r="H952" s="2"/>
      <c r="I952" s="2"/>
      <c r="J952" s="2"/>
      <c r="K952" s="2"/>
      <c r="L952" s="2"/>
      <c r="M952" s="2"/>
      <c r="N952" s="2"/>
      <c r="O952" s="2"/>
    </row>
    <row r="953" spans="1:15" s="3" customFormat="1">
      <c r="A953" s="4"/>
      <c r="C953" s="2"/>
      <c r="D953" s="2"/>
      <c r="E953" s="2"/>
      <c r="F953" s="2"/>
      <c r="G953" s="2"/>
      <c r="H953" s="2"/>
      <c r="I953" s="2"/>
      <c r="J953" s="2"/>
      <c r="K953" s="2"/>
      <c r="L953" s="2"/>
      <c r="M953" s="2"/>
      <c r="N953" s="2"/>
      <c r="O953" s="2"/>
    </row>
    <row r="954" spans="1:15" s="3" customFormat="1">
      <c r="A954" s="4"/>
      <c r="C954" s="2"/>
      <c r="D954" s="2"/>
      <c r="E954" s="2"/>
      <c r="F954" s="2"/>
      <c r="G954" s="2"/>
      <c r="H954" s="2"/>
      <c r="I954" s="2"/>
      <c r="J954" s="2"/>
      <c r="K954" s="2"/>
      <c r="L954" s="2"/>
      <c r="M954" s="2"/>
      <c r="N954" s="2"/>
      <c r="O954" s="2"/>
    </row>
    <row r="955" spans="1:15" s="3" customFormat="1">
      <c r="A955" s="4"/>
      <c r="C955" s="2"/>
      <c r="D955" s="2"/>
      <c r="E955" s="2"/>
      <c r="F955" s="2"/>
      <c r="G955" s="2"/>
      <c r="H955" s="2"/>
      <c r="I955" s="2"/>
      <c r="J955" s="2"/>
      <c r="K955" s="2"/>
      <c r="L955" s="2"/>
      <c r="M955" s="2"/>
      <c r="N955" s="2"/>
      <c r="O955" s="2"/>
    </row>
    <row r="956" spans="1:15" s="3" customFormat="1">
      <c r="A956" s="4"/>
      <c r="C956" s="2"/>
      <c r="D956" s="2"/>
      <c r="E956" s="2"/>
      <c r="F956" s="2"/>
      <c r="G956" s="2"/>
      <c r="H956" s="2"/>
      <c r="I956" s="2"/>
      <c r="J956" s="2"/>
      <c r="K956" s="2"/>
      <c r="L956" s="2"/>
      <c r="M956" s="2"/>
      <c r="N956" s="2"/>
      <c r="O956" s="2"/>
    </row>
    <row r="957" spans="1:15" s="3" customFormat="1">
      <c r="A957" s="4"/>
      <c r="C957" s="2"/>
      <c r="D957" s="2"/>
      <c r="E957" s="2"/>
      <c r="F957" s="2"/>
      <c r="G957" s="2"/>
      <c r="H957" s="2"/>
      <c r="I957" s="2"/>
      <c r="J957" s="2"/>
      <c r="K957" s="2"/>
      <c r="L957" s="2"/>
      <c r="M957" s="2"/>
      <c r="N957" s="2"/>
      <c r="O957" s="2"/>
    </row>
    <row r="958" spans="1:15" s="3" customFormat="1">
      <c r="A958" s="4"/>
      <c r="C958" s="2"/>
      <c r="D958" s="2"/>
      <c r="E958" s="2"/>
      <c r="F958" s="2"/>
      <c r="G958" s="2"/>
      <c r="H958" s="2"/>
      <c r="I958" s="2"/>
      <c r="J958" s="2"/>
      <c r="K958" s="2"/>
      <c r="L958" s="2"/>
      <c r="M958" s="2"/>
      <c r="N958" s="2"/>
      <c r="O958" s="2"/>
    </row>
    <row r="959" spans="1:15" s="3" customFormat="1">
      <c r="A959" s="4"/>
      <c r="C959" s="2"/>
      <c r="D959" s="2"/>
      <c r="E959" s="2"/>
      <c r="F959" s="2"/>
      <c r="G959" s="2"/>
      <c r="H959" s="2"/>
      <c r="I959" s="2"/>
      <c r="J959" s="2"/>
      <c r="K959" s="2"/>
      <c r="L959" s="2"/>
      <c r="M959" s="2"/>
      <c r="N959" s="2"/>
      <c r="O959" s="2"/>
    </row>
    <row r="960" spans="1:15" s="3" customFormat="1">
      <c r="A960" s="4"/>
      <c r="C960" s="2"/>
      <c r="D960" s="2"/>
      <c r="E960" s="2"/>
      <c r="F960" s="2"/>
      <c r="G960" s="2"/>
      <c r="H960" s="2"/>
      <c r="I960" s="2"/>
      <c r="J960" s="2"/>
      <c r="K960" s="2"/>
      <c r="L960" s="2"/>
      <c r="M960" s="2"/>
      <c r="N960" s="2"/>
      <c r="O960" s="2"/>
    </row>
    <row r="961" spans="1:15" s="3" customFormat="1">
      <c r="A961" s="4"/>
      <c r="C961" s="2"/>
      <c r="D961" s="2"/>
      <c r="E961" s="2"/>
      <c r="F961" s="2"/>
      <c r="G961" s="2"/>
      <c r="H961" s="2"/>
      <c r="I961" s="2"/>
      <c r="J961" s="2"/>
      <c r="K961" s="2"/>
      <c r="L961" s="2"/>
      <c r="M961" s="2"/>
      <c r="N961" s="2"/>
      <c r="O961" s="2"/>
    </row>
    <row r="962" spans="1:15" s="3" customFormat="1">
      <c r="A962" s="4"/>
      <c r="C962" s="2"/>
      <c r="D962" s="2"/>
      <c r="E962" s="2"/>
      <c r="F962" s="2"/>
      <c r="G962" s="2"/>
      <c r="H962" s="2"/>
      <c r="I962" s="2"/>
      <c r="J962" s="2"/>
      <c r="K962" s="2"/>
      <c r="L962" s="2"/>
      <c r="M962" s="2"/>
      <c r="N962" s="2"/>
      <c r="O962" s="2"/>
    </row>
    <row r="963" spans="1:15" s="3" customFormat="1">
      <c r="A963" s="4"/>
      <c r="C963" s="2"/>
      <c r="D963" s="2"/>
      <c r="E963" s="2"/>
      <c r="F963" s="2"/>
      <c r="G963" s="2"/>
      <c r="H963" s="2"/>
      <c r="I963" s="2"/>
      <c r="J963" s="2"/>
      <c r="K963" s="2"/>
      <c r="L963" s="2"/>
      <c r="M963" s="2"/>
      <c r="N963" s="2"/>
      <c r="O963" s="2"/>
    </row>
    <row r="964" spans="1:15" s="3" customFormat="1">
      <c r="A964" s="4"/>
      <c r="C964" s="2"/>
      <c r="D964" s="2"/>
      <c r="E964" s="2"/>
      <c r="F964" s="2"/>
      <c r="G964" s="2"/>
      <c r="H964" s="2"/>
      <c r="I964" s="2"/>
      <c r="J964" s="2"/>
      <c r="K964" s="2"/>
      <c r="L964" s="2"/>
      <c r="M964" s="2"/>
      <c r="N964" s="2"/>
      <c r="O964" s="2"/>
    </row>
    <row r="965" spans="1:15" s="3" customFormat="1">
      <c r="A965" s="4"/>
      <c r="C965" s="2"/>
      <c r="D965" s="2"/>
      <c r="E965" s="2"/>
      <c r="F965" s="2"/>
      <c r="G965" s="2"/>
      <c r="H965" s="2"/>
      <c r="I965" s="2"/>
      <c r="J965" s="2"/>
      <c r="K965" s="2"/>
      <c r="L965" s="2"/>
      <c r="M965" s="2"/>
      <c r="N965" s="2"/>
      <c r="O965" s="2"/>
    </row>
    <row r="966" spans="1:15" s="3" customFormat="1">
      <c r="A966" s="4"/>
      <c r="C966" s="2"/>
      <c r="D966" s="2"/>
      <c r="E966" s="2"/>
      <c r="F966" s="2"/>
      <c r="G966" s="2"/>
      <c r="H966" s="2"/>
      <c r="I966" s="2"/>
      <c r="J966" s="2"/>
      <c r="K966" s="2"/>
      <c r="L966" s="2"/>
      <c r="M966" s="2"/>
      <c r="N966" s="2"/>
      <c r="O966" s="2"/>
    </row>
    <row r="967" spans="1:15" s="3" customFormat="1">
      <c r="A967" s="4"/>
      <c r="C967" s="2"/>
      <c r="D967" s="2"/>
      <c r="E967" s="2"/>
      <c r="F967" s="2"/>
      <c r="G967" s="2"/>
      <c r="H967" s="2"/>
      <c r="I967" s="2"/>
      <c r="J967" s="2"/>
      <c r="K967" s="2"/>
      <c r="L967" s="2"/>
      <c r="M967" s="2"/>
      <c r="N967" s="2"/>
      <c r="O967" s="2"/>
    </row>
    <row r="968" spans="1:15" s="3" customFormat="1">
      <c r="A968" s="4"/>
      <c r="C968" s="2"/>
      <c r="D968" s="2"/>
      <c r="E968" s="2"/>
      <c r="F968" s="2"/>
      <c r="G968" s="2"/>
      <c r="H968" s="2"/>
      <c r="I968" s="2"/>
      <c r="J968" s="2"/>
      <c r="K968" s="2"/>
      <c r="L968" s="2"/>
      <c r="M968" s="2"/>
      <c r="N968" s="2"/>
      <c r="O968" s="2"/>
    </row>
    <row r="969" spans="1:15" s="3" customFormat="1">
      <c r="A969" s="4"/>
      <c r="C969" s="2"/>
      <c r="D969" s="2"/>
      <c r="E969" s="2"/>
      <c r="F969" s="2"/>
      <c r="G969" s="2"/>
      <c r="H969" s="2"/>
      <c r="I969" s="2"/>
      <c r="J969" s="2"/>
      <c r="K969" s="2"/>
      <c r="L969" s="2"/>
      <c r="M969" s="2"/>
      <c r="N969" s="2"/>
      <c r="O969" s="2"/>
    </row>
    <row r="970" spans="1:15" s="3" customFormat="1">
      <c r="A970" s="4"/>
      <c r="C970" s="2"/>
      <c r="D970" s="2"/>
      <c r="E970" s="2"/>
      <c r="F970" s="2"/>
      <c r="G970" s="2"/>
      <c r="H970" s="2"/>
      <c r="I970" s="2"/>
      <c r="J970" s="2"/>
      <c r="K970" s="2"/>
      <c r="L970" s="2"/>
      <c r="M970" s="2"/>
      <c r="N970" s="2"/>
      <c r="O970" s="2"/>
    </row>
    <row r="971" spans="1:15" s="3" customFormat="1">
      <c r="A971" s="4"/>
      <c r="C971" s="2"/>
      <c r="D971" s="2"/>
      <c r="E971" s="2"/>
      <c r="F971" s="2"/>
      <c r="G971" s="2"/>
      <c r="H971" s="2"/>
      <c r="I971" s="2"/>
      <c r="J971" s="2"/>
      <c r="K971" s="2"/>
      <c r="L971" s="2"/>
      <c r="M971" s="2"/>
      <c r="N971" s="2"/>
      <c r="O971" s="2"/>
    </row>
    <row r="972" spans="1:15" s="3" customFormat="1">
      <c r="A972" s="4"/>
      <c r="C972" s="2"/>
      <c r="D972" s="2"/>
      <c r="E972" s="2"/>
      <c r="F972" s="2"/>
      <c r="G972" s="2"/>
      <c r="H972" s="2"/>
      <c r="I972" s="2"/>
      <c r="J972" s="2"/>
      <c r="K972" s="2"/>
      <c r="L972" s="2"/>
      <c r="M972" s="2"/>
      <c r="N972" s="2"/>
      <c r="O972" s="2"/>
    </row>
    <row r="973" spans="1:15" s="3" customFormat="1">
      <c r="A973" s="4"/>
      <c r="C973" s="2"/>
      <c r="D973" s="2"/>
      <c r="E973" s="2"/>
      <c r="F973" s="2"/>
      <c r="G973" s="2"/>
      <c r="H973" s="2"/>
      <c r="I973" s="2"/>
      <c r="J973" s="2"/>
      <c r="K973" s="2"/>
      <c r="L973" s="2"/>
      <c r="M973" s="2"/>
      <c r="N973" s="2"/>
      <c r="O973" s="2"/>
    </row>
    <row r="974" spans="1:15" s="3" customFormat="1">
      <c r="A974" s="4"/>
      <c r="C974" s="2"/>
      <c r="D974" s="2"/>
      <c r="E974" s="2"/>
      <c r="F974" s="2"/>
      <c r="G974" s="2"/>
      <c r="H974" s="2"/>
      <c r="I974" s="2"/>
      <c r="J974" s="2"/>
      <c r="K974" s="2"/>
      <c r="L974" s="2"/>
      <c r="M974" s="2"/>
      <c r="N974" s="2"/>
      <c r="O974" s="2"/>
    </row>
    <row r="975" spans="1:15" s="3" customFormat="1">
      <c r="A975" s="4"/>
      <c r="C975" s="2"/>
      <c r="D975" s="2"/>
      <c r="E975" s="2"/>
      <c r="F975" s="2"/>
      <c r="G975" s="2"/>
      <c r="H975" s="2"/>
      <c r="I975" s="2"/>
      <c r="J975" s="2"/>
      <c r="K975" s="2"/>
      <c r="L975" s="2"/>
      <c r="M975" s="2"/>
      <c r="N975" s="2"/>
      <c r="O975" s="2"/>
    </row>
    <row r="976" spans="1:15" s="3" customFormat="1">
      <c r="A976" s="4"/>
      <c r="C976" s="2"/>
      <c r="D976" s="2"/>
      <c r="E976" s="2"/>
      <c r="F976" s="2"/>
      <c r="G976" s="2"/>
      <c r="H976" s="2"/>
      <c r="I976" s="2"/>
      <c r="J976" s="2"/>
      <c r="K976" s="2"/>
      <c r="L976" s="2"/>
      <c r="M976" s="2"/>
      <c r="N976" s="2"/>
      <c r="O976" s="2"/>
    </row>
    <row r="977" spans="1:15" s="3" customFormat="1">
      <c r="A977" s="4"/>
      <c r="C977" s="2"/>
      <c r="D977" s="2"/>
      <c r="E977" s="2"/>
      <c r="F977" s="2"/>
      <c r="G977" s="2"/>
      <c r="H977" s="2"/>
      <c r="I977" s="2"/>
      <c r="J977" s="2"/>
      <c r="K977" s="2"/>
      <c r="L977" s="2"/>
      <c r="M977" s="2"/>
      <c r="N977" s="2"/>
      <c r="O977" s="2"/>
    </row>
    <row r="978" spans="1:15" s="3" customFormat="1">
      <c r="A978" s="4"/>
      <c r="C978" s="2"/>
      <c r="D978" s="2"/>
      <c r="E978" s="2"/>
      <c r="F978" s="2"/>
      <c r="G978" s="2"/>
      <c r="H978" s="2"/>
      <c r="I978" s="2"/>
      <c r="J978" s="2"/>
      <c r="K978" s="2"/>
      <c r="L978" s="2"/>
      <c r="M978" s="2"/>
      <c r="N978" s="2"/>
      <c r="O978" s="2"/>
    </row>
    <row r="979" spans="1:15" s="3" customFormat="1">
      <c r="A979" s="4"/>
      <c r="C979" s="2"/>
      <c r="D979" s="2"/>
      <c r="E979" s="2"/>
      <c r="F979" s="2"/>
      <c r="G979" s="2"/>
      <c r="H979" s="2"/>
      <c r="I979" s="2"/>
      <c r="J979" s="2"/>
      <c r="K979" s="2"/>
      <c r="L979" s="2"/>
      <c r="M979" s="2"/>
      <c r="N979" s="2"/>
      <c r="O979" s="2"/>
    </row>
    <row r="980" spans="1:15" s="3" customFormat="1">
      <c r="A980" s="4"/>
      <c r="C980" s="2"/>
      <c r="D980" s="2"/>
      <c r="E980" s="2"/>
      <c r="F980" s="2"/>
      <c r="G980" s="2"/>
      <c r="H980" s="2"/>
      <c r="I980" s="2"/>
      <c r="J980" s="2"/>
      <c r="K980" s="2"/>
      <c r="L980" s="2"/>
      <c r="M980" s="2"/>
      <c r="N980" s="2"/>
      <c r="O980" s="2"/>
    </row>
    <row r="981" spans="1:15" s="3" customFormat="1">
      <c r="A981" s="4"/>
      <c r="C981" s="2"/>
      <c r="D981" s="2"/>
      <c r="E981" s="2"/>
      <c r="F981" s="2"/>
      <c r="G981" s="2"/>
      <c r="H981" s="2"/>
      <c r="I981" s="2"/>
      <c r="J981" s="2"/>
      <c r="K981" s="2"/>
      <c r="L981" s="2"/>
      <c r="M981" s="2"/>
      <c r="N981" s="2"/>
      <c r="O981" s="2"/>
    </row>
    <row r="982" spans="1:15" s="3" customFormat="1">
      <c r="A982" s="4"/>
      <c r="C982" s="2"/>
      <c r="D982" s="2"/>
      <c r="E982" s="2"/>
      <c r="F982" s="2"/>
      <c r="G982" s="2"/>
      <c r="H982" s="2"/>
      <c r="I982" s="2"/>
      <c r="J982" s="2"/>
      <c r="K982" s="2"/>
      <c r="L982" s="2"/>
      <c r="M982" s="2"/>
      <c r="N982" s="2"/>
      <c r="O982" s="2"/>
    </row>
    <row r="983" spans="1:15" s="3" customFormat="1">
      <c r="A983" s="4"/>
      <c r="C983" s="2"/>
      <c r="D983" s="2"/>
      <c r="E983" s="2"/>
      <c r="F983" s="2"/>
      <c r="G983" s="2"/>
      <c r="H983" s="2"/>
      <c r="I983" s="2"/>
      <c r="J983" s="2"/>
      <c r="K983" s="2"/>
      <c r="L983" s="2"/>
      <c r="M983" s="2"/>
      <c r="N983" s="2"/>
      <c r="O983" s="2"/>
    </row>
    <row r="984" spans="1:15" s="3" customFormat="1">
      <c r="A984" s="4"/>
      <c r="C984" s="2"/>
      <c r="D984" s="2"/>
      <c r="E984" s="2"/>
      <c r="F984" s="2"/>
      <c r="G984" s="2"/>
      <c r="H984" s="2"/>
      <c r="I984" s="2"/>
      <c r="J984" s="2"/>
      <c r="K984" s="2"/>
      <c r="L984" s="2"/>
      <c r="M984" s="2"/>
      <c r="N984" s="2"/>
      <c r="O984" s="2"/>
    </row>
    <row r="985" spans="1:15" s="3" customFormat="1">
      <c r="A985" s="4"/>
      <c r="C985" s="2"/>
      <c r="D985" s="2"/>
      <c r="E985" s="2"/>
      <c r="F985" s="2"/>
      <c r="G985" s="2"/>
      <c r="H985" s="2"/>
      <c r="I985" s="2"/>
      <c r="J985" s="2"/>
      <c r="K985" s="2"/>
      <c r="L985" s="2"/>
      <c r="M985" s="2"/>
      <c r="N985" s="2"/>
      <c r="O985" s="2"/>
    </row>
    <row r="986" spans="1:15" s="3" customFormat="1">
      <c r="A986" s="4"/>
      <c r="C986" s="2"/>
      <c r="D986" s="2"/>
      <c r="E986" s="2"/>
      <c r="F986" s="2"/>
      <c r="G986" s="2"/>
      <c r="H986" s="2"/>
      <c r="I986" s="2"/>
      <c r="J986" s="2"/>
      <c r="K986" s="2"/>
      <c r="L986" s="2"/>
      <c r="M986" s="2"/>
      <c r="N986" s="2"/>
      <c r="O986" s="2"/>
    </row>
    <row r="987" spans="1:15" s="3" customFormat="1">
      <c r="A987" s="4"/>
      <c r="C987" s="2"/>
      <c r="D987" s="2"/>
      <c r="E987" s="2"/>
      <c r="F987" s="2"/>
      <c r="G987" s="2"/>
      <c r="H987" s="2"/>
      <c r="I987" s="2"/>
      <c r="J987" s="2"/>
      <c r="K987" s="2"/>
      <c r="L987" s="2"/>
      <c r="M987" s="2"/>
      <c r="N987" s="2"/>
      <c r="O987" s="2"/>
    </row>
    <row r="988" spans="1:15" s="3" customFormat="1">
      <c r="A988" s="4"/>
      <c r="C988" s="2"/>
      <c r="D988" s="2"/>
      <c r="E988" s="2"/>
      <c r="F988" s="2"/>
      <c r="G988" s="2"/>
      <c r="H988" s="2"/>
      <c r="I988" s="2"/>
      <c r="J988" s="2"/>
      <c r="K988" s="2"/>
      <c r="L988" s="2"/>
      <c r="M988" s="2"/>
      <c r="N988" s="2"/>
      <c r="O988" s="2"/>
    </row>
    <row r="989" spans="1:15" s="3" customFormat="1">
      <c r="A989" s="4"/>
      <c r="C989" s="2"/>
      <c r="D989" s="2"/>
      <c r="E989" s="2"/>
      <c r="F989" s="2"/>
      <c r="G989" s="2"/>
      <c r="H989" s="2"/>
      <c r="I989" s="2"/>
      <c r="J989" s="2"/>
      <c r="K989" s="2"/>
      <c r="L989" s="2"/>
      <c r="M989" s="2"/>
      <c r="N989" s="2"/>
      <c r="O989" s="2"/>
    </row>
    <row r="990" spans="1:15" s="3" customFormat="1">
      <c r="A990" s="4"/>
      <c r="C990" s="2"/>
      <c r="D990" s="2"/>
      <c r="E990" s="2"/>
      <c r="F990" s="2"/>
      <c r="G990" s="2"/>
      <c r="H990" s="2"/>
      <c r="I990" s="2"/>
      <c r="J990" s="2"/>
      <c r="K990" s="2"/>
      <c r="L990" s="2"/>
      <c r="M990" s="2"/>
      <c r="N990" s="2"/>
      <c r="O990" s="2"/>
    </row>
    <row r="991" spans="1:15" s="3" customFormat="1">
      <c r="A991" s="4"/>
      <c r="C991" s="2"/>
      <c r="D991" s="2"/>
      <c r="E991" s="2"/>
      <c r="F991" s="2"/>
      <c r="G991" s="2"/>
      <c r="H991" s="2"/>
      <c r="I991" s="2"/>
      <c r="J991" s="2"/>
      <c r="K991" s="2"/>
      <c r="L991" s="2"/>
      <c r="M991" s="2"/>
      <c r="N991" s="2"/>
      <c r="O991" s="2"/>
    </row>
    <row r="992" spans="1:15" s="3" customFormat="1">
      <c r="A992" s="4"/>
      <c r="C992" s="2"/>
      <c r="D992" s="2"/>
      <c r="E992" s="2"/>
      <c r="F992" s="2"/>
      <c r="G992" s="2"/>
      <c r="H992" s="2"/>
      <c r="I992" s="2"/>
      <c r="J992" s="2"/>
      <c r="K992" s="2"/>
      <c r="L992" s="2"/>
      <c r="M992" s="2"/>
      <c r="N992" s="2"/>
      <c r="O992" s="2"/>
    </row>
    <row r="993" spans="1:15" s="3" customFormat="1">
      <c r="A993" s="4"/>
      <c r="C993" s="2"/>
      <c r="D993" s="2"/>
      <c r="E993" s="2"/>
      <c r="F993" s="2"/>
      <c r="G993" s="2"/>
      <c r="H993" s="2"/>
      <c r="I993" s="2"/>
      <c r="J993" s="2"/>
      <c r="K993" s="2"/>
      <c r="L993" s="2"/>
      <c r="M993" s="2"/>
      <c r="N993" s="2"/>
      <c r="O993" s="2"/>
    </row>
    <row r="994" spans="1:15" s="3" customFormat="1">
      <c r="A994" s="4"/>
      <c r="C994" s="2"/>
      <c r="D994" s="2"/>
      <c r="E994" s="2"/>
      <c r="F994" s="2"/>
      <c r="G994" s="2"/>
      <c r="H994" s="2"/>
      <c r="I994" s="2"/>
      <c r="J994" s="2"/>
      <c r="K994" s="2"/>
      <c r="L994" s="2"/>
      <c r="M994" s="2"/>
      <c r="N994" s="2"/>
      <c r="O994" s="2"/>
    </row>
    <row r="995" spans="1:15" s="3" customFormat="1">
      <c r="A995" s="4"/>
      <c r="C995" s="2"/>
      <c r="D995" s="2"/>
      <c r="E995" s="2"/>
      <c r="F995" s="2"/>
      <c r="G995" s="2"/>
      <c r="H995" s="2"/>
      <c r="I995" s="2"/>
      <c r="J995" s="2"/>
      <c r="K995" s="2"/>
      <c r="L995" s="2"/>
      <c r="M995" s="2"/>
      <c r="N995" s="2"/>
      <c r="O995" s="2"/>
    </row>
    <row r="996" spans="1:15" s="3" customFormat="1">
      <c r="A996" s="4"/>
      <c r="C996" s="2"/>
      <c r="D996" s="2"/>
      <c r="E996" s="2"/>
      <c r="F996" s="2"/>
      <c r="G996" s="2"/>
      <c r="H996" s="2"/>
      <c r="I996" s="2"/>
      <c r="J996" s="2"/>
      <c r="K996" s="2"/>
      <c r="L996" s="2"/>
      <c r="M996" s="2"/>
      <c r="N996" s="2"/>
      <c r="O996" s="2"/>
    </row>
    <row r="997" spans="1:15" s="3" customFormat="1">
      <c r="A997" s="4"/>
      <c r="C997" s="2"/>
      <c r="D997" s="2"/>
      <c r="E997" s="2"/>
      <c r="F997" s="2"/>
      <c r="G997" s="2"/>
      <c r="H997" s="2"/>
      <c r="I997" s="2"/>
      <c r="J997" s="2"/>
      <c r="K997" s="2"/>
      <c r="L997" s="2"/>
      <c r="M997" s="2"/>
      <c r="N997" s="2"/>
      <c r="O997" s="2"/>
    </row>
    <row r="998" spans="1:15" s="3" customFormat="1">
      <c r="A998" s="4"/>
      <c r="C998" s="2"/>
      <c r="D998" s="2"/>
      <c r="E998" s="2"/>
      <c r="F998" s="2"/>
      <c r="G998" s="2"/>
      <c r="H998" s="2"/>
      <c r="I998" s="2"/>
      <c r="J998" s="2"/>
      <c r="K998" s="2"/>
      <c r="L998" s="2"/>
      <c r="M998" s="2"/>
      <c r="N998" s="2"/>
      <c r="O998" s="2"/>
    </row>
  </sheetData>
  <mergeCells count="6">
    <mergeCell ref="A2:O2"/>
    <mergeCell ref="A1:O1"/>
    <mergeCell ref="A380:O380"/>
    <mergeCell ref="A286:O286"/>
    <mergeCell ref="A192:O192"/>
    <mergeCell ref="A98:O98"/>
  </mergeCells>
  <phoneticPr fontId="6" type="noConversion"/>
  <pageMargins left="0.75" right="0.75" top="1" bottom="1" header="0.5" footer="0.5"/>
  <pageSetup scale="54" orientation="landscape" r:id="rId1"/>
  <headerFooter alignWithMargins="0"/>
  <rowBreaks count="4" manualBreakCount="4">
    <brk id="97" max="14" man="1"/>
    <brk id="191" max="14" man="1"/>
    <brk id="285" max="14" man="1"/>
    <brk id="379" max="14" man="1"/>
  </rowBreaks>
</worksheet>
</file>

<file path=xl/worksheets/sheet2.xml><?xml version="1.0" encoding="utf-8"?>
<worksheet xmlns="http://schemas.openxmlformats.org/spreadsheetml/2006/main" xmlns:r="http://schemas.openxmlformats.org/officeDocument/2006/relationships">
  <sheetPr codeName="Sheet1">
    <pageSetUpPr fitToPage="1"/>
  </sheetPr>
  <dimension ref="A1:DR1217"/>
  <sheetViews>
    <sheetView showOutlineSymbols="0" topLeftCell="B1" zoomScale="125" zoomScaleNormal="87" workbookViewId="0">
      <pane xSplit="1" ySplit="12" topLeftCell="C84" activePane="bottomRight" state="frozen"/>
      <selection activeCell="Q385" sqref="Q385"/>
      <selection pane="topRight" activeCell="Q385" sqref="Q385"/>
      <selection pane="bottomLeft" activeCell="Q385" sqref="Q385"/>
      <selection pane="bottomRight" activeCell="A64" sqref="A64"/>
    </sheetView>
  </sheetViews>
  <sheetFormatPr defaultColWidth="12.42578125" defaultRowHeight="12.75"/>
  <cols>
    <col min="1" max="1" width="6" style="283" customWidth="1"/>
    <col min="2" max="2" width="24.140625" style="283" customWidth="1"/>
    <col min="3" max="3" width="12.42578125" style="284" customWidth="1"/>
    <col min="4" max="4" width="11.42578125" style="288" customWidth="1"/>
    <col min="5" max="5" width="17.7109375" style="286" customWidth="1"/>
    <col min="6" max="6" width="10.140625" style="286" customWidth="1"/>
    <col min="7" max="7" width="7.85546875" style="287" customWidth="1"/>
    <col min="8" max="8" width="13.5703125" style="284" customWidth="1"/>
    <col min="9" max="9" width="10" style="288" customWidth="1"/>
    <col min="10" max="10" width="16.7109375" style="286" customWidth="1"/>
    <col min="11" max="11" width="10.85546875" style="286" customWidth="1"/>
    <col min="12" max="12" width="8.7109375" style="289" customWidth="1"/>
    <col min="13" max="13" width="15.5703125" style="290" customWidth="1"/>
    <col min="14" max="14" width="9.85546875" style="288" customWidth="1"/>
    <col min="15" max="15" width="15" style="286" customWidth="1"/>
    <col min="16" max="16" width="13.140625" style="286" customWidth="1"/>
    <col min="17" max="17" width="8.42578125" style="287" customWidth="1"/>
    <col min="18" max="18" width="12.42578125" style="284" customWidth="1"/>
    <col min="19" max="19" width="10" style="288" customWidth="1"/>
    <col min="20" max="20" width="15.85546875" style="286" customWidth="1"/>
    <col min="21" max="21" width="11.28515625" style="286" customWidth="1"/>
    <col min="22" max="22" width="8" style="287" customWidth="1"/>
    <col min="23" max="23" width="12.42578125" style="284" customWidth="1"/>
    <col min="24" max="24" width="10" style="288" customWidth="1"/>
    <col min="25" max="25" width="16.140625" style="286" customWidth="1"/>
    <col min="26" max="26" width="13.140625" style="286" customWidth="1"/>
    <col min="27" max="27" width="8.42578125" style="287" customWidth="1"/>
    <col min="28" max="28" width="12.42578125" style="284" customWidth="1"/>
    <col min="29" max="29" width="10" style="288" customWidth="1"/>
    <col min="30" max="30" width="15.42578125" style="286" customWidth="1"/>
    <col min="31" max="31" width="13.140625" style="286" customWidth="1"/>
    <col min="32" max="32" width="8.42578125" style="287" customWidth="1"/>
    <col min="33" max="33" width="12.42578125" style="284" customWidth="1"/>
    <col min="34" max="34" width="10" style="288" customWidth="1"/>
    <col min="35" max="35" width="15.28515625" style="286" customWidth="1"/>
    <col min="36" max="36" width="13.140625" style="286" customWidth="1"/>
    <col min="37" max="37" width="8.42578125" style="287" customWidth="1"/>
    <col min="38" max="38" width="12.42578125" style="284" customWidth="1"/>
    <col min="39" max="39" width="10" style="288" customWidth="1"/>
    <col min="40" max="40" width="14.42578125" style="286" customWidth="1"/>
    <col min="41" max="41" width="13.140625" style="286" customWidth="1"/>
    <col min="42" max="42" width="8.7109375" style="287" customWidth="1"/>
    <col min="43" max="43" width="12.42578125" style="284" customWidth="1"/>
    <col min="44" max="44" width="10" style="288" customWidth="1"/>
    <col min="45" max="45" width="16.42578125" style="286" customWidth="1"/>
    <col min="46" max="46" width="13.140625" style="286" customWidth="1"/>
    <col min="47" max="47" width="8.42578125" style="287" customWidth="1"/>
    <col min="48" max="48" width="12.42578125" style="284" customWidth="1"/>
    <col min="49" max="49" width="10" style="288" customWidth="1"/>
    <col min="50" max="50" width="17.85546875" style="286" customWidth="1"/>
    <col min="51" max="51" width="13.140625" style="286" customWidth="1"/>
    <col min="52" max="52" width="8.42578125" style="287" bestFit="1" customWidth="1"/>
    <col min="53" max="53" width="12.140625" style="284" customWidth="1"/>
    <col min="54" max="54" width="10" style="288" customWidth="1"/>
    <col min="55" max="55" width="17.7109375" style="286" customWidth="1"/>
    <col min="56" max="56" width="13.140625" style="286" customWidth="1"/>
    <col min="57" max="57" width="8.42578125" style="287" bestFit="1" customWidth="1"/>
    <col min="58" max="58" width="12.42578125" style="284" customWidth="1"/>
    <col min="59" max="59" width="10" style="288" customWidth="1"/>
    <col min="60" max="60" width="14" style="286" customWidth="1"/>
    <col min="61" max="61" width="11.28515625" style="286" customWidth="1"/>
    <col min="62" max="62" width="10.42578125" style="287" bestFit="1" customWidth="1"/>
    <col min="63" max="63" width="14" style="284" customWidth="1"/>
    <col min="64" max="64" width="12.85546875" style="288" customWidth="1"/>
    <col min="65" max="65" width="17.7109375" style="286" customWidth="1"/>
    <col min="66" max="66" width="13.140625" style="286" customWidth="1"/>
    <col min="67" max="67" width="8.85546875" style="289" customWidth="1"/>
    <col min="68" max="68" width="13.5703125" style="283" customWidth="1"/>
    <col min="69" max="74" width="15" style="283" customWidth="1"/>
    <col min="75" max="75" width="12.42578125" style="283" customWidth="1"/>
    <col min="76" max="78" width="16.28515625" style="283" customWidth="1"/>
    <col min="79" max="85" width="12.42578125" style="283" customWidth="1"/>
    <col min="86" max="86" width="26.5703125" style="283" customWidth="1"/>
    <col min="87" max="90" width="18.85546875" style="283" customWidth="1"/>
    <col min="91" max="91" width="12.42578125" style="283" customWidth="1"/>
    <col min="92" max="92" width="18.85546875" style="283" customWidth="1"/>
    <col min="93" max="93" width="12.42578125" style="283" customWidth="1"/>
    <col min="94" max="94" width="18.85546875" style="283" customWidth="1"/>
    <col min="95" max="111" width="12.42578125" style="283" customWidth="1"/>
    <col min="112" max="112" width="35.5703125" style="283" customWidth="1"/>
    <col min="113" max="113" width="13.7109375" style="283" customWidth="1"/>
    <col min="114" max="114" width="12.42578125" style="283" customWidth="1"/>
    <col min="115" max="116" width="16.28515625" style="283" customWidth="1"/>
    <col min="117" max="117" width="15" style="283" customWidth="1"/>
    <col min="118" max="118" width="12.42578125" style="283" customWidth="1"/>
    <col min="119" max="120" width="13.7109375" style="283" customWidth="1"/>
    <col min="121" max="121" width="16.28515625" style="283" customWidth="1"/>
    <col min="122" max="16384" width="12.42578125" style="283"/>
  </cols>
  <sheetData>
    <row r="1" spans="1:121">
      <c r="A1" s="282" t="s">
        <v>1</v>
      </c>
      <c r="D1" s="285" t="s">
        <v>1</v>
      </c>
      <c r="CT1" s="283" t="s">
        <v>166</v>
      </c>
      <c r="CV1" s="283" t="s">
        <v>167</v>
      </c>
      <c r="CW1" s="283" t="s">
        <v>168</v>
      </c>
    </row>
    <row r="2" spans="1:121">
      <c r="A2" s="283" t="s">
        <v>1</v>
      </c>
      <c r="B2" s="283" t="s">
        <v>169</v>
      </c>
      <c r="C2" s="291">
        <v>12</v>
      </c>
      <c r="CV2" s="283" t="s">
        <v>170</v>
      </c>
      <c r="CW2" s="283" t="s">
        <v>171</v>
      </c>
      <c r="DI2" s="283" t="s">
        <v>172</v>
      </c>
      <c r="DP2" s="283" t="s">
        <v>173</v>
      </c>
    </row>
    <row r="3" spans="1:121">
      <c r="A3" s="283" t="s">
        <v>1</v>
      </c>
      <c r="B3" s="292"/>
      <c r="D3" s="293" t="s">
        <v>463</v>
      </c>
      <c r="BN3" s="286">
        <f>1-(72/74)</f>
        <v>2.7027027027026973E-2</v>
      </c>
      <c r="CV3" s="283" t="s">
        <v>174</v>
      </c>
      <c r="CW3" s="283" t="s">
        <v>175</v>
      </c>
    </row>
    <row r="4" spans="1:121">
      <c r="A4" s="283" t="s">
        <v>1</v>
      </c>
      <c r="B4" s="292"/>
      <c r="CV4" s="294" t="s">
        <v>176</v>
      </c>
      <c r="CW4" s="283" t="s">
        <v>177</v>
      </c>
    </row>
    <row r="5" spans="1:121">
      <c r="A5" s="283" t="s">
        <v>1</v>
      </c>
      <c r="B5" s="292"/>
      <c r="CW5" s="283" t="s">
        <v>178</v>
      </c>
      <c r="DE5" s="283" t="s">
        <v>179</v>
      </c>
      <c r="DP5" s="283" t="str">
        <f>D3</f>
        <v>3-year averages</v>
      </c>
    </row>
    <row r="6" spans="1:121">
      <c r="A6" s="282" t="s">
        <v>1</v>
      </c>
      <c r="B6" s="282" t="s">
        <v>1</v>
      </c>
      <c r="C6" s="295" t="s">
        <v>1</v>
      </c>
      <c r="D6" s="285" t="s">
        <v>1</v>
      </c>
      <c r="E6" s="296" t="s">
        <v>1</v>
      </c>
      <c r="F6" s="296" t="s">
        <v>1</v>
      </c>
      <c r="G6" s="297" t="s">
        <v>1</v>
      </c>
      <c r="H6" s="295" t="s">
        <v>1</v>
      </c>
      <c r="I6" s="285" t="s">
        <v>1</v>
      </c>
      <c r="J6" s="296" t="s">
        <v>1</v>
      </c>
      <c r="K6" s="296" t="s">
        <v>1</v>
      </c>
      <c r="L6" s="298" t="s">
        <v>1</v>
      </c>
      <c r="M6" s="299" t="s">
        <v>1</v>
      </c>
      <c r="N6" s="285" t="s">
        <v>1</v>
      </c>
      <c r="O6" s="296" t="s">
        <v>1</v>
      </c>
      <c r="P6" s="296" t="s">
        <v>1</v>
      </c>
      <c r="Q6" s="297" t="s">
        <v>1</v>
      </c>
      <c r="R6" s="295" t="s">
        <v>1</v>
      </c>
      <c r="S6" s="285" t="s">
        <v>1</v>
      </c>
      <c r="T6" s="296" t="s">
        <v>1</v>
      </c>
      <c r="U6" s="296" t="s">
        <v>1</v>
      </c>
      <c r="V6" s="297" t="s">
        <v>1</v>
      </c>
      <c r="W6" s="295" t="s">
        <v>1</v>
      </c>
      <c r="X6" s="285" t="s">
        <v>1</v>
      </c>
      <c r="Y6" s="296" t="s">
        <v>1</v>
      </c>
      <c r="Z6" s="296" t="s">
        <v>1</v>
      </c>
      <c r="AA6" s="297" t="s">
        <v>1</v>
      </c>
      <c r="AB6" s="295" t="s">
        <v>1</v>
      </c>
      <c r="AC6" s="285" t="s">
        <v>1</v>
      </c>
      <c r="AD6" s="296" t="s">
        <v>1</v>
      </c>
      <c r="AE6" s="296" t="s">
        <v>1</v>
      </c>
      <c r="AF6" s="297" t="s">
        <v>1</v>
      </c>
      <c r="AG6" s="295" t="s">
        <v>1</v>
      </c>
      <c r="AH6" s="285" t="s">
        <v>1</v>
      </c>
      <c r="AI6" s="296" t="s">
        <v>1</v>
      </c>
      <c r="AJ6" s="296" t="s">
        <v>1</v>
      </c>
      <c r="AK6" s="297" t="s">
        <v>1</v>
      </c>
      <c r="AL6" s="295" t="s">
        <v>1</v>
      </c>
      <c r="AM6" s="285" t="s">
        <v>1</v>
      </c>
      <c r="AN6" s="296" t="s">
        <v>1</v>
      </c>
      <c r="AO6" s="296" t="s">
        <v>1</v>
      </c>
      <c r="AP6" s="297" t="s">
        <v>1</v>
      </c>
      <c r="AQ6" s="295" t="s">
        <v>1</v>
      </c>
      <c r="AR6" s="285" t="s">
        <v>1</v>
      </c>
      <c r="AS6" s="296" t="s">
        <v>1</v>
      </c>
      <c r="AT6" s="296" t="s">
        <v>1</v>
      </c>
      <c r="AU6" s="297" t="s">
        <v>1</v>
      </c>
      <c r="AV6" s="295" t="s">
        <v>1</v>
      </c>
      <c r="AW6" s="285" t="s">
        <v>1</v>
      </c>
      <c r="AX6" s="296" t="s">
        <v>1</v>
      </c>
      <c r="AY6" s="296" t="s">
        <v>1</v>
      </c>
      <c r="AZ6" s="297" t="s">
        <v>1</v>
      </c>
      <c r="BA6" s="295" t="s">
        <v>1</v>
      </c>
      <c r="BB6" s="285" t="s">
        <v>1</v>
      </c>
      <c r="BC6" s="296" t="s">
        <v>1</v>
      </c>
      <c r="BD6" s="296" t="s">
        <v>1</v>
      </c>
      <c r="BE6" s="297" t="s">
        <v>1</v>
      </c>
      <c r="BF6" s="295" t="s">
        <v>1</v>
      </c>
      <c r="BG6" s="285" t="s">
        <v>1</v>
      </c>
      <c r="BH6" s="296" t="s">
        <v>1</v>
      </c>
      <c r="BI6" s="296" t="s">
        <v>1</v>
      </c>
      <c r="BJ6" s="297" t="s">
        <v>1</v>
      </c>
      <c r="BK6" s="295" t="s">
        <v>1</v>
      </c>
      <c r="BL6" s="285" t="s">
        <v>1</v>
      </c>
      <c r="BM6" s="296" t="s">
        <v>1</v>
      </c>
      <c r="BN6" s="296" t="s">
        <v>1</v>
      </c>
      <c r="BO6" s="298" t="s">
        <v>1</v>
      </c>
      <c r="BP6" s="282" t="s">
        <v>1</v>
      </c>
      <c r="BQ6" s="282" t="s">
        <v>1</v>
      </c>
      <c r="BR6" s="282" t="s">
        <v>1</v>
      </c>
      <c r="BS6" s="282" t="s">
        <v>1</v>
      </c>
      <c r="BT6" s="282" t="s">
        <v>1</v>
      </c>
      <c r="BU6" s="282" t="s">
        <v>1</v>
      </c>
      <c r="BV6" s="282" t="s">
        <v>1</v>
      </c>
      <c r="BW6" s="282" t="s">
        <v>1</v>
      </c>
      <c r="BX6" s="282" t="s">
        <v>1</v>
      </c>
      <c r="BY6" s="282" t="s">
        <v>1</v>
      </c>
      <c r="BZ6" s="282" t="s">
        <v>1</v>
      </c>
      <c r="CA6" s="282" t="s">
        <v>1</v>
      </c>
      <c r="CW6" s="283" t="s">
        <v>180</v>
      </c>
    </row>
    <row r="7" spans="1:121">
      <c r="A7" s="283" t="s">
        <v>1</v>
      </c>
      <c r="B7" s="300" t="s">
        <v>46</v>
      </c>
      <c r="V7" s="287" t="s">
        <v>181</v>
      </c>
      <c r="BO7" s="301" t="s">
        <v>1</v>
      </c>
      <c r="CA7" s="283" t="s">
        <v>182</v>
      </c>
      <c r="CW7" s="283" t="s">
        <v>183</v>
      </c>
    </row>
    <row r="8" spans="1:121">
      <c r="A8" s="283" t="s">
        <v>1</v>
      </c>
      <c r="B8" s="283" t="s">
        <v>184</v>
      </c>
      <c r="BO8" s="301" t="s">
        <v>1</v>
      </c>
      <c r="CA8" s="283" t="s">
        <v>182</v>
      </c>
      <c r="DD8" s="283" t="s">
        <v>185</v>
      </c>
      <c r="DE8" s="282" t="s">
        <v>14</v>
      </c>
      <c r="DF8" s="282" t="s">
        <v>14</v>
      </c>
      <c r="DG8" s="283" t="s">
        <v>186</v>
      </c>
      <c r="DI8" s="282" t="s">
        <v>14</v>
      </c>
      <c r="DJ8" s="283" t="s">
        <v>187</v>
      </c>
      <c r="DK8" s="283" t="s">
        <v>188</v>
      </c>
      <c r="DM8" s="283" t="s">
        <v>189</v>
      </c>
      <c r="DP8" s="283" t="s">
        <v>190</v>
      </c>
    </row>
    <row r="9" spans="1:121">
      <c r="A9" s="283" t="s">
        <v>1</v>
      </c>
      <c r="D9" s="302">
        <f>D16/D23</f>
        <v>8.8664780763790674</v>
      </c>
      <c r="I9" s="302">
        <f>I16/I23</f>
        <v>9.7483684929427827</v>
      </c>
      <c r="N9" s="302">
        <f>N16/N23</f>
        <v>4.898407288457757</v>
      </c>
      <c r="S9" s="302">
        <f>S16/S23</f>
        <v>11.389416983523446</v>
      </c>
      <c r="X9" s="302">
        <f>X16/X23</f>
        <v>9.5382701595199766</v>
      </c>
      <c r="AC9" s="302">
        <f>AC16/AC23</f>
        <v>6.224768503097728</v>
      </c>
      <c r="AH9" s="302">
        <f>AH16/AH23</f>
        <v>9.9445772658117786</v>
      </c>
      <c r="AM9" s="302">
        <f>AM16/AM23</f>
        <v>9.3011335633316907</v>
      </c>
      <c r="AR9" s="302">
        <f>AR16/AR23</f>
        <v>7.8855538540071457</v>
      </c>
      <c r="AW9" s="302">
        <f>AW16/AW23</f>
        <v>6.3991113834839899</v>
      </c>
      <c r="BB9" s="302">
        <f>BB16/BB23</f>
        <v>2.759636992221262</v>
      </c>
      <c r="BG9" s="302">
        <f>BG16/BG23</f>
        <v>5.2715782471312158</v>
      </c>
      <c r="BL9" s="302">
        <f>BL16/BL23</f>
        <v>6.7397756519927983</v>
      </c>
      <c r="BO9" s="301" t="s">
        <v>1</v>
      </c>
      <c r="CA9" s="283" t="s">
        <v>182</v>
      </c>
      <c r="CU9" s="283" t="s">
        <v>191</v>
      </c>
      <c r="DD9" s="283" t="s">
        <v>192</v>
      </c>
      <c r="DJ9" s="283" t="s">
        <v>193</v>
      </c>
      <c r="DM9" s="283" t="s">
        <v>192</v>
      </c>
      <c r="DO9" s="283" t="s">
        <v>194</v>
      </c>
      <c r="DQ9" s="283" t="s">
        <v>195</v>
      </c>
    </row>
    <row r="10" spans="1:121">
      <c r="A10" s="283" t="s">
        <v>1</v>
      </c>
      <c r="B10" s="284"/>
      <c r="C10" s="284" t="s">
        <v>196</v>
      </c>
      <c r="G10" s="303" t="s">
        <v>2</v>
      </c>
      <c r="H10" s="304" t="s">
        <v>197</v>
      </c>
      <c r="I10" s="305"/>
      <c r="J10" s="306"/>
      <c r="K10" s="306"/>
      <c r="L10" s="301" t="s">
        <v>3</v>
      </c>
      <c r="M10" s="307" t="s">
        <v>198</v>
      </c>
      <c r="N10" s="305"/>
      <c r="O10" s="306"/>
      <c r="P10" s="306"/>
      <c r="Q10" s="303" t="s">
        <v>199</v>
      </c>
      <c r="R10" s="304" t="s">
        <v>200</v>
      </c>
      <c r="S10" s="305"/>
      <c r="T10" s="306"/>
      <c r="U10" s="306"/>
      <c r="V10" s="303" t="s">
        <v>201</v>
      </c>
      <c r="W10" s="304" t="s">
        <v>202</v>
      </c>
      <c r="X10" s="305"/>
      <c r="Y10" s="306"/>
      <c r="Z10" s="306"/>
      <c r="AA10" s="303" t="s">
        <v>6</v>
      </c>
      <c r="AB10" s="304" t="s">
        <v>203</v>
      </c>
      <c r="AC10" s="305"/>
      <c r="AD10" s="306"/>
      <c r="AE10" s="306"/>
      <c r="AF10" s="303" t="s">
        <v>7</v>
      </c>
      <c r="AG10" s="304" t="s">
        <v>204</v>
      </c>
      <c r="AH10" s="305"/>
      <c r="AI10" s="306"/>
      <c r="AJ10" s="306"/>
      <c r="AK10" s="303" t="s">
        <v>8</v>
      </c>
      <c r="AL10" s="304" t="s">
        <v>205</v>
      </c>
      <c r="AM10" s="305"/>
      <c r="AN10" s="306"/>
      <c r="AO10" s="306"/>
      <c r="AP10" s="303" t="s">
        <v>206</v>
      </c>
      <c r="AQ10" s="304" t="s">
        <v>207</v>
      </c>
      <c r="AR10" s="305"/>
      <c r="AS10" s="306"/>
      <c r="AT10" s="306"/>
      <c r="AU10" s="303" t="s">
        <v>9</v>
      </c>
      <c r="AV10" s="304" t="s">
        <v>208</v>
      </c>
      <c r="AW10" s="305"/>
      <c r="AX10" s="306"/>
      <c r="AY10" s="306"/>
      <c r="AZ10" s="303" t="s">
        <v>10</v>
      </c>
      <c r="BA10" s="304" t="s">
        <v>209</v>
      </c>
      <c r="BB10" s="305"/>
      <c r="BC10" s="306"/>
      <c r="BD10" s="306"/>
      <c r="BE10" s="303" t="s">
        <v>11</v>
      </c>
      <c r="BF10" s="304" t="s">
        <v>210</v>
      </c>
      <c r="BG10" s="305"/>
      <c r="BH10" s="306"/>
      <c r="BI10" s="306"/>
      <c r="BJ10" s="303" t="s">
        <v>12</v>
      </c>
      <c r="BK10" s="284" t="s">
        <v>211</v>
      </c>
      <c r="BO10" s="301" t="s">
        <v>212</v>
      </c>
      <c r="BP10" s="308">
        <f>BN78/BL78</f>
        <v>0.14497016843555363</v>
      </c>
      <c r="BQ10" s="309">
        <f>BL14*0.177</f>
        <v>330552.75099999999</v>
      </c>
      <c r="BR10" s="283" t="s">
        <v>213</v>
      </c>
      <c r="BW10" s="283" t="s">
        <v>213</v>
      </c>
      <c r="CA10" s="283" t="s">
        <v>182</v>
      </c>
      <c r="CV10" s="294" t="s">
        <v>214</v>
      </c>
      <c r="DD10" s="283" t="s">
        <v>192</v>
      </c>
      <c r="DJ10" s="283" t="s">
        <v>193</v>
      </c>
      <c r="DK10" s="310" t="s">
        <v>111</v>
      </c>
      <c r="DL10" s="310" t="s">
        <v>165</v>
      </c>
      <c r="DM10" s="283" t="s">
        <v>215</v>
      </c>
      <c r="DO10" s="283" t="s">
        <v>194</v>
      </c>
      <c r="DQ10" s="283" t="s">
        <v>195</v>
      </c>
    </row>
    <row r="11" spans="1:121">
      <c r="A11" s="283" t="s">
        <v>1</v>
      </c>
      <c r="B11" s="311"/>
      <c r="C11" s="284" t="s">
        <v>216</v>
      </c>
      <c r="E11" s="306" t="s">
        <v>217</v>
      </c>
      <c r="G11" s="303" t="s">
        <v>218</v>
      </c>
      <c r="H11" s="304" t="s">
        <v>216</v>
      </c>
      <c r="J11" s="286" t="s">
        <v>217</v>
      </c>
      <c r="L11" s="301" t="s">
        <v>218</v>
      </c>
      <c r="M11" s="307" t="s">
        <v>216</v>
      </c>
      <c r="O11" s="286" t="s">
        <v>217</v>
      </c>
      <c r="Q11" s="303" t="s">
        <v>218</v>
      </c>
      <c r="R11" s="304" t="s">
        <v>216</v>
      </c>
      <c r="T11" s="286" t="s">
        <v>217</v>
      </c>
      <c r="V11" s="303" t="s">
        <v>218</v>
      </c>
      <c r="W11" s="304" t="s">
        <v>216</v>
      </c>
      <c r="Y11" s="286" t="s">
        <v>217</v>
      </c>
      <c r="AA11" s="303" t="s">
        <v>218</v>
      </c>
      <c r="AB11" s="304" t="s">
        <v>216</v>
      </c>
      <c r="AD11" s="286" t="s">
        <v>217</v>
      </c>
      <c r="AF11" s="303" t="s">
        <v>218</v>
      </c>
      <c r="AG11" s="304" t="s">
        <v>216</v>
      </c>
      <c r="AI11" s="286" t="s">
        <v>217</v>
      </c>
      <c r="AK11" s="303" t="s">
        <v>218</v>
      </c>
      <c r="AL11" s="304" t="s">
        <v>216</v>
      </c>
      <c r="AN11" s="286" t="s">
        <v>217</v>
      </c>
      <c r="AP11" s="303" t="s">
        <v>218</v>
      </c>
      <c r="AQ11" s="304" t="s">
        <v>216</v>
      </c>
      <c r="AS11" s="286" t="s">
        <v>217</v>
      </c>
      <c r="AU11" s="303" t="s">
        <v>218</v>
      </c>
      <c r="AV11" s="304" t="s">
        <v>216</v>
      </c>
      <c r="AX11" s="286" t="s">
        <v>217</v>
      </c>
      <c r="AZ11" s="303" t="s">
        <v>218</v>
      </c>
      <c r="BA11" s="304" t="s">
        <v>216</v>
      </c>
      <c r="BC11" s="286" t="s">
        <v>217</v>
      </c>
      <c r="BE11" s="303" t="s">
        <v>218</v>
      </c>
      <c r="BF11" s="312" t="s">
        <v>216</v>
      </c>
      <c r="BG11" s="313"/>
      <c r="BH11" s="314" t="s">
        <v>217</v>
      </c>
      <c r="BJ11" s="303" t="s">
        <v>218</v>
      </c>
      <c r="BK11" s="304" t="s">
        <v>216</v>
      </c>
      <c r="BM11" s="286" t="s">
        <v>217</v>
      </c>
      <c r="BO11" s="301" t="s">
        <v>218</v>
      </c>
      <c r="BP11" s="315"/>
      <c r="BQ11" s="309">
        <f>BQ10-BN14</f>
        <v>60065.66433333332</v>
      </c>
      <c r="CA11" s="283" t="s">
        <v>182</v>
      </c>
      <c r="DD11" s="283" t="s">
        <v>192</v>
      </c>
      <c r="DE11" s="310" t="s">
        <v>219</v>
      </c>
      <c r="DF11" s="310" t="s">
        <v>220</v>
      </c>
      <c r="DG11" s="310" t="s">
        <v>221</v>
      </c>
      <c r="DH11" s="283" t="s">
        <v>222</v>
      </c>
      <c r="DI11" s="310" t="s">
        <v>223</v>
      </c>
      <c r="DJ11" s="310" t="s">
        <v>22</v>
      </c>
      <c r="DK11" s="310" t="s">
        <v>224</v>
      </c>
      <c r="DL11" s="310" t="s">
        <v>224</v>
      </c>
      <c r="DM11" s="310" t="s">
        <v>225</v>
      </c>
      <c r="DN11" s="310" t="s">
        <v>226</v>
      </c>
      <c r="DO11" s="310" t="s">
        <v>227</v>
      </c>
      <c r="DP11" s="310" t="s">
        <v>228</v>
      </c>
      <c r="DQ11" s="283" t="s">
        <v>229</v>
      </c>
    </row>
    <row r="12" spans="1:121">
      <c r="A12" s="283" t="s">
        <v>1</v>
      </c>
      <c r="C12" s="304" t="s">
        <v>230</v>
      </c>
      <c r="D12" s="305" t="s">
        <v>218</v>
      </c>
      <c r="E12" s="306" t="s">
        <v>230</v>
      </c>
      <c r="F12" s="306" t="s">
        <v>218</v>
      </c>
      <c r="G12" s="303" t="s">
        <v>55</v>
      </c>
      <c r="H12" s="304" t="s">
        <v>230</v>
      </c>
      <c r="I12" s="305" t="s">
        <v>218</v>
      </c>
      <c r="J12" s="306" t="s">
        <v>230</v>
      </c>
      <c r="K12" s="306" t="s">
        <v>218</v>
      </c>
      <c r="L12" s="301" t="s">
        <v>55</v>
      </c>
      <c r="M12" s="307" t="s">
        <v>230</v>
      </c>
      <c r="N12" s="305" t="s">
        <v>218</v>
      </c>
      <c r="O12" s="306" t="s">
        <v>230</v>
      </c>
      <c r="P12" s="306" t="s">
        <v>218</v>
      </c>
      <c r="Q12" s="303" t="s">
        <v>55</v>
      </c>
      <c r="R12" s="304" t="s">
        <v>230</v>
      </c>
      <c r="S12" s="305" t="s">
        <v>218</v>
      </c>
      <c r="T12" s="306" t="s">
        <v>230</v>
      </c>
      <c r="U12" s="306" t="s">
        <v>218</v>
      </c>
      <c r="V12" s="303" t="s">
        <v>55</v>
      </c>
      <c r="W12" s="304" t="s">
        <v>230</v>
      </c>
      <c r="X12" s="305" t="s">
        <v>218</v>
      </c>
      <c r="Y12" s="306" t="s">
        <v>230</v>
      </c>
      <c r="Z12" s="306" t="s">
        <v>218</v>
      </c>
      <c r="AA12" s="303" t="s">
        <v>55</v>
      </c>
      <c r="AB12" s="304" t="s">
        <v>230</v>
      </c>
      <c r="AC12" s="305" t="s">
        <v>218</v>
      </c>
      <c r="AD12" s="306" t="s">
        <v>230</v>
      </c>
      <c r="AE12" s="306" t="s">
        <v>218</v>
      </c>
      <c r="AF12" s="303" t="s">
        <v>55</v>
      </c>
      <c r="AG12" s="304" t="s">
        <v>230</v>
      </c>
      <c r="AH12" s="305" t="s">
        <v>218</v>
      </c>
      <c r="AI12" s="306" t="s">
        <v>230</v>
      </c>
      <c r="AJ12" s="306" t="s">
        <v>218</v>
      </c>
      <c r="AK12" s="303" t="s">
        <v>55</v>
      </c>
      <c r="AL12" s="304" t="s">
        <v>230</v>
      </c>
      <c r="AM12" s="305" t="s">
        <v>218</v>
      </c>
      <c r="AN12" s="306" t="s">
        <v>230</v>
      </c>
      <c r="AO12" s="306" t="s">
        <v>218</v>
      </c>
      <c r="AP12" s="303" t="s">
        <v>55</v>
      </c>
      <c r="AQ12" s="304" t="s">
        <v>230</v>
      </c>
      <c r="AR12" s="305" t="s">
        <v>218</v>
      </c>
      <c r="AS12" s="306" t="s">
        <v>230</v>
      </c>
      <c r="AT12" s="306" t="s">
        <v>218</v>
      </c>
      <c r="AU12" s="303" t="s">
        <v>55</v>
      </c>
      <c r="AV12" s="304" t="s">
        <v>230</v>
      </c>
      <c r="AW12" s="305" t="s">
        <v>218</v>
      </c>
      <c r="AX12" s="306" t="s">
        <v>230</v>
      </c>
      <c r="AY12" s="306" t="s">
        <v>218</v>
      </c>
      <c r="AZ12" s="303" t="s">
        <v>55</v>
      </c>
      <c r="BA12" s="304" t="s">
        <v>230</v>
      </c>
      <c r="BB12" s="305" t="s">
        <v>218</v>
      </c>
      <c r="BC12" s="306" t="s">
        <v>230</v>
      </c>
      <c r="BD12" s="306" t="s">
        <v>218</v>
      </c>
      <c r="BE12" s="303" t="s">
        <v>55</v>
      </c>
      <c r="BF12" s="304" t="s">
        <v>230</v>
      </c>
      <c r="BG12" s="305" t="s">
        <v>218</v>
      </c>
      <c r="BH12" s="306" t="s">
        <v>230</v>
      </c>
      <c r="BI12" s="306" t="s">
        <v>218</v>
      </c>
      <c r="BJ12" s="303" t="s">
        <v>55</v>
      </c>
      <c r="BK12" s="304" t="s">
        <v>230</v>
      </c>
      <c r="BL12" s="305" t="s">
        <v>218</v>
      </c>
      <c r="BM12" s="306" t="s">
        <v>230</v>
      </c>
      <c r="BN12" s="306" t="s">
        <v>218</v>
      </c>
      <c r="BO12" s="301" t="s">
        <v>55</v>
      </c>
      <c r="BS12" s="283" t="s">
        <v>230</v>
      </c>
      <c r="BT12" s="283" t="s">
        <v>218</v>
      </c>
      <c r="BU12" s="283" t="s">
        <v>231</v>
      </c>
      <c r="BX12" s="283" t="s">
        <v>230</v>
      </c>
      <c r="BY12" s="283" t="s">
        <v>218</v>
      </c>
      <c r="BZ12" s="283" t="s">
        <v>231</v>
      </c>
      <c r="CA12" s="283" t="s">
        <v>182</v>
      </c>
      <c r="DD12" s="283" t="s">
        <v>185</v>
      </c>
      <c r="DE12" s="282" t="s">
        <v>14</v>
      </c>
      <c r="DF12" s="282" t="s">
        <v>14</v>
      </c>
      <c r="DG12" s="282" t="s">
        <v>14</v>
      </c>
      <c r="DH12" s="282" t="s">
        <v>14</v>
      </c>
      <c r="DI12" s="282" t="s">
        <v>14</v>
      </c>
      <c r="DJ12" s="282" t="s">
        <v>14</v>
      </c>
      <c r="DK12" s="282" t="s">
        <v>14</v>
      </c>
      <c r="DL12" s="282" t="s">
        <v>14</v>
      </c>
      <c r="DM12" s="282" t="s">
        <v>14</v>
      </c>
      <c r="DN12" s="282" t="s">
        <v>14</v>
      </c>
      <c r="DO12" s="282" t="s">
        <v>14</v>
      </c>
      <c r="DP12" s="282" t="s">
        <v>14</v>
      </c>
      <c r="DQ12" s="283" t="s">
        <v>232</v>
      </c>
    </row>
    <row r="13" spans="1:121" s="316" customFormat="1">
      <c r="A13" s="316" t="s">
        <v>1</v>
      </c>
      <c r="B13" s="316" t="s">
        <v>65</v>
      </c>
      <c r="C13" s="317">
        <f>AVERAGE([5]A!C14,'[6]2009'!C14,'[7]2010'!C14)</f>
        <v>0</v>
      </c>
      <c r="D13" s="317">
        <f>AVERAGE([5]A!D14,'[6]2009'!D14,'[7]2010'!D14)</f>
        <v>0</v>
      </c>
      <c r="E13" s="317">
        <f>AVERAGE([5]A!E14,'[6]2009'!E14,'[7]2010'!E14)</f>
        <v>0</v>
      </c>
      <c r="F13" s="317">
        <f>AVERAGE([5]A!F14,'[6]2009'!F14,'[7]2010'!F14)</f>
        <v>0</v>
      </c>
      <c r="G13" s="317">
        <f>AVERAGE([5]A!G14,'[6]2009'!G14,'[7]2010'!G14)</f>
        <v>0</v>
      </c>
      <c r="H13" s="317">
        <f>AVERAGE([5]A!H14,'[6]2009'!H14,'[7]2010'!H14)</f>
        <v>0</v>
      </c>
      <c r="I13" s="317">
        <f>AVERAGE([5]A!I14,'[6]2009'!I14,'[7]2010'!I14)</f>
        <v>0</v>
      </c>
      <c r="J13" s="317">
        <f>AVERAGE([5]A!J14,'[6]2009'!J14,'[7]2010'!J14)</f>
        <v>0</v>
      </c>
      <c r="K13" s="317">
        <f>AVERAGE([5]A!K14,'[6]2009'!K14,'[7]2010'!K14)</f>
        <v>0</v>
      </c>
      <c r="L13" s="317">
        <f>AVERAGE([5]A!L14,'[6]2009'!L14,'[7]2010'!L14)</f>
        <v>0</v>
      </c>
      <c r="M13" s="317">
        <f>AVERAGE([5]A!M14,'[6]2009'!M14,'[7]2010'!M14)</f>
        <v>0</v>
      </c>
      <c r="N13" s="317">
        <f>AVERAGE([5]A!N14,'[6]2009'!N14,'[7]2010'!N14)</f>
        <v>0</v>
      </c>
      <c r="O13" s="317">
        <f>AVERAGE([5]A!O14,'[6]2009'!O14,'[7]2010'!O14)</f>
        <v>0</v>
      </c>
      <c r="P13" s="317">
        <f>AVERAGE([5]A!P14,'[6]2009'!P14,'[7]2010'!P14)</f>
        <v>0</v>
      </c>
      <c r="Q13" s="317">
        <f>AVERAGE([5]A!Q14,'[6]2009'!Q14,'[7]2010'!Q14)</f>
        <v>0</v>
      </c>
      <c r="R13" s="317">
        <f>AVERAGE([5]A!R14,'[6]2009'!R14,'[7]2010'!R14)</f>
        <v>0</v>
      </c>
      <c r="S13" s="317">
        <f>AVERAGE([5]A!S14,'[6]2009'!S14,'[7]2010'!S14)</f>
        <v>0</v>
      </c>
      <c r="T13" s="317">
        <f>AVERAGE([5]A!T14,'[6]2009'!T14,'[7]2010'!T14)</f>
        <v>0</v>
      </c>
      <c r="U13" s="317">
        <f>AVERAGE([5]A!U14,'[6]2009'!U14,'[7]2010'!U14)</f>
        <v>0</v>
      </c>
      <c r="V13" s="317">
        <f>AVERAGE([5]A!V14,'[6]2009'!V14,'[7]2010'!V14)</f>
        <v>0</v>
      </c>
      <c r="W13" s="317">
        <f>AVERAGE([5]A!W14,'[6]2009'!W14,'[7]2010'!W14)</f>
        <v>0</v>
      </c>
      <c r="X13" s="317">
        <f>AVERAGE([5]A!X14,'[6]2009'!X14,'[7]2010'!X14)</f>
        <v>7291.333333333333</v>
      </c>
      <c r="Y13" s="317">
        <f>AVERAGE([5]A!Y14,'[6]2009'!Y14,'[7]2010'!Y14)</f>
        <v>0</v>
      </c>
      <c r="Z13" s="317">
        <f>AVERAGE([5]A!Z14,'[6]2009'!Z14,'[7]2010'!Z14)</f>
        <v>726.2166666666667</v>
      </c>
      <c r="AA13" s="317">
        <f>AVERAGE([5]A!AA14,'[6]2009'!AA14,'[7]2010'!AA14)</f>
        <v>19.274454342788157</v>
      </c>
      <c r="AB13" s="317">
        <f>AVERAGE([5]A!AB14,'[6]2009'!AB14,'[7]2010'!AB14)</f>
        <v>0</v>
      </c>
      <c r="AC13" s="317">
        <f>AVERAGE([5]A!AC14,'[6]2009'!AC14,'[7]2010'!AC14)</f>
        <v>0</v>
      </c>
      <c r="AD13" s="317">
        <f>AVERAGE([5]A!AD14,'[6]2009'!AD14,'[7]2010'!AD14)</f>
        <v>0</v>
      </c>
      <c r="AE13" s="317">
        <f>AVERAGE([5]A!AE14,'[6]2009'!AE14,'[7]2010'!AE14)</f>
        <v>0</v>
      </c>
      <c r="AF13" s="317">
        <f>AVERAGE([5]A!AF14,'[6]2009'!AF14,'[7]2010'!AF14)</f>
        <v>0</v>
      </c>
      <c r="AG13" s="317">
        <f>AVERAGE([5]A!AG14,'[6]2009'!AG14,'[7]2010'!AG14)</f>
        <v>0</v>
      </c>
      <c r="AH13" s="317">
        <f>AVERAGE([5]A!AH14,'[6]2009'!AH14,'[7]2010'!AH14)</f>
        <v>4653.666666666667</v>
      </c>
      <c r="AI13" s="317">
        <f>AVERAGE([5]A!AI14,'[6]2009'!AI14,'[7]2010'!AI14)</f>
        <v>0</v>
      </c>
      <c r="AJ13" s="317">
        <f>AVERAGE([5]A!AJ14,'[6]2009'!AJ14,'[7]2010'!AJ14)</f>
        <v>530.0533333333334</v>
      </c>
      <c r="AK13" s="317">
        <f>AVERAGE([5]A!AK14,'[6]2009'!AK14,'[7]2010'!AK14)</f>
        <v>10.611484817390643</v>
      </c>
      <c r="AL13" s="317">
        <f>AVERAGE([5]A!AL14,'[6]2009'!AL14,'[7]2010'!AL14)</f>
        <v>0</v>
      </c>
      <c r="AM13" s="317">
        <f>AVERAGE([5]A!AM14,'[6]2009'!AM14,'[7]2010'!AM14)</f>
        <v>0</v>
      </c>
      <c r="AN13" s="317">
        <f>AVERAGE([5]A!AN14,'[6]2009'!AN14,'[7]2010'!AN14)</f>
        <v>0</v>
      </c>
      <c r="AO13" s="317">
        <f>AVERAGE([5]A!AO14,'[6]2009'!AO14,'[7]2010'!AO14)</f>
        <v>0</v>
      </c>
      <c r="AP13" s="317">
        <f>AVERAGE([5]A!AP14,'[6]2009'!AP14,'[7]2010'!AP14)</f>
        <v>0</v>
      </c>
      <c r="AQ13" s="317">
        <f>AVERAGE([5]A!AQ14,'[6]2009'!AQ14,'[7]2010'!AQ14)</f>
        <v>0</v>
      </c>
      <c r="AR13" s="317">
        <f>AVERAGE([5]A!AR14,'[6]2009'!AR14,'[7]2010'!AR14)</f>
        <v>18284.666666666668</v>
      </c>
      <c r="AS13" s="317">
        <f>AVERAGE([5]A!AS14,'[6]2009'!AS14,'[7]2010'!AS14)</f>
        <v>0</v>
      </c>
      <c r="AT13" s="317">
        <f>AVERAGE([5]A!AT14,'[6]2009'!AT14,'[7]2010'!AT14)</f>
        <v>1974.7433333333331</v>
      </c>
      <c r="AU13" s="317">
        <f>AVERAGE([5]A!AU14,'[6]2009'!AU14,'[7]2010'!AU14)</f>
        <v>42.631538043055883</v>
      </c>
      <c r="AV13" s="317">
        <f>AVERAGE([5]A!AV14,'[6]2009'!AV14,'[7]2010'!AV14)</f>
        <v>0</v>
      </c>
      <c r="AW13" s="317">
        <f>AVERAGE([5]A!AW14,'[6]2009'!AW14,'[7]2010'!AW14)</f>
        <v>0</v>
      </c>
      <c r="AX13" s="317">
        <f>AVERAGE([5]A!AX14,'[6]2009'!AX14,'[7]2010'!AX14)</f>
        <v>0</v>
      </c>
      <c r="AY13" s="317">
        <f>AVERAGE([5]A!AY14,'[6]2009'!AY14,'[7]2010'!AY14)</f>
        <v>0</v>
      </c>
      <c r="AZ13" s="317">
        <f>AVERAGE([5]A!AZ14,'[6]2009'!AZ14,'[7]2010'!AZ14)</f>
        <v>0</v>
      </c>
      <c r="BA13" s="317">
        <f>AVERAGE([5]A!BA14,'[6]2009'!BA14,'[7]2010'!BA14)</f>
        <v>0</v>
      </c>
      <c r="BB13" s="317">
        <f>AVERAGE([5]A!BB14,'[6]2009'!BB14,'[7]2010'!BB14)</f>
        <v>8096.666666666667</v>
      </c>
      <c r="BC13" s="317">
        <f>AVERAGE([5]A!BC14,'[6]2009'!BC14,'[7]2010'!BC14)</f>
        <v>0</v>
      </c>
      <c r="BD13" s="317">
        <f>AVERAGE([5]A!BD14,'[6]2009'!BD14,'[7]2010'!BD14)</f>
        <v>922.21</v>
      </c>
      <c r="BE13" s="317">
        <f>AVERAGE([5]A!BE14,'[6]2009'!BE14,'[7]2010'!BE14)</f>
        <v>22.853218173436073</v>
      </c>
      <c r="BF13" s="317">
        <f>AVERAGE([5]A!BF14,'[6]2009'!BF14,'[7]2010'!BF14)</f>
        <v>0</v>
      </c>
      <c r="BG13" s="317">
        <f>AVERAGE([5]A!BG14,'[6]2009'!BG14,'[7]2010'!BG14)</f>
        <v>1936.3333333333333</v>
      </c>
      <c r="BH13" s="317">
        <f>AVERAGE([5]A!BH14,'[6]2009'!BH14,'[7]2010'!BH14)</f>
        <v>0</v>
      </c>
      <c r="BI13" s="317">
        <f>AVERAGE([5]A!BI14,'[6]2009'!BI14,'[7]2010'!BI14)</f>
        <v>220.54999999999998</v>
      </c>
      <c r="BJ13" s="317">
        <f>AVERAGE([5]A!BJ14,'[6]2009'!BJ14,'[7]2010'!BJ14)</f>
        <v>5.3667775314116781</v>
      </c>
      <c r="BK13" s="317">
        <f>AVERAGE([5]A!BK14,'[6]2009'!BK14,'[7]2010'!BK14)</f>
        <v>0</v>
      </c>
      <c r="BL13" s="317">
        <f>AVERAGE([5]A!BL14,'[6]2009'!BL14,'[7]2010'!BL14)</f>
        <v>40262.666666666664</v>
      </c>
      <c r="BM13" s="317">
        <f>AVERAGE([5]A!BM14,'[6]2009'!BM14,'[7]2010'!BM14)</f>
        <v>0</v>
      </c>
      <c r="BN13" s="317">
        <f>AVERAGE([5]A!BN14,'[6]2009'!BN14,'[7]2010'!BN14)</f>
        <v>4373.7733333333335</v>
      </c>
      <c r="BO13" s="317">
        <f>AVERAGE([8]A!BO14,[5]A!BO14,'[6]2009'!BO14,'[7]2010'!BO14)</f>
        <v>6.7130378331385687</v>
      </c>
      <c r="BP13" s="316" t="s">
        <v>233</v>
      </c>
      <c r="BS13" s="319">
        <f>(D98+I98+N98)/3</f>
        <v>47.368814814814812</v>
      </c>
      <c r="BT13" s="319">
        <f>(E98+J98+O98)/3</f>
        <v>70.36666666666666</v>
      </c>
      <c r="BU13" s="319">
        <f>(F98+K98+P98)/3</f>
        <v>60.457777777777778</v>
      </c>
      <c r="BX13" s="320">
        <f>AVERAGE(S98,X98,AC98)</f>
        <v>40.35962962962963</v>
      </c>
      <c r="BY13" s="320">
        <f>AVERAGE(T98,Y98,AD98)</f>
        <v>55.902222222222228</v>
      </c>
      <c r="BZ13" s="320">
        <f>AVERAGE(U98,Z98,AE98)</f>
        <v>55.21</v>
      </c>
      <c r="CA13" s="316" t="s">
        <v>182</v>
      </c>
      <c r="CT13" s="316" t="s">
        <v>234</v>
      </c>
      <c r="DD13" s="321" t="s">
        <v>235</v>
      </c>
      <c r="DE13" s="321" t="s">
        <v>236</v>
      </c>
      <c r="DF13" s="321" t="s">
        <v>237</v>
      </c>
      <c r="DG13" s="321" t="s">
        <v>238</v>
      </c>
      <c r="DH13" s="316" t="s">
        <v>239</v>
      </c>
      <c r="DI13" s="321" t="s">
        <v>238</v>
      </c>
      <c r="DJ13" s="321" t="s">
        <v>240</v>
      </c>
      <c r="DK13" s="322" t="s">
        <v>241</v>
      </c>
      <c r="DL13" s="322" t="s">
        <v>241</v>
      </c>
      <c r="DM13" s="322" t="s">
        <v>241</v>
      </c>
      <c r="DN13" s="322" t="s">
        <v>241</v>
      </c>
      <c r="DO13" s="322" t="s">
        <v>241</v>
      </c>
      <c r="DP13" s="319">
        <f>$D229</f>
        <v>0</v>
      </c>
      <c r="DQ13" s="319">
        <f>$H229</f>
        <v>0</v>
      </c>
    </row>
    <row r="14" spans="1:121">
      <c r="A14" s="283" t="s">
        <v>1</v>
      </c>
      <c r="B14" s="283" t="s">
        <v>242</v>
      </c>
      <c r="C14" s="317">
        <f>AVERAGE([5]A!C15,'[6]2009'!C15,'[7]2010'!C15)</f>
        <v>160110.12750621149</v>
      </c>
      <c r="D14" s="317">
        <f>AVERAGE([5]A!D15,'[6]2009'!D15,'[7]2010'!D15)</f>
        <v>162622.33333333334</v>
      </c>
      <c r="E14" s="317">
        <f>AVERAGE([5]A!E15,'[6]2009'!E15,'[7]2010'!E15)</f>
        <v>23529.20958028964</v>
      </c>
      <c r="F14" s="317">
        <f>AVERAGE([5]A!F15,'[6]2009'!F15,'[7]2010'!F15)</f>
        <v>23595.956666666665</v>
      </c>
      <c r="G14" s="317">
        <f>AVERAGE([5]A!G15,'[6]2009'!G15,'[7]2010'!G15)</f>
        <v>484.35386122667757</v>
      </c>
      <c r="H14" s="317">
        <f>AVERAGE([5]A!H15,'[6]2009'!H15,'[7]2010'!H15)</f>
        <v>110865.40531138808</v>
      </c>
      <c r="I14" s="317">
        <f>AVERAGE([5]A!I15,'[6]2009'!I15,'[7]2010'!I15)</f>
        <v>141204.33333333334</v>
      </c>
      <c r="J14" s="317">
        <f>AVERAGE([5]A!J15,'[6]2009'!J15,'[7]2010'!J15)</f>
        <v>16230.624068768559</v>
      </c>
      <c r="K14" s="317">
        <f>AVERAGE([5]A!K15,'[6]2009'!K15,'[7]2010'!K15)</f>
        <v>20538.603333333333</v>
      </c>
      <c r="L14" s="317">
        <f>AVERAGE([5]A!L15,'[6]2009'!L15,'[7]2010'!L15)</f>
        <v>441.49194455635671</v>
      </c>
      <c r="M14" s="317">
        <f>AVERAGE([5]A!M15,'[6]2009'!M15,'[7]2010'!M15)</f>
        <v>133371.97320331936</v>
      </c>
      <c r="N14" s="317">
        <f>AVERAGE([5]A!N15,'[6]2009'!N15,'[7]2010'!N15)</f>
        <v>161555</v>
      </c>
      <c r="O14" s="317">
        <f>AVERAGE([5]A!O15,'[6]2009'!O15,'[7]2010'!O15)</f>
        <v>19518.470687522105</v>
      </c>
      <c r="P14" s="317">
        <f>AVERAGE([5]A!P15,'[6]2009'!P15,'[7]2010'!P15)</f>
        <v>23490.819999999996</v>
      </c>
      <c r="Q14" s="317">
        <f>AVERAGE([5]A!Q15,'[6]2009'!Q15,'[7]2010'!Q15)</f>
        <v>432.3542435680003</v>
      </c>
      <c r="R14" s="317">
        <f>AVERAGE([5]A!R15,'[6]2009'!R15,'[7]2010'!R15)</f>
        <v>134399.0791610264</v>
      </c>
      <c r="S14" s="317">
        <f>AVERAGE([5]A!S15,'[6]2009'!S15,'[7]2010'!S15)</f>
        <v>137596.66666666666</v>
      </c>
      <c r="T14" s="317">
        <f>AVERAGE([5]A!T15,'[6]2009'!T15,'[7]2010'!T15)</f>
        <v>19806.809573127804</v>
      </c>
      <c r="U14" s="317">
        <f>AVERAGE([5]A!U15,'[6]2009'!U15,'[7]2010'!U15)</f>
        <v>20038.846666666665</v>
      </c>
      <c r="V14" s="317">
        <f>AVERAGE([5]A!V15,'[6]2009'!V15,'[7]2010'!V15)</f>
        <v>386.21166464814752</v>
      </c>
      <c r="W14" s="317">
        <f>AVERAGE([5]A!W15,'[6]2009'!W15,'[7]2010'!W15)</f>
        <v>129068.06515464315</v>
      </c>
      <c r="X14" s="317">
        <f>AVERAGE([5]A!X15,'[6]2009'!X15,'[7]2010'!X15)</f>
        <v>183868.33333333334</v>
      </c>
      <c r="Y14" s="317">
        <f>AVERAGE([5]A!Y15,'[6]2009'!Y15,'[7]2010'!Y15)</f>
        <v>18997.442769021203</v>
      </c>
      <c r="Z14" s="317">
        <f>AVERAGE([5]A!Z15,'[6]2009'!Z15,'[7]2010'!Z15)</f>
        <v>27008.346666666665</v>
      </c>
      <c r="AA14" s="317">
        <f>AVERAGE([5]A!AA15,'[6]2009'!AA15,'[7]2010'!AA15)</f>
        <v>501.67921970843037</v>
      </c>
      <c r="AB14" s="317">
        <f>AVERAGE([5]A!AB15,'[6]2009'!AB15,'[7]2010'!AB15)</f>
        <v>137697.99203731527</v>
      </c>
      <c r="AC14" s="317">
        <f>AVERAGE([5]A!AC15,'[6]2009'!AC15,'[7]2010'!AC15)</f>
        <v>154500.66666666666</v>
      </c>
      <c r="AD14" s="317">
        <f>AVERAGE([5]A!AD15,'[6]2009'!AD15,'[7]2010'!AD15)</f>
        <v>20207.580827494676</v>
      </c>
      <c r="AE14" s="317">
        <f>AVERAGE([5]A!AE15,'[6]2009'!AE15,'[7]2010'!AE15)</f>
        <v>22721.193333333329</v>
      </c>
      <c r="AF14" s="317">
        <f>AVERAGE([5]A!AF15,'[6]2009'!AF15,'[7]2010'!AF15)</f>
        <v>385.75832400494954</v>
      </c>
      <c r="AG14" s="317">
        <f>AVERAGE([5]A!AG15,'[6]2009'!AG15,'[7]2010'!AG15)</f>
        <v>167511.27554942991</v>
      </c>
      <c r="AH14" s="317">
        <f>AVERAGE([5]A!AH15,'[6]2009'!AH15,'[7]2010'!AH15)</f>
        <v>163908.66666666666</v>
      </c>
      <c r="AI14" s="317">
        <f>AVERAGE([5]A!AI15,'[6]2009'!AI15,'[7]2010'!AI15)</f>
        <v>24197.602794653551</v>
      </c>
      <c r="AJ14" s="317">
        <f>AVERAGE([5]A!AJ15,'[6]2009'!AJ15,'[7]2010'!AJ15)</f>
        <v>23713.09</v>
      </c>
      <c r="AK14" s="317">
        <f>AVERAGE([5]A!AK15,'[6]2009'!AK15,'[7]2010'!AK15)</f>
        <v>400.01737300081368</v>
      </c>
      <c r="AL14" s="317">
        <f>AVERAGE([5]A!AL15,'[6]2009'!AL15,'[7]2010'!AL15)</f>
        <v>195417.59636896718</v>
      </c>
      <c r="AM14" s="317">
        <f>AVERAGE([5]A!AM15,'[6]2009'!AM15,'[7]2010'!AM15)</f>
        <v>196436</v>
      </c>
      <c r="AN14" s="317">
        <f>AVERAGE([5]A!AN15,'[6]2009'!AN15,'[7]2010'!AN15)</f>
        <v>28525.479785330419</v>
      </c>
      <c r="AO14" s="317">
        <f>AVERAGE([5]A!AO15,'[6]2009'!AO15,'[7]2010'!AO15)</f>
        <v>28330.326666666664</v>
      </c>
      <c r="AP14" s="317">
        <f>AVERAGE([5]A!AP15,'[6]2009'!AP15,'[7]2010'!AP15)</f>
        <v>452.68344983587252</v>
      </c>
      <c r="AQ14" s="317">
        <f>AVERAGE([5]A!AQ15,'[6]2009'!AQ15,'[7]2010'!AQ15)</f>
        <v>159345.76066419462</v>
      </c>
      <c r="AR14" s="317">
        <f>AVERAGE([5]A!AR15,'[6]2009'!AR15,'[7]2010'!AR15)</f>
        <v>121983</v>
      </c>
      <c r="AS14" s="317">
        <f>AVERAGE([5]A!AS15,'[6]2009'!AS15,'[7]2010'!AS15)</f>
        <v>23271.126257802662</v>
      </c>
      <c r="AT14" s="317">
        <f>AVERAGE([5]A!AT15,'[6]2009'!AT15,'[7]2010'!AT15)</f>
        <v>17427.316666666669</v>
      </c>
      <c r="AU14" s="317">
        <f>AVERAGE([5]A!AU15,'[6]2009'!AU15,'[7]2010'!AU15)</f>
        <v>309.52118791526988</v>
      </c>
      <c r="AV14" s="317">
        <f>AVERAGE([5]A!AV15,'[6]2009'!AV15,'[7]2010'!AV15)</f>
        <v>138024.92281030529</v>
      </c>
      <c r="AW14" s="317">
        <f>AVERAGE([5]A!AW15,'[6]2009'!AW15,'[7]2010'!AW15)</f>
        <v>138681.66666666666</v>
      </c>
      <c r="AX14" s="317">
        <f>AVERAGE([5]A!AX15,'[6]2009'!AX15,'[7]2010'!AX15)</f>
        <v>20183.798392150788</v>
      </c>
      <c r="AY14" s="317">
        <f>AVERAGE([5]A!AY15,'[6]2009'!AY15,'[7]2010'!AY15)</f>
        <v>20057.670000000002</v>
      </c>
      <c r="AZ14" s="317">
        <f>AVERAGE([5]A!AZ15,'[6]2009'!AZ15,'[7]2010'!AZ15)</f>
        <v>351.71198365518757</v>
      </c>
      <c r="BA14" s="317">
        <f>AVERAGE([5]A!BA15,'[6]2009'!BA15,'[7]2010'!BA15)</f>
        <v>136792.66675972156</v>
      </c>
      <c r="BB14" s="317">
        <f>AVERAGE([5]A!BB15,'[6]2009'!BB15,'[7]2010'!BB15)</f>
        <v>126812</v>
      </c>
      <c r="BC14" s="317">
        <f>AVERAGE([5]A!BC15,'[6]2009'!BC15,'[7]2010'!BC15)</f>
        <v>20039.304430369</v>
      </c>
      <c r="BD14" s="317">
        <f>AVERAGE([5]A!BD15,'[6]2009'!BD15,'[7]2010'!BD15)</f>
        <v>18163.98</v>
      </c>
      <c r="BE14" s="317">
        <f>AVERAGE([5]A!BE15,'[6]2009'!BE15,'[7]2010'!BE15)</f>
        <v>362.35029574927694</v>
      </c>
      <c r="BF14" s="317">
        <f>AVERAGE([5]A!BF15,'[6]2009'!BF15,'[7]2010'!BF15)</f>
        <v>137540.95042203172</v>
      </c>
      <c r="BG14" s="317">
        <f>AVERAGE([5]A!BG15,'[6]2009'!BG15,'[7]2010'!BG15)</f>
        <v>178361</v>
      </c>
      <c r="BH14" s="317">
        <f>AVERAGE([5]A!BH15,'[6]2009'!BH15,'[7]2010'!BH15)</f>
        <v>20188.308026310839</v>
      </c>
      <c r="BI14" s="317">
        <f>AVERAGE([5]A!BI15,'[6]2009'!BI15,'[7]2010'!BI15)</f>
        <v>25400.936666666665</v>
      </c>
      <c r="BJ14" s="317">
        <f>AVERAGE([5]A!BJ15,'[6]2009'!BJ15,'[7]2010'!BJ15)</f>
        <v>534.92441361191197</v>
      </c>
      <c r="BK14" s="317">
        <f>AVERAGE([5]A!BK15,'[6]2009'!BK15,'[7]2010'!BK15)</f>
        <v>1740145.8149485539</v>
      </c>
      <c r="BL14" s="317">
        <f>AVERAGE([5]A!BL15,'[6]2009'!BL15,'[7]2010'!BL15)</f>
        <v>1867529.6666666667</v>
      </c>
      <c r="BM14" s="317">
        <f>AVERAGE([5]A!BM15,'[6]2009'!BM15,'[7]2010'!BM15)</f>
        <v>254695.75719284127</v>
      </c>
      <c r="BN14" s="317">
        <f>AVERAGE([5]A!BN15,'[6]2009'!BN15,'[7]2010'!BN15)</f>
        <v>270487.08666666667</v>
      </c>
      <c r="BO14" s="317">
        <f>AVERAGE([8]A!BO15,[5]A!BO15,'[6]2009'!BO15,'[7]2010'!BO15)</f>
        <v>459.64228901835668</v>
      </c>
      <c r="BP14" s="283" t="s">
        <v>243</v>
      </c>
      <c r="BS14" s="283">
        <f t="shared" ref="BS14:BU15" si="0">SUM(D99+I99+N99)</f>
        <v>67102</v>
      </c>
      <c r="BT14" s="283">
        <f t="shared" si="0"/>
        <v>63404.07</v>
      </c>
      <c r="BU14" s="283">
        <f t="shared" si="0"/>
        <v>63404.03333333334</v>
      </c>
      <c r="BX14" s="283">
        <f t="shared" ref="BX14:BZ15" si="1">SUM(S99+X99+AC99)</f>
        <v>61102</v>
      </c>
      <c r="BY14" s="283">
        <f t="shared" si="1"/>
        <v>60055.856666666667</v>
      </c>
      <c r="BZ14" s="283">
        <f t="shared" si="1"/>
        <v>59920.253333333327</v>
      </c>
      <c r="CA14" s="283" t="s">
        <v>182</v>
      </c>
      <c r="CJ14" s="323"/>
      <c r="CL14" s="323"/>
      <c r="CM14" s="323"/>
      <c r="DJ14" s="310" t="s">
        <v>244</v>
      </c>
      <c r="DK14" s="324" t="s">
        <v>241</v>
      </c>
      <c r="DL14" s="324" t="s">
        <v>241</v>
      </c>
      <c r="DM14" s="324" t="s">
        <v>241</v>
      </c>
      <c r="DN14" s="324" t="s">
        <v>241</v>
      </c>
      <c r="DO14" s="324" t="s">
        <v>241</v>
      </c>
      <c r="DP14" s="323">
        <f>$C229</f>
        <v>0</v>
      </c>
      <c r="DQ14" s="323">
        <f>$G229</f>
        <v>0</v>
      </c>
    </row>
    <row r="15" spans="1:121" hidden="1">
      <c r="A15" s="283" t="s">
        <v>1</v>
      </c>
      <c r="B15" s="283" t="s">
        <v>245</v>
      </c>
      <c r="C15" s="317">
        <f>AVERAGE([5]A!C16,'[6]2009'!C16,'[7]2010'!C16)</f>
        <v>0</v>
      </c>
      <c r="D15" s="317">
        <f>AVERAGE([5]A!D16,'[6]2009'!D16,'[7]2010'!D16)</f>
        <v>0</v>
      </c>
      <c r="E15" s="317">
        <f>AVERAGE([5]A!E16,'[6]2009'!E16,'[7]2010'!E16)</f>
        <v>0</v>
      </c>
      <c r="F15" s="317">
        <f>AVERAGE([5]A!F16,'[6]2009'!F16,'[7]2010'!F16)</f>
        <v>0</v>
      </c>
      <c r="G15" s="317">
        <f>AVERAGE([5]A!G16,'[6]2009'!G16,'[7]2010'!G16)</f>
        <v>0</v>
      </c>
      <c r="H15" s="317">
        <f>AVERAGE([5]A!H16,'[6]2009'!H16,'[7]2010'!H16)</f>
        <v>0</v>
      </c>
      <c r="I15" s="317">
        <f>AVERAGE([5]A!I16,'[6]2009'!I16,'[7]2010'!I16)</f>
        <v>0</v>
      </c>
      <c r="J15" s="317">
        <f>AVERAGE([5]A!J16,'[6]2009'!J16,'[7]2010'!J16)</f>
        <v>0</v>
      </c>
      <c r="K15" s="317">
        <f>AVERAGE([5]A!K16,'[6]2009'!K16,'[7]2010'!K16)</f>
        <v>0</v>
      </c>
      <c r="L15" s="317">
        <f>AVERAGE([5]A!L16,'[6]2009'!L16,'[7]2010'!L16)</f>
        <v>0</v>
      </c>
      <c r="M15" s="317">
        <f>AVERAGE([5]A!M16,'[6]2009'!M16,'[7]2010'!M16)</f>
        <v>0</v>
      </c>
      <c r="N15" s="317">
        <f>AVERAGE([5]A!N16,'[6]2009'!N16,'[7]2010'!N16)</f>
        <v>0</v>
      </c>
      <c r="O15" s="317">
        <f>AVERAGE([5]A!O16,'[6]2009'!O16,'[7]2010'!O16)</f>
        <v>0</v>
      </c>
      <c r="P15" s="317">
        <f>AVERAGE([5]A!P16,'[6]2009'!P16,'[7]2010'!P16)</f>
        <v>0</v>
      </c>
      <c r="Q15" s="317">
        <f>AVERAGE([5]A!Q16,'[6]2009'!Q16,'[7]2010'!Q16)</f>
        <v>0</v>
      </c>
      <c r="R15" s="317">
        <f>AVERAGE([5]A!R16,'[6]2009'!R16,'[7]2010'!R16)</f>
        <v>0</v>
      </c>
      <c r="S15" s="317">
        <f>AVERAGE([5]A!S16,'[6]2009'!S16,'[7]2010'!S16)</f>
        <v>0</v>
      </c>
      <c r="T15" s="317">
        <f>AVERAGE([5]A!T16,'[6]2009'!T16,'[7]2010'!T16)</f>
        <v>0</v>
      </c>
      <c r="U15" s="317">
        <f>AVERAGE([5]A!U16,'[6]2009'!U16,'[7]2010'!U16)</f>
        <v>0</v>
      </c>
      <c r="V15" s="317">
        <f>AVERAGE([5]A!V16,'[6]2009'!V16,'[7]2010'!V16)</f>
        <v>0</v>
      </c>
      <c r="W15" s="317">
        <f>AVERAGE([5]A!W16,'[6]2009'!W16,'[7]2010'!W16)</f>
        <v>0</v>
      </c>
      <c r="X15" s="317">
        <f>AVERAGE([5]A!X16,'[6]2009'!X16,'[7]2010'!X16)</f>
        <v>0</v>
      </c>
      <c r="Y15" s="317">
        <f>AVERAGE([5]A!Y16,'[6]2009'!Y16,'[7]2010'!Y16)</f>
        <v>0</v>
      </c>
      <c r="Z15" s="317">
        <f>AVERAGE([5]A!Z16,'[6]2009'!Z16,'[7]2010'!Z16)</f>
        <v>0</v>
      </c>
      <c r="AA15" s="317">
        <f>AVERAGE([5]A!AA16,'[6]2009'!AA16,'[7]2010'!AA16)</f>
        <v>0</v>
      </c>
      <c r="AB15" s="317">
        <f>AVERAGE([5]A!AB16,'[6]2009'!AB16,'[7]2010'!AB16)</f>
        <v>0</v>
      </c>
      <c r="AC15" s="317">
        <f>AVERAGE([5]A!AC16,'[6]2009'!AC16,'[7]2010'!AC16)</f>
        <v>0</v>
      </c>
      <c r="AD15" s="317">
        <f>AVERAGE([5]A!AD16,'[6]2009'!AD16,'[7]2010'!AD16)</f>
        <v>0</v>
      </c>
      <c r="AE15" s="317">
        <f>AVERAGE([5]A!AE16,'[6]2009'!AE16,'[7]2010'!AE16)</f>
        <v>0</v>
      </c>
      <c r="AF15" s="317">
        <f>AVERAGE([5]A!AF16,'[6]2009'!AF16,'[7]2010'!AF16)</f>
        <v>0</v>
      </c>
      <c r="AG15" s="317">
        <f>AVERAGE([5]A!AG16,'[6]2009'!AG16,'[7]2010'!AG16)</f>
        <v>0</v>
      </c>
      <c r="AH15" s="317">
        <f>AVERAGE([5]A!AH16,'[6]2009'!AH16,'[7]2010'!AH16)</f>
        <v>0</v>
      </c>
      <c r="AI15" s="317">
        <f>AVERAGE([5]A!AI16,'[6]2009'!AI16,'[7]2010'!AI16)</f>
        <v>0</v>
      </c>
      <c r="AJ15" s="317">
        <f>AVERAGE([5]A!AJ16,'[6]2009'!AJ16,'[7]2010'!AJ16)</f>
        <v>0</v>
      </c>
      <c r="AK15" s="317">
        <f>AVERAGE([5]A!AK16,'[6]2009'!AK16,'[7]2010'!AK16)</f>
        <v>0</v>
      </c>
      <c r="AL15" s="317">
        <f>AVERAGE([5]A!AL16,'[6]2009'!AL16,'[7]2010'!AL16)</f>
        <v>0</v>
      </c>
      <c r="AM15" s="317">
        <f>AVERAGE([5]A!AM16,'[6]2009'!AM16,'[7]2010'!AM16)</f>
        <v>0</v>
      </c>
      <c r="AN15" s="317">
        <f>AVERAGE([5]A!AN16,'[6]2009'!AN16,'[7]2010'!AN16)</f>
        <v>0</v>
      </c>
      <c r="AO15" s="317">
        <f>AVERAGE([5]A!AO16,'[6]2009'!AO16,'[7]2010'!AO16)</f>
        <v>0</v>
      </c>
      <c r="AP15" s="317">
        <f>AVERAGE([5]A!AP16,'[6]2009'!AP16,'[7]2010'!AP16)</f>
        <v>0</v>
      </c>
      <c r="AQ15" s="317">
        <f>AVERAGE([5]A!AQ16,'[6]2009'!AQ16,'[7]2010'!AQ16)</f>
        <v>0</v>
      </c>
      <c r="AR15" s="317">
        <f>AVERAGE([5]A!AR16,'[6]2009'!AR16,'[7]2010'!AR16)</f>
        <v>0</v>
      </c>
      <c r="AS15" s="317">
        <f>AVERAGE([5]A!AS16,'[6]2009'!AS16,'[7]2010'!AS16)</f>
        <v>0</v>
      </c>
      <c r="AT15" s="317">
        <f>AVERAGE([5]A!AT16,'[6]2009'!AT16,'[7]2010'!AT16)</f>
        <v>0</v>
      </c>
      <c r="AU15" s="317">
        <f>AVERAGE([5]A!AU16,'[6]2009'!AU16,'[7]2010'!AU16)</f>
        <v>0</v>
      </c>
      <c r="AV15" s="317">
        <f>AVERAGE([5]A!AV16,'[6]2009'!AV16,'[7]2010'!AV16)</f>
        <v>0</v>
      </c>
      <c r="AW15" s="317">
        <f>AVERAGE([5]A!AW16,'[6]2009'!AW16,'[7]2010'!AW16)</f>
        <v>0</v>
      </c>
      <c r="AX15" s="317">
        <f>AVERAGE([5]A!AX16,'[6]2009'!AX16,'[7]2010'!AX16)</f>
        <v>0</v>
      </c>
      <c r="AY15" s="317">
        <f>AVERAGE([5]A!AY16,'[6]2009'!AY16,'[7]2010'!AY16)</f>
        <v>0</v>
      </c>
      <c r="AZ15" s="317">
        <f>AVERAGE([5]A!AZ16,'[6]2009'!AZ16,'[7]2010'!AZ16)</f>
        <v>0</v>
      </c>
      <c r="BA15" s="317">
        <f>AVERAGE([5]A!BA16,'[6]2009'!BA16,'[7]2010'!BA16)</f>
        <v>0</v>
      </c>
      <c r="BB15" s="317">
        <f>AVERAGE([5]A!BB16,'[6]2009'!BB16,'[7]2010'!BB16)</f>
        <v>0</v>
      </c>
      <c r="BC15" s="317">
        <f>AVERAGE([5]A!BC16,'[6]2009'!BC16,'[7]2010'!BC16)</f>
        <v>0</v>
      </c>
      <c r="BD15" s="317">
        <f>AVERAGE([5]A!BD16,'[6]2009'!BD16,'[7]2010'!BD16)</f>
        <v>0</v>
      </c>
      <c r="BE15" s="317">
        <f>AVERAGE([5]A!BE16,'[6]2009'!BE16,'[7]2010'!BE16)</f>
        <v>0</v>
      </c>
      <c r="BF15" s="317">
        <f>AVERAGE([5]A!BF16,'[6]2009'!BF16,'[7]2010'!BF16)</f>
        <v>0</v>
      </c>
      <c r="BG15" s="317">
        <f>AVERAGE([5]A!BG16,'[6]2009'!BG16,'[7]2010'!BG16)</f>
        <v>0</v>
      </c>
      <c r="BH15" s="317">
        <f>AVERAGE([5]A!BH16,'[6]2009'!BH16,'[7]2010'!BH16)</f>
        <v>0</v>
      </c>
      <c r="BI15" s="317">
        <f>AVERAGE([5]A!BI16,'[6]2009'!BI16,'[7]2010'!BI16)</f>
        <v>0</v>
      </c>
      <c r="BJ15" s="317">
        <f>AVERAGE([5]A!BJ16,'[6]2009'!BJ16,'[7]2010'!BJ16)</f>
        <v>0</v>
      </c>
      <c r="BK15" s="317">
        <f>AVERAGE([5]A!BK16,'[6]2009'!BK16,'[7]2010'!BK16)</f>
        <v>0</v>
      </c>
      <c r="BL15" s="317">
        <f>AVERAGE([5]A!BL16,'[6]2009'!BL16,'[7]2010'!BL16)</f>
        <v>0</v>
      </c>
      <c r="BM15" s="317">
        <f>AVERAGE([5]A!BM16,'[6]2009'!BM16,'[7]2010'!BM16)</f>
        <v>0</v>
      </c>
      <c r="BN15" s="317">
        <f>AVERAGE([5]A!BN16,'[6]2009'!BN16,'[7]2010'!BN16)</f>
        <v>0</v>
      </c>
      <c r="BO15" s="317">
        <f>AVERAGE([8]A!BO16,[5]A!BO16,'[6]2009'!BO16,'[7]2010'!BO16)</f>
        <v>0</v>
      </c>
      <c r="BP15" s="283" t="s">
        <v>246</v>
      </c>
      <c r="BS15" s="283">
        <f t="shared" si="0"/>
        <v>3467.9709957152518</v>
      </c>
      <c r="BT15" s="283">
        <f t="shared" si="0"/>
        <v>3316.7200000000003</v>
      </c>
      <c r="BU15" s="283">
        <f t="shared" si="0"/>
        <v>3415.4566666666669</v>
      </c>
      <c r="BX15" s="283">
        <f t="shared" si="1"/>
        <v>3921.8318788251136</v>
      </c>
      <c r="BY15" s="283">
        <f t="shared" si="1"/>
        <v>3737.4693333333335</v>
      </c>
      <c r="BZ15" s="283">
        <f t="shared" si="1"/>
        <v>3912.9391233333336</v>
      </c>
      <c r="CA15" s="283" t="s">
        <v>182</v>
      </c>
      <c r="CJ15" s="323"/>
      <c r="CL15" s="323"/>
      <c r="CM15" s="323"/>
      <c r="CV15" s="283" t="s">
        <v>247</v>
      </c>
      <c r="CW15" s="283" t="s">
        <v>248</v>
      </c>
      <c r="DD15" s="310" t="s">
        <v>235</v>
      </c>
      <c r="DE15" s="310" t="s">
        <v>236</v>
      </c>
      <c r="DF15" s="310" t="s">
        <v>249</v>
      </c>
      <c r="DG15" s="310" t="s">
        <v>238</v>
      </c>
      <c r="DH15" s="283" t="s">
        <v>250</v>
      </c>
      <c r="DI15" s="310" t="s">
        <v>251</v>
      </c>
      <c r="DJ15" s="310" t="s">
        <v>240</v>
      </c>
      <c r="DK15" s="324" t="s">
        <v>241</v>
      </c>
      <c r="DL15" s="324" t="s">
        <v>241</v>
      </c>
      <c r="DM15" s="324" t="s">
        <v>241</v>
      </c>
      <c r="DN15" s="324" t="s">
        <v>241</v>
      </c>
      <c r="DO15" s="324" t="s">
        <v>241</v>
      </c>
      <c r="DP15" s="323">
        <f>$D239</f>
        <v>12008.666666666666</v>
      </c>
      <c r="DQ15" s="323">
        <f>$H239</f>
        <v>1479.4133333333336</v>
      </c>
    </row>
    <row r="16" spans="1:121" s="316" customFormat="1">
      <c r="A16" s="316" t="s">
        <v>1</v>
      </c>
      <c r="B16" s="316" t="s">
        <v>61</v>
      </c>
      <c r="C16" s="317">
        <f>AVERAGE([5]A!C17,'[6]2009'!C17,'[7]2010'!C17)</f>
        <v>22075.017512871749</v>
      </c>
      <c r="D16" s="317">
        <f>AVERAGE([5]A!D17,'[6]2009'!D17,'[7]2010'!D17)</f>
        <v>20895.333333333332</v>
      </c>
      <c r="E16" s="317">
        <f>AVERAGE([5]A!E17,'[6]2009'!E17,'[7]2010'!E17)</f>
        <v>4999.5375322143191</v>
      </c>
      <c r="F16" s="317">
        <f>AVERAGE([5]A!F17,'[6]2009'!F17,'[7]2010'!F17)</f>
        <v>4445.4633333333331</v>
      </c>
      <c r="G16" s="317">
        <f>AVERAGE([5]A!G17,'[6]2009'!G17,'[7]2010'!G17)</f>
        <v>62.591264895171541</v>
      </c>
      <c r="H16" s="317">
        <f>AVERAGE([5]A!H17,'[6]2009'!H17,'[7]2010'!H17)</f>
        <v>17343.534373296821</v>
      </c>
      <c r="I16" s="317">
        <f>AVERAGE([5]A!I17,'[6]2009'!I17,'[7]2010'!I17)</f>
        <v>21410.666666666668</v>
      </c>
      <c r="J16" s="317">
        <f>AVERAGE([5]A!J17,'[6]2009'!J17,'[7]2010'!J17)</f>
        <v>3942.546159148666</v>
      </c>
      <c r="K16" s="317">
        <f>AVERAGE([5]A!K17,'[6]2009'!K17,'[7]2010'!K17)</f>
        <v>4430.4000000000005</v>
      </c>
      <c r="L16" s="317">
        <f>AVERAGE([5]A!L17,'[6]2009'!L17,'[7]2010'!L17)</f>
        <v>67.137080398620625</v>
      </c>
      <c r="M16" s="317">
        <f>AVERAGE([5]A!M17,'[6]2009'!M17,'[7]2010'!M17)</f>
        <v>20741.673693398352</v>
      </c>
      <c r="N16" s="317">
        <f>AVERAGE([5]A!N17,'[6]2009'!N17,'[7]2010'!N17)</f>
        <v>24911.666666666668</v>
      </c>
      <c r="O16" s="317">
        <f>AVERAGE([5]A!O17,'[6]2009'!O17,'[7]2010'!O17)</f>
        <v>4699.0241372244982</v>
      </c>
      <c r="P16" s="317">
        <f>AVERAGE([5]A!P17,'[6]2009'!P17,'[7]2010'!P17)</f>
        <v>5207.16</v>
      </c>
      <c r="Q16" s="317">
        <f>AVERAGE([5]A!Q17,'[6]2009'!Q17,'[7]2010'!Q17)</f>
        <v>66.847978545197194</v>
      </c>
      <c r="R16" s="317">
        <f>AVERAGE([5]A!R17,'[6]2009'!R17,'[7]2010'!R17)</f>
        <v>25435.117399451428</v>
      </c>
      <c r="S16" s="317">
        <f>AVERAGE([5]A!S17,'[6]2009'!S17,'[7]2010'!S17)</f>
        <v>23963.333333333332</v>
      </c>
      <c r="T16" s="317">
        <f>AVERAGE([5]A!T17,'[6]2009'!T17,'[7]2010'!T17)</f>
        <v>5683.7835467800787</v>
      </c>
      <c r="U16" s="317">
        <f>AVERAGE([5]A!U17,'[6]2009'!U17,'[7]2010'!U17)</f>
        <v>5073.3399999999992</v>
      </c>
      <c r="V16" s="317">
        <f>AVERAGE([5]A!V17,'[6]2009'!V17,'[7]2010'!V17)</f>
        <v>67.313085249298794</v>
      </c>
      <c r="W16" s="317">
        <f>AVERAGE([5]A!W17,'[6]2009'!W17,'[7]2010'!W17)</f>
        <v>25553.737827978854</v>
      </c>
      <c r="X16" s="317">
        <f>AVERAGE([5]A!X17,'[6]2009'!X17,'[7]2010'!X17)</f>
        <v>21725</v>
      </c>
      <c r="Y16" s="317">
        <f>AVERAGE([5]A!Y17,'[6]2009'!Y17,'[7]2010'!Y17)</f>
        <v>5706.2782943511265</v>
      </c>
      <c r="Z16" s="317">
        <f>AVERAGE([5]A!Z17,'[6]2009'!Z17,'[7]2010'!Z17)</f>
        <v>4621.083333333333</v>
      </c>
      <c r="AA16" s="317">
        <f>AVERAGE([5]A!AA17,'[6]2009'!AA17,'[7]2010'!AA17)</f>
        <v>58.535555242078836</v>
      </c>
      <c r="AB16" s="317">
        <f>AVERAGE([5]A!AB17,'[6]2009'!AB17,'[7]2010'!AB17)</f>
        <v>29482.576534910488</v>
      </c>
      <c r="AC16" s="317">
        <f>AVERAGE([5]A!AC17,'[6]2009'!AC17,'[7]2010'!AC17)</f>
        <v>31146.666666666668</v>
      </c>
      <c r="AD16" s="317">
        <f>AVERAGE([5]A!AD17,'[6]2009'!AD17,'[7]2010'!AD17)</f>
        <v>6657.1643019694029</v>
      </c>
      <c r="AE16" s="317">
        <f>AVERAGE([5]A!AE17,'[6]2009'!AE17,'[7]2010'!AE17)</f>
        <v>6472.6500000000005</v>
      </c>
      <c r="AF16" s="317">
        <f>AVERAGE([5]A!AF17,'[6]2009'!AF17,'[7]2010'!AF17)</f>
        <v>77.77069805298413</v>
      </c>
      <c r="AG16" s="317">
        <f>AVERAGE([5]A!AG17,'[6]2009'!AG17,'[7]2010'!AG17)</f>
        <v>37067.132799311432</v>
      </c>
      <c r="AH16" s="317">
        <f>AVERAGE([5]A!AH17,'[6]2009'!AH17,'[7]2010'!AH17)</f>
        <v>30503.333333333332</v>
      </c>
      <c r="AI16" s="317">
        <f>AVERAGE([5]A!AI17,'[6]2009'!AI17,'[7]2010'!AI17)</f>
        <v>8390.7844349629304</v>
      </c>
      <c r="AJ16" s="317">
        <f>AVERAGE([5]A!AJ17,'[6]2009'!AJ17,'[7]2010'!AJ17)</f>
        <v>6394.1333333333341</v>
      </c>
      <c r="AK16" s="317">
        <f>AVERAGE([5]A!AK17,'[6]2009'!AK17,'[7]2010'!AK17)</f>
        <v>74.178959260654466</v>
      </c>
      <c r="AL16" s="317">
        <f>AVERAGE([5]A!AL17,'[6]2009'!AL17,'[7]2010'!AL17)</f>
        <v>38264.368606823853</v>
      </c>
      <c r="AM16" s="317">
        <f>AVERAGE([5]A!AM17,'[6]2009'!AM17,'[7]2010'!AM17)</f>
        <v>31453.333333333332</v>
      </c>
      <c r="AN16" s="317">
        <f>AVERAGE([5]A!AN17,'[6]2009'!AN17,'[7]2010'!AN17)</f>
        <v>8598.8302496674351</v>
      </c>
      <c r="AO16" s="317">
        <f>AVERAGE([5]A!AO17,'[6]2009'!AO17,'[7]2010'!AO17)</f>
        <v>6593.3233333333337</v>
      </c>
      <c r="AP16" s="317">
        <f>AVERAGE([5]A!AP17,'[6]2009'!AP17,'[7]2010'!AP17)</f>
        <v>71.164259558915703</v>
      </c>
      <c r="AQ16" s="317">
        <f>AVERAGE([5]A!AQ17,'[6]2009'!AQ17,'[7]2010'!AQ17)</f>
        <v>31308.106727372473</v>
      </c>
      <c r="AR16" s="317">
        <f>AVERAGE([5]A!AR17,'[6]2009'!AR17,'[7]2010'!AR17)</f>
        <v>25746.333333333332</v>
      </c>
      <c r="AS16" s="317">
        <f>AVERAGE([5]A!AS17,'[6]2009'!AS17,'[7]2010'!AS17)</f>
        <v>7052.2113063635015</v>
      </c>
      <c r="AT16" s="317">
        <f>AVERAGE([5]A!AT17,'[6]2009'!AT17,'[7]2010'!AT17)</f>
        <v>5361.02</v>
      </c>
      <c r="AU16" s="317">
        <f>AVERAGE([5]A!AU17,'[6]2009'!AU17,'[7]2010'!AU17)</f>
        <v>65.307504398839171</v>
      </c>
      <c r="AV16" s="317">
        <f>AVERAGE([5]A!AV17,'[6]2009'!AV17,'[7]2010'!AV17)</f>
        <v>26558.820258868971</v>
      </c>
      <c r="AW16" s="317">
        <f>AVERAGE([5]A!AW17,'[6]2009'!AW17,'[7]2010'!AW17)</f>
        <v>27844.666666666668</v>
      </c>
      <c r="AX16" s="317">
        <f>AVERAGE([5]A!AX17,'[6]2009'!AX17,'[7]2010'!AX17)</f>
        <v>5935.5940631051444</v>
      </c>
      <c r="AY16" s="317">
        <f>AVERAGE([5]A!AY17,'[6]2009'!AY17,'[7]2010'!AY17)</f>
        <v>5777.4466666666667</v>
      </c>
      <c r="AZ16" s="317">
        <f>AVERAGE([5]A!AZ17,'[6]2009'!AZ17,'[7]2010'!AZ17)</f>
        <v>68.019027274941152</v>
      </c>
      <c r="BA16" s="317">
        <f>AVERAGE([5]A!BA17,'[6]2009'!BA17,'[7]2010'!BA17)</f>
        <v>21145.624577201597</v>
      </c>
      <c r="BB16" s="317">
        <f>AVERAGE([5]A!BB17,'[6]2009'!BB17,'[7]2010'!BB17)</f>
        <v>21286</v>
      </c>
      <c r="BC16" s="317">
        <f>AVERAGE([5]A!BC17,'[6]2009'!BC17,'[7]2010'!BC17)</f>
        <v>4782.0034762771511</v>
      </c>
      <c r="BD16" s="317">
        <f>AVERAGE([5]A!BD17,'[6]2009'!BD17,'[7]2010'!BD17)</f>
        <v>4394.0166666666664</v>
      </c>
      <c r="BE16" s="317">
        <f>AVERAGE([5]A!BE17,'[6]2009'!BE17,'[7]2010'!BE17)</f>
        <v>60.747436345312856</v>
      </c>
      <c r="BF16" s="317">
        <f>AVERAGE([5]A!BF17,'[6]2009'!BF17,'[7]2010'!BF17)</f>
        <v>19344.796234733352</v>
      </c>
      <c r="BG16" s="317">
        <f>AVERAGE([5]A!BG17,'[6]2009'!BG17,'[7]2010'!BG17)</f>
        <v>21132</v>
      </c>
      <c r="BH16" s="317">
        <f>AVERAGE([5]A!BH17,'[6]2009'!BH17,'[7]2010'!BH17)</f>
        <v>4393.6986237106557</v>
      </c>
      <c r="BI16" s="317">
        <f>AVERAGE([5]A!BI17,'[6]2009'!BI17,'[7]2010'!BI17)</f>
        <v>4396.3899999999994</v>
      </c>
      <c r="BJ16" s="317">
        <f>AVERAGE([5]A!BJ17,'[6]2009'!BJ17,'[7]2010'!BJ17)</f>
        <v>62.308133511898973</v>
      </c>
      <c r="BK16" s="317">
        <f>AVERAGE([5]A!BK17,'[6]2009'!BK17,'[7]2010'!BK17)</f>
        <v>314320.50654621935</v>
      </c>
      <c r="BL16" s="317">
        <f>AVERAGE([5]A!BL17,'[6]2009'!BL17,'[7]2010'!BL17)</f>
        <v>302018.33333333331</v>
      </c>
      <c r="BM16" s="317">
        <f>AVERAGE([5]A!BM17,'[6]2009'!BM17,'[7]2010'!BM17)</f>
        <v>70841.456125774916</v>
      </c>
      <c r="BN16" s="317">
        <f>AVERAGE([5]A!BN17,'[6]2009'!BN17,'[7]2010'!BN17)</f>
        <v>63166.426666666666</v>
      </c>
      <c r="BO16" s="317">
        <f>AVERAGE([8]A!BO17,[5]A!BO17,'[6]2009'!BO17,'[7]2010'!BO17)</f>
        <v>74.27926711198117</v>
      </c>
      <c r="BP16" s="316" t="s">
        <v>252</v>
      </c>
      <c r="BS16" s="319">
        <f>BS18/BS15</f>
        <v>110.9908395623101</v>
      </c>
      <c r="BT16" s="319">
        <f>BT18/BT15</f>
        <v>109.39399567444141</v>
      </c>
      <c r="BU16" s="319">
        <f>BU18/BU15</f>
        <v>66.179047799366998</v>
      </c>
      <c r="BX16" s="319">
        <f>SUM(BX18/BX15)</f>
        <v>113.3807845469961</v>
      </c>
      <c r="BY16" s="319">
        <f>SUM(BY18/BY15)</f>
        <v>112.12914567504141</v>
      </c>
      <c r="BZ16" s="319">
        <f>(U101+Z101+AE101)/3</f>
        <v>93.333333333333329</v>
      </c>
      <c r="CA16" s="316" t="s">
        <v>182</v>
      </c>
      <c r="CJ16" s="319"/>
      <c r="CL16" s="319"/>
      <c r="CM16" s="319"/>
      <c r="DJ16" s="321" t="s">
        <v>244</v>
      </c>
      <c r="DK16" s="322" t="s">
        <v>241</v>
      </c>
      <c r="DL16" s="322" t="s">
        <v>241</v>
      </c>
      <c r="DM16" s="322" t="s">
        <v>241</v>
      </c>
      <c r="DN16" s="322" t="s">
        <v>241</v>
      </c>
      <c r="DO16" s="322" t="s">
        <v>241</v>
      </c>
      <c r="DP16" s="319">
        <f>$C239</f>
        <v>6376.1128769749384</v>
      </c>
      <c r="DQ16" s="319">
        <f>$G239</f>
        <v>1221.5765499783886</v>
      </c>
    </row>
    <row r="17" spans="1:121">
      <c r="A17" s="283" t="s">
        <v>1</v>
      </c>
      <c r="B17" s="283" t="s">
        <v>66</v>
      </c>
      <c r="C17" s="317">
        <f>AVERAGE([5]A!C18,'[6]2009'!C18,'[7]2010'!C18)</f>
        <v>14523.934583516357</v>
      </c>
      <c r="D17" s="317">
        <f>AVERAGE([5]A!D18,'[6]2009'!D18,'[7]2010'!D18)</f>
        <v>13157.666666666666</v>
      </c>
      <c r="E17" s="317">
        <f>AVERAGE([5]A!E18,'[6]2009'!E18,'[7]2010'!E18)</f>
        <v>4034.7032706438058</v>
      </c>
      <c r="F17" s="317">
        <f>AVERAGE([5]A!F18,'[6]2009'!F18,'[7]2010'!F18)</f>
        <v>3001.0966666666668</v>
      </c>
      <c r="G17" s="317">
        <f>AVERAGE([5]A!G18,'[6]2009'!G18,'[7]2010'!G18)</f>
        <v>39.588889772315554</v>
      </c>
      <c r="H17" s="317">
        <f>AVERAGE([5]A!H18,'[6]2009'!H18,'[7]2010'!H18)</f>
        <v>12091.482529639441</v>
      </c>
      <c r="I17" s="317">
        <f>AVERAGE([5]A!I18,'[6]2009'!I18,'[7]2010'!I18)</f>
        <v>12826</v>
      </c>
      <c r="J17" s="317">
        <f>AVERAGE([5]A!J18,'[6]2009'!J18,'[7]2010'!J18)</f>
        <v>3318.1202523464858</v>
      </c>
      <c r="K17" s="317">
        <f>AVERAGE([5]A!K18,'[6]2009'!K18,'[7]2010'!K18)</f>
        <v>3080.1366666666668</v>
      </c>
      <c r="L17" s="317">
        <f>AVERAGE([5]A!L18,'[6]2009'!L18,'[7]2010'!L18)</f>
        <v>40.144658915980585</v>
      </c>
      <c r="M17" s="317">
        <f>AVERAGE([5]A!M18,'[6]2009'!M18,'[7]2010'!M18)</f>
        <v>14399.357510368784</v>
      </c>
      <c r="N17" s="317">
        <f>AVERAGE([5]A!N18,'[6]2009'!N18,'[7]2010'!N18)</f>
        <v>15784</v>
      </c>
      <c r="O17" s="317">
        <f>AVERAGE([5]A!O18,'[6]2009'!O18,'[7]2010'!O18)</f>
        <v>3995.4661391481568</v>
      </c>
      <c r="P17" s="317">
        <f>AVERAGE([5]A!P18,'[6]2009'!P18,'[7]2010'!P18)</f>
        <v>4039.2933333333335</v>
      </c>
      <c r="Q17" s="317">
        <f>AVERAGE([5]A!Q18,'[6]2009'!Q18,'[7]2010'!Q18)</f>
        <v>42.366943203493399</v>
      </c>
      <c r="R17" s="317">
        <f>AVERAGE([5]A!R18,'[6]2009'!R18,'[7]2010'!R18)</f>
        <v>14900.602455076825</v>
      </c>
      <c r="S17" s="317">
        <f>AVERAGE([5]A!S18,'[6]2009'!S18,'[7]2010'!S18)</f>
        <v>14315.333333333334</v>
      </c>
      <c r="T17" s="317">
        <f>AVERAGE([5]A!T18,'[6]2009'!T18,'[7]2010'!T18)</f>
        <v>4170.2273194828513</v>
      </c>
      <c r="U17" s="317">
        <f>AVERAGE([5]A!U18,'[6]2009'!U18,'[7]2010'!U18)</f>
        <v>3674.0366666666669</v>
      </c>
      <c r="V17" s="317">
        <f>AVERAGE([5]A!V18,'[6]2009'!V18,'[7]2010'!V18)</f>
        <v>40.319794997338533</v>
      </c>
      <c r="W17" s="317">
        <f>AVERAGE([5]A!W18,'[6]2009'!W18,'[7]2010'!W18)</f>
        <v>15794.028716012885</v>
      </c>
      <c r="X17" s="317">
        <f>AVERAGE([5]A!X18,'[6]2009'!X18,'[7]2010'!X18)</f>
        <v>16869.666666666668</v>
      </c>
      <c r="Y17" s="317">
        <f>AVERAGE([5]A!Y18,'[6]2009'!Y18,'[7]2010'!Y18)</f>
        <v>4435.3637808216054</v>
      </c>
      <c r="Z17" s="317">
        <f>AVERAGE([5]A!Z18,'[6]2009'!Z18,'[7]2010'!Z18)</f>
        <v>4621.0999999999995</v>
      </c>
      <c r="AA17" s="317">
        <f>AVERAGE([5]A!AA18,'[6]2009'!AA18,'[7]2010'!AA18)</f>
        <v>45.807146142219715</v>
      </c>
      <c r="AB17" s="317">
        <f>AVERAGE([5]A!AB18,'[6]2009'!AB18,'[7]2010'!AB18)</f>
        <v>17565.740151111935</v>
      </c>
      <c r="AC17" s="317">
        <f>AVERAGE([5]A!AC18,'[6]2009'!AC18,'[7]2010'!AC18)</f>
        <v>18520</v>
      </c>
      <c r="AD17" s="317">
        <f>AVERAGE([5]A!AD18,'[6]2009'!AD18,'[7]2010'!AD18)</f>
        <v>5021.7753780189314</v>
      </c>
      <c r="AE17" s="317">
        <f>AVERAGE([5]A!AE18,'[6]2009'!AE18,'[7]2010'!AE18)</f>
        <v>5141.1066666666666</v>
      </c>
      <c r="AF17" s="317">
        <f>AVERAGE([5]A!AF18,'[6]2009'!AF18,'[7]2010'!AF18)</f>
        <v>46.367933445831248</v>
      </c>
      <c r="AG17" s="317">
        <f>AVERAGE([5]A!AG18,'[6]2009'!AG18,'[7]2010'!AG18)</f>
        <v>22031.229838551513</v>
      </c>
      <c r="AH17" s="317">
        <f>AVERAGE([5]A!AH18,'[6]2009'!AH18,'[7]2010'!AH18)</f>
        <v>17566.333333333332</v>
      </c>
      <c r="AI17" s="317">
        <f>AVERAGE([5]A!AI18,'[6]2009'!AI18,'[7]2010'!AI18)</f>
        <v>6156.3702150732679</v>
      </c>
      <c r="AJ17" s="317">
        <f>AVERAGE([5]A!AJ18,'[6]2009'!AJ18,'[7]2010'!AJ18)</f>
        <v>4835.623333333333</v>
      </c>
      <c r="AK17" s="317">
        <f>AVERAGE([5]A!AK18,'[6]2009'!AK18,'[7]2010'!AK18)</f>
        <v>43.038459130512905</v>
      </c>
      <c r="AL17" s="317">
        <f>AVERAGE([5]A!AL18,'[6]2009'!AL18,'[7]2010'!AL18)</f>
        <v>19863.448197495647</v>
      </c>
      <c r="AM17" s="317">
        <f>AVERAGE([5]A!AM18,'[6]2009'!AM18,'[7]2010'!AM18)</f>
        <v>18529.666666666668</v>
      </c>
      <c r="AN17" s="317">
        <f>AVERAGE([5]A!AN18,'[6]2009'!AN18,'[7]2010'!AN18)</f>
        <v>5465.3354516020181</v>
      </c>
      <c r="AO17" s="317">
        <f>AVERAGE([5]A!AO18,'[6]2009'!AO18,'[7]2010'!AO18)</f>
        <v>5138.7766666666666</v>
      </c>
      <c r="AP17" s="317">
        <f>AVERAGE([5]A!AP18,'[6]2009'!AP18,'[7]2010'!AP18)</f>
        <v>41.857541801568701</v>
      </c>
      <c r="AQ17" s="317">
        <f>AVERAGE([5]A!AQ18,'[6]2009'!AQ18,'[7]2010'!AQ18)</f>
        <v>22131.087624244818</v>
      </c>
      <c r="AR17" s="317">
        <f>AVERAGE([5]A!AR18,'[6]2009'!AR18,'[7]2010'!AR18)</f>
        <v>15882.333333333334</v>
      </c>
      <c r="AS17" s="317">
        <f>AVERAGE([5]A!AS18,'[6]2009'!AS18,'[7]2010'!AS18)</f>
        <v>6167.7215990031937</v>
      </c>
      <c r="AT17" s="317">
        <f>AVERAGE([5]A!AT18,'[6]2009'!AT18,'[7]2010'!AT18)</f>
        <v>4477.3166666666666</v>
      </c>
      <c r="AU17" s="317">
        <f>AVERAGE([5]A!AU18,'[6]2009'!AU18,'[7]2010'!AU18)</f>
        <v>40.46918204299525</v>
      </c>
      <c r="AV17" s="317">
        <f>AVERAGE([5]A!AV18,'[6]2009'!AV18,'[7]2010'!AV18)</f>
        <v>16747.60277155109</v>
      </c>
      <c r="AW17" s="317">
        <f>AVERAGE([5]A!AW18,'[6]2009'!AW18,'[7]2010'!AW18)</f>
        <v>20087.666666666668</v>
      </c>
      <c r="AX17" s="317">
        <f>AVERAGE([5]A!AX18,'[6]2009'!AX18,'[7]2010'!AX18)</f>
        <v>4579.245525899365</v>
      </c>
      <c r="AY17" s="317">
        <f>AVERAGE([5]A!AY18,'[6]2009'!AY18,'[7]2010'!AY18)</f>
        <v>5698.8166666666666</v>
      </c>
      <c r="AZ17" s="317">
        <f>AVERAGE([5]A!AZ18,'[6]2009'!AZ18,'[7]2010'!AZ18)</f>
        <v>50.430195233834695</v>
      </c>
      <c r="BA17" s="317">
        <f>AVERAGE([5]A!BA18,'[6]2009'!BA18,'[7]2010'!BA18)</f>
        <v>13537.917569851155</v>
      </c>
      <c r="BB17" s="317">
        <f>AVERAGE([5]A!BB18,'[6]2009'!BB18,'[7]2010'!BB18)</f>
        <v>16596.333333333332</v>
      </c>
      <c r="BC17" s="317">
        <f>AVERAGE([5]A!BC18,'[6]2009'!BC18,'[7]2010'!BC18)</f>
        <v>3740.3224186598432</v>
      </c>
      <c r="BD17" s="317">
        <f>AVERAGE([5]A!BD18,'[6]2009'!BD18,'[7]2010'!BD18)</f>
        <v>4746.793333333334</v>
      </c>
      <c r="BE17" s="317">
        <f>AVERAGE([5]A!BE18,'[6]2009'!BE18,'[7]2010'!BE18)</f>
        <v>47.395406551985616</v>
      </c>
      <c r="BF17" s="317">
        <f>AVERAGE([5]A!BF18,'[6]2009'!BF18,'[7]2010'!BF18)</f>
        <v>12877.760274481472</v>
      </c>
      <c r="BG17" s="317">
        <f>AVERAGE([5]A!BG18,'[6]2009'!BG18,'[7]2010'!BG18)</f>
        <v>13496.333333333334</v>
      </c>
      <c r="BH17" s="317">
        <f>AVERAGE([5]A!BH18,'[6]2009'!BH18,'[7]2010'!BH18)</f>
        <v>3512.2531464575636</v>
      </c>
      <c r="BI17" s="317">
        <f>AVERAGE([5]A!BI18,'[6]2009'!BI18,'[7]2010'!BI18)</f>
        <v>3691.69</v>
      </c>
      <c r="BJ17" s="317">
        <f>AVERAGE([5]A!BJ18,'[6]2009'!BJ18,'[7]2010'!BJ18)</f>
        <v>39.791280657060121</v>
      </c>
      <c r="BK17" s="317">
        <f>AVERAGE([5]A!BK18,'[6]2009'!BK18,'[7]2010'!BK18)</f>
        <v>196464.19222190193</v>
      </c>
      <c r="BL17" s="317">
        <f>AVERAGE([5]A!BL18,'[6]2009'!BL18,'[7]2010'!BL18)</f>
        <v>193631.33333333334</v>
      </c>
      <c r="BM17" s="317">
        <f>AVERAGE([5]A!BM18,'[6]2009'!BM18,'[7]2010'!BM18)</f>
        <v>54596.904497157091</v>
      </c>
      <c r="BN17" s="317">
        <f>AVERAGE([5]A!BN18,'[6]2009'!BN18,'[7]2010'!BN18)</f>
        <v>52145.78666666666</v>
      </c>
      <c r="BO17" s="317">
        <f>AVERAGE([8]A!BO18,[5]A!BO18,'[6]2009'!BO18,'[7]2010'!BO18)</f>
        <v>47.086189682704791</v>
      </c>
      <c r="BP17" s="283" t="s">
        <v>253</v>
      </c>
      <c r="BS17" s="283">
        <f>SUM(D102+I102+N102)</f>
        <v>26702.29</v>
      </c>
      <c r="BT17" s="283">
        <f>SUM(E102+J102+O102)</f>
        <v>26499.996666666666</v>
      </c>
      <c r="BU17" s="283">
        <f>SUM(F102+K102+P102)</f>
        <v>26917.173333333332</v>
      </c>
      <c r="BX17" s="283">
        <f>SUM(S102+X102+AC102)</f>
        <v>25421.193333333333</v>
      </c>
      <c r="BY17" s="283">
        <f>SUM(T102+Y102+AD102)</f>
        <v>23964.91</v>
      </c>
      <c r="BZ17" s="283">
        <f>SUM(U102+Z102+AE102)</f>
        <v>28685.82</v>
      </c>
      <c r="CA17" s="283" t="s">
        <v>182</v>
      </c>
      <c r="CJ17" s="323"/>
      <c r="CL17" s="323"/>
      <c r="CM17" s="323"/>
      <c r="DD17" s="310" t="s">
        <v>235</v>
      </c>
      <c r="DE17" s="310" t="s">
        <v>236</v>
      </c>
      <c r="DF17" s="310" t="s">
        <v>254</v>
      </c>
      <c r="DG17" s="310" t="s">
        <v>238</v>
      </c>
      <c r="DH17" s="283" t="s">
        <v>255</v>
      </c>
      <c r="DI17" s="310" t="s">
        <v>256</v>
      </c>
      <c r="DJ17" s="310" t="s">
        <v>240</v>
      </c>
      <c r="DK17" s="324" t="s">
        <v>241</v>
      </c>
      <c r="DL17" s="324" t="s">
        <v>241</v>
      </c>
      <c r="DM17" s="324" t="s">
        <v>241</v>
      </c>
      <c r="DN17" s="324" t="s">
        <v>241</v>
      </c>
      <c r="DO17" s="324" t="s">
        <v>241</v>
      </c>
      <c r="DP17" s="323">
        <f>$D231</f>
        <v>34152.333333333336</v>
      </c>
      <c r="DQ17" s="323">
        <f>$H231</f>
        <v>7107.29</v>
      </c>
    </row>
    <row r="18" spans="1:121" s="316" customFormat="1">
      <c r="A18" s="316" t="s">
        <v>1</v>
      </c>
      <c r="B18" s="316" t="s">
        <v>257</v>
      </c>
      <c r="C18" s="317">
        <f>AVERAGE([5]A!C19,'[6]2009'!C19,'[7]2010'!C19)</f>
        <v>1149.8271999999999</v>
      </c>
      <c r="D18" s="317">
        <f>AVERAGE([5]A!D19,'[6]2009'!D19,'[7]2010'!D19)</f>
        <v>341</v>
      </c>
      <c r="E18" s="317">
        <f>AVERAGE([5]A!E19,'[6]2009'!E19,'[7]2010'!E19)</f>
        <v>747.55929600000002</v>
      </c>
      <c r="F18" s="317">
        <f>AVERAGE([5]A!F19,'[6]2009'!F19,'[7]2010'!F19)</f>
        <v>248.06666666666669</v>
      </c>
      <c r="G18" s="317">
        <f>AVERAGE([5]A!G19,'[6]2009'!G19,'[7]2010'!G19)</f>
        <v>1.0787480411822463</v>
      </c>
      <c r="H18" s="317">
        <f>AVERAGE([5]A!H19,'[6]2009'!H19,'[7]2010'!H19)</f>
        <v>1082.5948902457351</v>
      </c>
      <c r="I18" s="317">
        <f>AVERAGE([5]A!I19,'[6]2009'!I19,'[7]2010'!I19)</f>
        <v>1308.3333333333333</v>
      </c>
      <c r="J18" s="317">
        <f>AVERAGE([5]A!J19,'[6]2009'!J19,'[7]2010'!J19)</f>
        <v>706.44429357876788</v>
      </c>
      <c r="K18" s="317">
        <f>AVERAGE([5]A!K19,'[6]2009'!K19,'[7]2010'!K19)</f>
        <v>1095.71</v>
      </c>
      <c r="L18" s="317">
        <f>AVERAGE([5]A!L19,'[6]2009'!L19,'[7]2010'!L19)</f>
        <v>4.1386190565624785</v>
      </c>
      <c r="M18" s="317">
        <f>AVERAGE([5]A!M19,'[6]2009'!M19,'[7]2010'!M19)</f>
        <v>1340.7420476446077</v>
      </c>
      <c r="N18" s="317">
        <f>AVERAGE([5]A!N19,'[6]2009'!N19,'[7]2010'!N19)</f>
        <v>1266.6666666666667</v>
      </c>
      <c r="O18" s="317">
        <f>AVERAGE([5]A!O19,'[6]2009'!O19,'[7]2010'!O19)</f>
        <v>903.10668036422533</v>
      </c>
      <c r="P18" s="317">
        <f>AVERAGE([5]A!P19,'[6]2009'!P19,'[7]2010'!P19)</f>
        <v>1058.3666666666666</v>
      </c>
      <c r="Q18" s="317">
        <f>AVERAGE([5]A!Q19,'[6]2009'!Q19,'[7]2010'!Q19)</f>
        <v>3.3679218786312437</v>
      </c>
      <c r="R18" s="317">
        <f>AVERAGE([5]A!R19,'[6]2009'!R19,'[7]2010'!R19)</f>
        <v>1913.3050764814427</v>
      </c>
      <c r="S18" s="317">
        <f>AVERAGE([5]A!S19,'[6]2009'!S19,'[7]2010'!S19)</f>
        <v>300</v>
      </c>
      <c r="T18" s="317">
        <f>AVERAGE([5]A!T19,'[6]2009'!T19,'[7]2010'!T19)</f>
        <v>1561.8804172718194</v>
      </c>
      <c r="U18" s="317">
        <f>AVERAGE([5]A!U19,'[6]2009'!U19,'[7]2010'!U19)</f>
        <v>241.89</v>
      </c>
      <c r="V18" s="317">
        <f>AVERAGE([5]A!V19,'[6]2009'!V19,'[7]2010'!V19)</f>
        <v>0.84868030213018752</v>
      </c>
      <c r="W18" s="317">
        <f>AVERAGE([5]A!W19,'[6]2009'!W19,'[7]2010'!W19)</f>
        <v>1928.1049191497452</v>
      </c>
      <c r="X18" s="317">
        <f>AVERAGE([5]A!X19,'[6]2009'!X19,'[7]2010'!X19)</f>
        <v>802.33333333333337</v>
      </c>
      <c r="Y18" s="317">
        <f>AVERAGE([5]A!Y19,'[6]2009'!Y19,'[7]2010'!Y19)</f>
        <v>1570.7600057425207</v>
      </c>
      <c r="Z18" s="317">
        <f>AVERAGE([5]A!Z19,'[6]2009'!Z19,'[7]2010'!Z19)</f>
        <v>576.48666666666657</v>
      </c>
      <c r="AA18" s="317">
        <f>AVERAGE([5]A!AA19,'[6]2009'!AA19,'[7]2010'!AA19)</f>
        <v>2.1161088614338834</v>
      </c>
      <c r="AB18" s="317">
        <f>AVERAGE([5]A!AB19,'[6]2009'!AB19,'[7]2010'!AB19)</f>
        <v>721.69819325161677</v>
      </c>
      <c r="AC18" s="317">
        <f>AVERAGE([5]A!AC19,'[6]2009'!AC19,'[7]2010'!AC19)</f>
        <v>1266.6666666666667</v>
      </c>
      <c r="AD18" s="317">
        <f>AVERAGE([5]A!AD19,'[6]2009'!AD19,'[7]2010'!AD19)</f>
        <v>532.03679889168495</v>
      </c>
      <c r="AE18" s="317">
        <f>AVERAGE([5]A!AE19,'[6]2009'!AE19,'[7]2010'!AE19)</f>
        <v>1090.6000000000001</v>
      </c>
      <c r="AF18" s="317">
        <f>AVERAGE([5]A!AF19,'[6]2009'!AF19,'[7]2010'!AF19)</f>
        <v>3.1185628349377517</v>
      </c>
      <c r="AG18" s="317">
        <f>AVERAGE([5]A!AG19,'[6]2009'!AG19,'[7]2010'!AG19)</f>
        <v>402.50954351442209</v>
      </c>
      <c r="AH18" s="317">
        <f>AVERAGE([5]A!AH19,'[6]2009'!AH19,'[7]2010'!AH19)</f>
        <v>528.33333333333337</v>
      </c>
      <c r="AI18" s="317">
        <f>AVERAGE([5]A!AI19,'[6]2009'!AI19,'[7]2010'!AI19)</f>
        <v>344.04908237805688</v>
      </c>
      <c r="AJ18" s="317">
        <f>AVERAGE([5]A!AJ19,'[6]2009'!AJ19,'[7]2010'!AJ19)</f>
        <v>429.2166666666667</v>
      </c>
      <c r="AK18" s="317">
        <f>AVERAGE([5]A!AK19,'[6]2009'!AK19,'[7]2010'!AK19)</f>
        <v>1.3276148902246894</v>
      </c>
      <c r="AL18" s="317">
        <f>AVERAGE([5]A!AL19,'[6]2009'!AL19,'[7]2010'!AL19)</f>
        <v>633.15956788962967</v>
      </c>
      <c r="AM18" s="317">
        <f>AVERAGE([5]A!AM19,'[6]2009'!AM19,'[7]2010'!AM19)</f>
        <v>0</v>
      </c>
      <c r="AN18" s="317">
        <f>AVERAGE([5]A!AN19,'[6]2009'!AN19,'[7]2010'!AN19)</f>
        <v>546.31138275573039</v>
      </c>
      <c r="AO18" s="317">
        <f>AVERAGE([5]A!AO19,'[6]2009'!AO19,'[7]2010'!AO19)</f>
        <v>0</v>
      </c>
      <c r="AP18" s="317">
        <f>AVERAGE([5]A!AP19,'[6]2009'!AP19,'[7]2010'!AP19)</f>
        <v>0</v>
      </c>
      <c r="AQ18" s="317">
        <f>AVERAGE([5]A!AQ19,'[6]2009'!AQ19,'[7]2010'!AQ19)</f>
        <v>3795.8899327398576</v>
      </c>
      <c r="AR18" s="317">
        <f>AVERAGE([5]A!AR19,'[6]2009'!AR19,'[7]2010'!AR19)</f>
        <v>628.66666666666663</v>
      </c>
      <c r="AS18" s="317">
        <f>AVERAGE([5]A!AS19,'[6]2009'!AS19,'[7]2010'!AS19)</f>
        <v>3036.5890024371874</v>
      </c>
      <c r="AT18" s="317">
        <f>AVERAGE([5]A!AT19,'[6]2009'!AT19,'[7]2010'!AT19)</f>
        <v>483.94666666666666</v>
      </c>
      <c r="AU18" s="317">
        <f>AVERAGE([5]A!AU19,'[6]2009'!AU19,'[7]2010'!AU19)</f>
        <v>1.6177732029507634</v>
      </c>
      <c r="AV18" s="317">
        <f>AVERAGE([5]A!AV19,'[6]2009'!AV19,'[7]2010'!AV19)</f>
        <v>2178.6861135176318</v>
      </c>
      <c r="AW18" s="317">
        <f>AVERAGE([5]A!AW19,'[6]2009'!AW19,'[7]2010'!AW19)</f>
        <v>1479</v>
      </c>
      <c r="AX18" s="317">
        <f>AVERAGE([5]A!AX19,'[6]2009'!AX19,'[7]2010'!AX19)</f>
        <v>1870.9357109007403</v>
      </c>
      <c r="AY18" s="317">
        <f>AVERAGE([5]A!AY19,'[6]2009'!AY19,'[7]2010'!AY19)</f>
        <v>1025.3333333333333</v>
      </c>
      <c r="AZ18" s="317">
        <f>AVERAGE([5]A!AZ19,'[6]2009'!AZ19,'[7]2010'!AZ19)</f>
        <v>3.8910812943962116</v>
      </c>
      <c r="BA18" s="317">
        <f>AVERAGE([5]A!BA19,'[6]2009'!BA19,'[7]2010'!BA19)</f>
        <v>1166.7224359442521</v>
      </c>
      <c r="BB18" s="317">
        <f>AVERAGE([5]A!BB19,'[6]2009'!BB19,'[7]2010'!BB19)</f>
        <v>43.333333333333336</v>
      </c>
      <c r="BC18" s="317">
        <f>AVERAGE([5]A!BC19,'[6]2009'!BC19,'[7]2010'!BC19)</f>
        <v>855.48835111606138</v>
      </c>
      <c r="BD18" s="317">
        <f>AVERAGE([5]A!BD19,'[6]2009'!BD19,'[7]2010'!BD19)</f>
        <v>44.98</v>
      </c>
      <c r="BE18" s="317">
        <f>AVERAGE([5]A!BE19,'[6]2009'!BE19,'[7]2010'!BE19)</f>
        <v>0.12078304577677436</v>
      </c>
      <c r="BF18" s="317">
        <f>AVERAGE([5]A!BF19,'[6]2009'!BF19,'[7]2010'!BF19)</f>
        <v>1084.6029594004069</v>
      </c>
      <c r="BG18" s="317">
        <f>AVERAGE([5]A!BG19,'[6]2009'!BG19,'[7]2010'!BG19)</f>
        <v>300</v>
      </c>
      <c r="BH18" s="317">
        <f>AVERAGE([5]A!BH19,'[6]2009'!BH19,'[7]2010'!BH19)</f>
        <v>870.35405592540667</v>
      </c>
      <c r="BI18" s="317">
        <f>AVERAGE([5]A!BI19,'[6]2009'!BI19,'[7]2010'!BI19)</f>
        <v>241.89</v>
      </c>
      <c r="BJ18" s="317">
        <f>AVERAGE([5]A!BJ19,'[6]2009'!BJ19,'[7]2010'!BJ19)</f>
        <v>0.83843380565104386</v>
      </c>
      <c r="BK18" s="317">
        <f>AVERAGE([5]A!BK19,'[6]2009'!BK19,'[7]2010'!BK19)</f>
        <v>17397.842879779349</v>
      </c>
      <c r="BL18" s="317">
        <f>AVERAGE([5]A!BL19,'[6]2009'!BL19,'[7]2010'!BL19)</f>
        <v>8264.3333333333339</v>
      </c>
      <c r="BM18" s="317">
        <f>AVERAGE([5]A!BM19,'[6]2009'!BM19,'[7]2010'!BM19)</f>
        <v>13545.515077362201</v>
      </c>
      <c r="BN18" s="317">
        <f>AVERAGE([5]A!BN19,'[6]2009'!BN19,'[7]2010'!BN19)</f>
        <v>6536.4866666666667</v>
      </c>
      <c r="BO18" s="317">
        <f>AVERAGE([8]A!BO19,[5]A!BO19,'[6]2009'!BO19,'[7]2010'!BO19)</f>
        <v>3.1159820579976225</v>
      </c>
      <c r="BP18" s="316">
        <f>BL18/146</f>
        <v>56.605022831050235</v>
      </c>
      <c r="BS18" s="316">
        <f>SUM(E96+J96+O96)</f>
        <v>384913.01239217632</v>
      </c>
      <c r="BT18" s="316">
        <f>SUM(F96+K96+P96)</f>
        <v>362829.25333333336</v>
      </c>
      <c r="BU18" s="316">
        <v>226031.67</v>
      </c>
      <c r="BX18" s="316">
        <f>SUM(T96+Y96+AD96)</f>
        <v>444660.37528261112</v>
      </c>
      <c r="BY18" s="316">
        <f>SUM(U96+Z96+AE96)</f>
        <v>419079.24333333329</v>
      </c>
      <c r="CA18" s="316" t="s">
        <v>182</v>
      </c>
      <c r="CJ18" s="319"/>
      <c r="CL18" s="319"/>
      <c r="CM18" s="319"/>
      <c r="CU18" s="316" t="s">
        <v>258</v>
      </c>
      <c r="DJ18" s="321" t="s">
        <v>244</v>
      </c>
      <c r="DK18" s="322" t="s">
        <v>241</v>
      </c>
      <c r="DL18" s="322" t="s">
        <v>241</v>
      </c>
      <c r="DM18" s="322" t="s">
        <v>241</v>
      </c>
      <c r="DN18" s="322" t="s">
        <v>241</v>
      </c>
      <c r="DO18" s="322" t="s">
        <v>241</v>
      </c>
      <c r="DP18" s="319">
        <f>$C231</f>
        <v>35880.795682208314</v>
      </c>
      <c r="DQ18" s="319">
        <f>$G231</f>
        <v>8058.8366296552413</v>
      </c>
    </row>
    <row r="19" spans="1:121">
      <c r="A19" s="283" t="s">
        <v>1</v>
      </c>
      <c r="B19" s="283" t="s">
        <v>62</v>
      </c>
      <c r="C19" s="317">
        <f>AVERAGE([5]A!C20,'[6]2009'!C20,'[7]2010'!C20)</f>
        <v>0</v>
      </c>
      <c r="D19" s="317">
        <f>AVERAGE([5]A!D20,'[6]2009'!D20,'[7]2010'!D20)</f>
        <v>0</v>
      </c>
      <c r="E19" s="317">
        <f>AVERAGE([5]A!E20,'[6]2009'!E20,'[7]2010'!E20)</f>
        <v>0</v>
      </c>
      <c r="F19" s="317">
        <f>AVERAGE([5]A!F20,'[6]2009'!F20,'[7]2010'!F20)</f>
        <v>0</v>
      </c>
      <c r="G19" s="317">
        <f>AVERAGE([5]A!G20,'[6]2009'!G20,'[7]2010'!G20)</f>
        <v>0</v>
      </c>
      <c r="H19" s="317">
        <f>AVERAGE([5]A!H20,'[6]2009'!H20,'[7]2010'!H20)</f>
        <v>0</v>
      </c>
      <c r="I19" s="317">
        <f>AVERAGE([5]A!I20,'[6]2009'!I20,'[7]2010'!I20)</f>
        <v>0</v>
      </c>
      <c r="J19" s="317">
        <f>AVERAGE([5]A!J20,'[6]2009'!J20,'[7]2010'!J20)</f>
        <v>0</v>
      </c>
      <c r="K19" s="317">
        <f>AVERAGE([5]A!K20,'[6]2009'!K20,'[7]2010'!K20)</f>
        <v>0</v>
      </c>
      <c r="L19" s="317">
        <f>AVERAGE([5]A!L20,'[6]2009'!L20,'[7]2010'!L20)</f>
        <v>0</v>
      </c>
      <c r="M19" s="317">
        <f>AVERAGE([5]A!M20,'[6]2009'!M20,'[7]2010'!M20)</f>
        <v>6381.8746666666675</v>
      </c>
      <c r="N19" s="317">
        <f>AVERAGE([5]A!N20,'[6]2009'!N20,'[7]2010'!N20)</f>
        <v>4000</v>
      </c>
      <c r="O19" s="317">
        <f>AVERAGE([5]A!O20,'[6]2009'!O20,'[7]2010'!O20)</f>
        <v>8942.8518079999994</v>
      </c>
      <c r="P19" s="317">
        <f>AVERAGE([5]A!P20,'[6]2009'!P20,'[7]2010'!P20)</f>
        <v>5770.8</v>
      </c>
      <c r="Q19" s="317">
        <f>AVERAGE([5]A!Q20,'[6]2009'!Q20,'[7]2010'!Q20)</f>
        <v>10.854732149575904</v>
      </c>
      <c r="R19" s="317">
        <f>AVERAGE([5]A!R20,'[6]2009'!R20,'[7]2010'!R20)</f>
        <v>0</v>
      </c>
      <c r="S19" s="317">
        <f>AVERAGE([5]A!S20,'[6]2009'!S20,'[7]2010'!S20)</f>
        <v>0</v>
      </c>
      <c r="T19" s="317">
        <f>AVERAGE([5]A!T20,'[6]2009'!T20,'[7]2010'!T20)</f>
        <v>0</v>
      </c>
      <c r="U19" s="317">
        <f>AVERAGE([5]A!U20,'[6]2009'!U20,'[7]2010'!U20)</f>
        <v>0</v>
      </c>
      <c r="V19" s="317">
        <f>AVERAGE([5]A!V20,'[6]2009'!V20,'[7]2010'!V20)</f>
        <v>0</v>
      </c>
      <c r="W19" s="317">
        <f>AVERAGE([5]A!W20,'[6]2009'!W20,'[7]2010'!W20)</f>
        <v>6928.9006666666673</v>
      </c>
      <c r="X19" s="317">
        <f>AVERAGE([5]A!X20,'[6]2009'!X20,'[7]2010'!X20)</f>
        <v>3800</v>
      </c>
      <c r="Y19" s="317">
        <f>AVERAGE([5]A!Y20,'[6]2009'!Y20,'[7]2010'!Y20)</f>
        <v>9686.8071679999994</v>
      </c>
      <c r="Z19" s="317">
        <f>AVERAGE([5]A!Z20,'[6]2009'!Z20,'[7]2010'!Z20)</f>
        <v>5677.02</v>
      </c>
      <c r="AA19" s="317">
        <f>AVERAGE([5]A!AA20,'[6]2009'!AA20,'[7]2010'!AA20)</f>
        <v>9.9600889967122601</v>
      </c>
      <c r="AB19" s="317">
        <f>AVERAGE([5]A!AB20,'[6]2009'!AB20,'[7]2010'!AB20)</f>
        <v>0</v>
      </c>
      <c r="AC19" s="317">
        <f>AVERAGE([5]A!AC20,'[6]2009'!AC20,'[7]2010'!AC20)</f>
        <v>2000</v>
      </c>
      <c r="AD19" s="317">
        <f>AVERAGE([5]A!AD20,'[6]2009'!AD20,'[7]2010'!AD20)</f>
        <v>0</v>
      </c>
      <c r="AE19" s="317">
        <f>AVERAGE([5]A!AE20,'[6]2009'!AE20,'[7]2010'!AE20)</f>
        <v>2885.4</v>
      </c>
      <c r="AF19" s="317">
        <f>AVERAGE([5]A!AF20,'[6]2009'!AF20,'[7]2010'!AF20)</f>
        <v>5.0773019217587771</v>
      </c>
      <c r="AG19" s="317">
        <f>AVERAGE([5]A!AG20,'[6]2009'!AG20,'[7]2010'!AG20)</f>
        <v>5920.8346666666666</v>
      </c>
      <c r="AH19" s="317">
        <f>AVERAGE([5]A!AH20,'[6]2009'!AH20,'[7]2010'!AH20)</f>
        <v>4000</v>
      </c>
      <c r="AI19" s="317">
        <f>AVERAGE([5]A!AI20,'[6]2009'!AI20,'[7]2010'!AI20)</f>
        <v>8323.6114346666673</v>
      </c>
      <c r="AJ19" s="317">
        <f>AVERAGE([5]A!AJ20,'[6]2009'!AJ20,'[7]2010'!AJ20)</f>
        <v>5985.4000000000005</v>
      </c>
      <c r="AK19" s="317">
        <f>AVERAGE([5]A!AK20,'[6]2009'!AK20,'[7]2010'!AK20)</f>
        <v>10.221833494330079</v>
      </c>
      <c r="AL19" s="317">
        <f>AVERAGE([5]A!AL20,'[6]2009'!AL20,'[7]2010'!AL20)</f>
        <v>0</v>
      </c>
      <c r="AM19" s="317">
        <f>AVERAGE([5]A!AM20,'[6]2009'!AM20,'[7]2010'!AM20)</f>
        <v>0</v>
      </c>
      <c r="AN19" s="317">
        <f>AVERAGE([5]A!AN20,'[6]2009'!AN20,'[7]2010'!AN20)</f>
        <v>0</v>
      </c>
      <c r="AO19" s="317">
        <f>AVERAGE([5]A!AO20,'[6]2009'!AO20,'[7]2010'!AO20)</f>
        <v>0</v>
      </c>
      <c r="AP19" s="317">
        <f>AVERAGE([5]A!AP20,'[6]2009'!AP20,'[7]2010'!AP20)</f>
        <v>0</v>
      </c>
      <c r="AQ19" s="317">
        <f>AVERAGE([5]A!AQ20,'[6]2009'!AQ20,'[7]2010'!AQ20)</f>
        <v>6087.913333333333</v>
      </c>
      <c r="AR19" s="317">
        <f>AVERAGE([5]A!AR20,'[6]2009'!AR20,'[7]2010'!AR20)</f>
        <v>1900</v>
      </c>
      <c r="AS19" s="317">
        <f>AVERAGE([5]A!AS20,'[6]2009'!AS20,'[7]2010'!AS20)</f>
        <v>8566.7942400000011</v>
      </c>
      <c r="AT19" s="317">
        <f>AVERAGE([5]A!AT20,'[6]2009'!AT20,'[7]2010'!AT20)</f>
        <v>3121.7000000000003</v>
      </c>
      <c r="AU19" s="317">
        <f>AVERAGE([5]A!AU20,'[6]2009'!AU20,'[7]2010'!AU20)</f>
        <v>4.8893463715903236</v>
      </c>
      <c r="AV19" s="317">
        <f>AVERAGE([5]A!AV20,'[6]2009'!AV20,'[7]2010'!AV20)</f>
        <v>0</v>
      </c>
      <c r="AW19" s="317">
        <f>AVERAGE([5]A!AW20,'[6]2009'!AW20,'[7]2010'!AW20)</f>
        <v>0</v>
      </c>
      <c r="AX19" s="317">
        <f>AVERAGE([5]A!AX20,'[6]2009'!AX20,'[7]2010'!AX20)</f>
        <v>0</v>
      </c>
      <c r="AY19" s="317">
        <f>AVERAGE([5]A!AY20,'[6]2009'!AY20,'[7]2010'!AY20)</f>
        <v>0</v>
      </c>
      <c r="AZ19" s="317">
        <f>AVERAGE([5]A!AZ20,'[6]2009'!AZ20,'[7]2010'!AZ20)</f>
        <v>0</v>
      </c>
      <c r="BA19" s="317">
        <f>AVERAGE([5]A!BA20,'[6]2009'!BA20,'[7]2010'!BA20)</f>
        <v>6357.6000000000013</v>
      </c>
      <c r="BB19" s="317">
        <f>AVERAGE([5]A!BB20,'[6]2009'!BB20,'[7]2010'!BB20)</f>
        <v>6100</v>
      </c>
      <c r="BC19" s="317">
        <f>AVERAGE([5]A!BC20,'[6]2009'!BC20,'[7]2010'!BC20)</f>
        <v>8908.8296000000009</v>
      </c>
      <c r="BD19" s="317">
        <f>AVERAGE([5]A!BD20,'[6]2009'!BD20,'[7]2010'!BD20)</f>
        <v>9035.0399999999991</v>
      </c>
      <c r="BE19" s="317">
        <f>AVERAGE([5]A!BE20,'[6]2009'!BE20,'[7]2010'!BE20)</f>
        <v>17.457545655144102</v>
      </c>
      <c r="BF19" s="317">
        <f>AVERAGE([5]A!BF20,'[6]2009'!BF20,'[7]2010'!BF20)</f>
        <v>0</v>
      </c>
      <c r="BG19" s="317">
        <f>AVERAGE([5]A!BG20,'[6]2009'!BG20,'[7]2010'!BG20)</f>
        <v>0</v>
      </c>
      <c r="BH19" s="317">
        <f>AVERAGE([5]A!BH20,'[6]2009'!BH20,'[7]2010'!BH20)</f>
        <v>0</v>
      </c>
      <c r="BI19" s="317">
        <f>AVERAGE([5]A!BI20,'[6]2009'!BI20,'[7]2010'!BI20)</f>
        <v>0</v>
      </c>
      <c r="BJ19" s="317">
        <f>AVERAGE([5]A!BJ20,'[6]2009'!BJ20,'[7]2010'!BJ20)</f>
        <v>0</v>
      </c>
      <c r="BK19" s="317">
        <f>AVERAGE([5]A!BK20,'[6]2009'!BK20,'[7]2010'!BK20)</f>
        <v>31677.123333333337</v>
      </c>
      <c r="BL19" s="317">
        <f>AVERAGE([5]A!BL20,'[6]2009'!BL20,'[7]2010'!BL20)</f>
        <v>21800</v>
      </c>
      <c r="BM19" s="317">
        <f>AVERAGE([5]A!BM20,'[6]2009'!BM20,'[7]2010'!BM20)</f>
        <v>44428.894250666672</v>
      </c>
      <c r="BN19" s="317">
        <f>AVERAGE([5]A!BN20,'[6]2009'!BN20,'[7]2010'!BN20)</f>
        <v>32475.360000000004</v>
      </c>
      <c r="BO19" s="317">
        <f>AVERAGE([8]A!BO20,[5]A!BO20,'[6]2009'!BO20,'[7]2010'!BO20)</f>
        <v>5.2061160590478943</v>
      </c>
      <c r="BP19" s="283">
        <f>BL14/365</f>
        <v>5116.519634703197</v>
      </c>
      <c r="CA19" s="283" t="s">
        <v>182</v>
      </c>
      <c r="CJ19" s="323"/>
      <c r="CL19" s="323"/>
      <c r="CM19" s="323"/>
      <c r="CV19" s="294" t="s">
        <v>259</v>
      </c>
      <c r="DD19" s="310" t="s">
        <v>235</v>
      </c>
      <c r="DE19" s="310" t="s">
        <v>236</v>
      </c>
      <c r="DF19" s="310" t="s">
        <v>260</v>
      </c>
      <c r="DG19" s="310" t="s">
        <v>238</v>
      </c>
      <c r="DH19" s="283" t="s">
        <v>261</v>
      </c>
      <c r="DI19" s="310" t="s">
        <v>254</v>
      </c>
      <c r="DJ19" s="310" t="s">
        <v>240</v>
      </c>
      <c r="DK19" s="324" t="s">
        <v>241</v>
      </c>
      <c r="DL19" s="324" t="s">
        <v>241</v>
      </c>
      <c r="DM19" s="324" t="s">
        <v>241</v>
      </c>
      <c r="DN19" s="324" t="s">
        <v>241</v>
      </c>
      <c r="DO19" s="324" t="s">
        <v>241</v>
      </c>
      <c r="DP19" s="323">
        <f>$D232</f>
        <v>29852</v>
      </c>
      <c r="DQ19" s="323">
        <f>$H232</f>
        <v>8149.55</v>
      </c>
    </row>
    <row r="20" spans="1:121" s="316" customFormat="1">
      <c r="A20" s="316" t="s">
        <v>1</v>
      </c>
      <c r="B20" s="316" t="s">
        <v>262</v>
      </c>
      <c r="C20" s="317">
        <f>AVERAGE([5]A!C21,'[6]2009'!C21,'[7]2010'!C21)</f>
        <v>7199.4108247650547</v>
      </c>
      <c r="D20" s="317">
        <f>AVERAGE([5]A!D21,'[6]2009'!D21,'[7]2010'!D21)</f>
        <v>6865.333333333333</v>
      </c>
      <c r="E20" s="317">
        <f>AVERAGE([5]A!E21,'[6]2009'!E21,'[7]2010'!E21)</f>
        <v>2516.01974452081</v>
      </c>
      <c r="F20" s="317">
        <f>AVERAGE([5]A!F21,'[6]2009'!F21,'[7]2010'!F21)</f>
        <v>1824.4266666666665</v>
      </c>
      <c r="G20" s="317">
        <f>AVERAGE([5]A!G21,'[6]2009'!G21,'[7]2010'!G21)</f>
        <v>20.876832700758161</v>
      </c>
      <c r="H20" s="317">
        <f>AVERAGE([5]A!H21,'[6]2009'!H21,'[7]2010'!H21)</f>
        <v>5290.4340637668456</v>
      </c>
      <c r="I20" s="317">
        <f>AVERAGE([5]A!I21,'[6]2009'!I21,'[7]2010'!I21)</f>
        <v>5482.333333333333</v>
      </c>
      <c r="J20" s="317">
        <f>AVERAGE([5]A!J21,'[6]2009'!J21,'[7]2010'!J21)</f>
        <v>1840.9664391706874</v>
      </c>
      <c r="K20" s="317">
        <f>AVERAGE([5]A!K21,'[6]2009'!K21,'[7]2010'!K21)</f>
        <v>1654.5133333333333</v>
      </c>
      <c r="L20" s="317">
        <f>AVERAGE([5]A!L21,'[6]2009'!L21,'[7]2010'!L21)</f>
        <v>16.66430905343282</v>
      </c>
      <c r="M20" s="317">
        <f>AVERAGE([5]A!M21,'[6]2009'!M21,'[7]2010'!M21)</f>
        <v>6934.0858077150197</v>
      </c>
      <c r="N20" s="317">
        <f>AVERAGE([5]A!N21,'[6]2009'!N21,'[7]2010'!N21)</f>
        <v>6784.333333333333</v>
      </c>
      <c r="O20" s="317">
        <f>AVERAGE([5]A!O21,'[6]2009'!O21,'[7]2010'!O21)</f>
        <v>2399.8215861680223</v>
      </c>
      <c r="P20" s="317">
        <f>AVERAGE([5]A!P21,'[6]2009'!P21,'[7]2010'!P21)</f>
        <v>2009.5100000000002</v>
      </c>
      <c r="Q20" s="317">
        <f>AVERAGE([5]A!Q21,'[6]2009'!Q21,'[7]2010'!Q21)</f>
        <v>18.252818692533182</v>
      </c>
      <c r="R20" s="317">
        <f>AVERAGE([5]A!R21,'[6]2009'!R21,'[7]2010'!R21)</f>
        <v>7391.9143785465776</v>
      </c>
      <c r="S20" s="317">
        <f>AVERAGE([5]A!S21,'[6]2009'!S21,'[7]2010'!S21)</f>
        <v>6504.666666666667</v>
      </c>
      <c r="T20" s="317">
        <f>AVERAGE([5]A!T21,'[6]2009'!T21,'[7]2010'!T21)</f>
        <v>2617.132933881107</v>
      </c>
      <c r="U20" s="317">
        <f>AVERAGE([5]A!U21,'[6]2009'!U21,'[7]2010'!U21)</f>
        <v>1929.3033333333333</v>
      </c>
      <c r="V20" s="317">
        <f>AVERAGE([5]A!V21,'[6]2009'!V21,'[7]2010'!V21)</f>
        <v>18.386459440618417</v>
      </c>
      <c r="W20" s="317">
        <f>AVERAGE([5]A!W21,'[6]2009'!W21,'[7]2010'!W21)</f>
        <v>7893.1905186280355</v>
      </c>
      <c r="X20" s="317">
        <f>AVERAGE([5]A!X21,'[6]2009'!X21,'[7]2010'!X21)</f>
        <v>6683.333333333333</v>
      </c>
      <c r="Y20" s="317">
        <f>AVERAGE([5]A!Y21,'[6]2009'!Y21,'[7]2010'!Y21)</f>
        <v>2810.1329627503951</v>
      </c>
      <c r="Z20" s="317">
        <f>AVERAGE([5]A!Z21,'[6]2009'!Z21,'[7]2010'!Z21)</f>
        <v>1900.3533333333335</v>
      </c>
      <c r="AA20" s="317">
        <f>AVERAGE([5]A!AA21,'[6]2009'!AA21,'[7]2010'!AA21)</f>
        <v>18.166064244328755</v>
      </c>
      <c r="AB20" s="317">
        <f>AVERAGE([5]A!AB21,'[6]2009'!AB21,'[7]2010'!AB21)</f>
        <v>8032.8002530764143</v>
      </c>
      <c r="AC20" s="317">
        <f>AVERAGE([5]A!AC21,'[6]2009'!AC21,'[7]2010'!AC21)</f>
        <v>7054</v>
      </c>
      <c r="AD20" s="317">
        <f>AVERAGE([5]A!AD21,'[6]2009'!AD21,'[7]2010'!AD21)</f>
        <v>2808.5694731039075</v>
      </c>
      <c r="AE20" s="317">
        <f>AVERAGE([5]A!AE21,'[6]2009'!AE21,'[7]2010'!AE21)</f>
        <v>1987.0166666666664</v>
      </c>
      <c r="AF20" s="317">
        <f>AVERAGE([5]A!AF21,'[6]2009'!AF21,'[7]2010'!AF21)</f>
        <v>17.620640630520615</v>
      </c>
      <c r="AG20" s="317">
        <f>AVERAGE([5]A!AG21,'[6]2009'!AG21,'[7]2010'!AG21)</f>
        <v>8682.8729666098607</v>
      </c>
      <c r="AH20" s="317">
        <f>AVERAGE([5]A!AH21,'[6]2009'!AH21,'[7]2010'!AH21)</f>
        <v>6081</v>
      </c>
      <c r="AI20" s="317">
        <f>AVERAGE([5]A!AI21,'[6]2009'!AI21,'[7]2010'!AI21)</f>
        <v>3016.7844877270531</v>
      </c>
      <c r="AJ20" s="317">
        <f>AVERAGE([5]A!AJ21,'[6]2009'!AJ21,'[7]2010'!AJ21)</f>
        <v>1734.7233333333334</v>
      </c>
      <c r="AK20" s="317">
        <f>AVERAGE([5]A!AK21,'[6]2009'!AK21,'[7]2010'!AK21)</f>
        <v>15.010101819203514</v>
      </c>
      <c r="AL20" s="317">
        <f>AVERAGE([5]A!AL21,'[6]2009'!AL21,'[7]2010'!AL21)</f>
        <v>9944.9120568949838</v>
      </c>
      <c r="AM20" s="317">
        <f>AVERAGE([5]A!AM21,'[6]2009'!AM21,'[7]2010'!AM21)</f>
        <v>7569</v>
      </c>
      <c r="AN20" s="317">
        <f>AVERAGE([5]A!AN21,'[6]2009'!AN21,'[7]2010'!AN21)</f>
        <v>3493.9677637029013</v>
      </c>
      <c r="AO20" s="317">
        <f>AVERAGE([5]A!AO21,'[6]2009'!AO21,'[7]2010'!AO21)</f>
        <v>2173.2733333333331</v>
      </c>
      <c r="AP20" s="317">
        <f>AVERAGE([5]A!AP21,'[6]2009'!AP21,'[7]2010'!AP21)</f>
        <v>17.342013065603297</v>
      </c>
      <c r="AQ20" s="317">
        <f>AVERAGE([5]A!AQ21,'[6]2009'!AQ21,'[7]2010'!AQ21)</f>
        <v>11500.454590881514</v>
      </c>
      <c r="AR20" s="317">
        <f>AVERAGE([5]A!AR21,'[6]2009'!AR21,'[7]2010'!AR21)</f>
        <v>7140</v>
      </c>
      <c r="AS20" s="317">
        <f>AVERAGE([5]A!AS21,'[6]2009'!AS21,'[7]2010'!AS21)</f>
        <v>3940.72170350427</v>
      </c>
      <c r="AT20" s="317">
        <f>AVERAGE([5]A!AT21,'[6]2009'!AT21,'[7]2010'!AT21)</f>
        <v>2042.7533333333333</v>
      </c>
      <c r="AU20" s="317">
        <f>AVERAGE([5]A!AU21,'[6]2009'!AU21,'[7]2010'!AU21)</f>
        <v>18.142292060392922</v>
      </c>
      <c r="AV20" s="317">
        <f>AVERAGE([5]A!AV21,'[6]2009'!AV21,'[7]2010'!AV21)</f>
        <v>8761.4298350512745</v>
      </c>
      <c r="AW20" s="317">
        <f>AVERAGE([5]A!AW21,'[6]2009'!AW21,'[7]2010'!AW21)</f>
        <v>5176</v>
      </c>
      <c r="AX20" s="317">
        <f>AVERAGE([5]A!AX21,'[6]2009'!AX21,'[7]2010'!AX21)</f>
        <v>3113.951807733607</v>
      </c>
      <c r="AY20" s="317">
        <f>AVERAGE([5]A!AY21,'[6]2009'!AY21,'[7]2010'!AY21)</f>
        <v>1517.0100000000002</v>
      </c>
      <c r="AZ20" s="317">
        <f>AVERAGE([5]A!AZ21,'[6]2009'!AZ21,'[7]2010'!AZ21)</f>
        <v>12.392092342603192</v>
      </c>
      <c r="BA20" s="317">
        <f>AVERAGE([5]A!BA21,'[6]2009'!BA21,'[7]2010'!BA21)</f>
        <v>6653.2814917517026</v>
      </c>
      <c r="BB20" s="317">
        <f>AVERAGE([5]A!BB21,'[6]2009'!BB21,'[7]2010'!BB21)</f>
        <v>7896.333333333333</v>
      </c>
      <c r="BC20" s="317">
        <f>AVERAGE([5]A!BC21,'[6]2009'!BC21,'[7]2010'!BC21)</f>
        <v>2320.8450317531256</v>
      </c>
      <c r="BD20" s="317">
        <f>AVERAGE([5]A!BD21,'[6]2009'!BD21,'[7]2010'!BD21)</f>
        <v>2237.31</v>
      </c>
      <c r="BE20" s="317">
        <f>AVERAGE([5]A!BE21,'[6]2009'!BE21,'[7]2010'!BE21)</f>
        <v>22.626415841333841</v>
      </c>
      <c r="BF20" s="317">
        <f>AVERAGE([5]A!BF21,'[6]2009'!BF21,'[7]2010'!BF21)</f>
        <v>6618.9148259927933</v>
      </c>
      <c r="BG20" s="317">
        <f>AVERAGE([5]A!BG21,'[6]2009'!BG21,'[7]2010'!BG21)</f>
        <v>6276.666666666667</v>
      </c>
      <c r="BH20" s="317">
        <f>AVERAGE([5]A!BH21,'[6]2009'!BH21,'[7]2010'!BH21)</f>
        <v>2291.289581519979</v>
      </c>
      <c r="BI20" s="317">
        <f>AVERAGE([5]A!BI21,'[6]2009'!BI21,'[7]2010'!BI21)</f>
        <v>1834.0966666666666</v>
      </c>
      <c r="BJ20" s="317">
        <f>AVERAGE([5]A!BJ21,'[6]2009'!BJ21,'[7]2010'!BJ21)</f>
        <v>18.368505583909993</v>
      </c>
      <c r="BK20" s="317">
        <f>AVERAGE([5]A!BK21,'[6]2009'!BK21,'[7]2010'!BK21)</f>
        <v>94903.701613680067</v>
      </c>
      <c r="BL20" s="317">
        <f>AVERAGE([5]A!BL21,'[6]2009'!BL21,'[7]2010'!BL21)</f>
        <v>79513</v>
      </c>
      <c r="BM20" s="317">
        <f>AVERAGE([5]A!BM21,'[6]2009'!BM21,'[7]2010'!BM21)</f>
        <v>33170.203515535861</v>
      </c>
      <c r="BN20" s="317">
        <f>AVERAGE([5]A!BN21,'[6]2009'!BN21,'[7]2010'!BN21)</f>
        <v>22844.289999999997</v>
      </c>
      <c r="BO20" s="317">
        <f>AVERAGE([8]A!BO21,[5]A!BO21,'[6]2009'!BO21,'[7]2010'!BO21)</f>
        <v>19.700516625300185</v>
      </c>
      <c r="BP20" s="316">
        <f>BL20/365</f>
        <v>217.84383561643835</v>
      </c>
      <c r="CA20" s="316" t="s">
        <v>182</v>
      </c>
      <c r="CJ20" s="319"/>
      <c r="CL20" s="319"/>
      <c r="CM20" s="319"/>
      <c r="CV20" s="325" t="s">
        <v>263</v>
      </c>
      <c r="DJ20" s="321" t="s">
        <v>244</v>
      </c>
      <c r="DK20" s="322" t="s">
        <v>241</v>
      </c>
      <c r="DL20" s="322" t="s">
        <v>241</v>
      </c>
      <c r="DM20" s="322" t="s">
        <v>241</v>
      </c>
      <c r="DN20" s="322" t="s">
        <v>241</v>
      </c>
      <c r="DO20" s="322" t="s">
        <v>241</v>
      </c>
      <c r="DP20" s="319">
        <f>$C232</f>
        <v>28030.383633237554</v>
      </c>
      <c r="DQ20" s="319">
        <f>$G232</f>
        <v>7340.4003343092263</v>
      </c>
    </row>
    <row r="21" spans="1:121">
      <c r="A21" s="283" t="s">
        <v>1</v>
      </c>
      <c r="B21" s="283" t="s">
        <v>63</v>
      </c>
      <c r="C21" s="317">
        <f>AVERAGE([5]A!C22,'[6]2009'!C22,'[7]2010'!C22)</f>
        <v>11355.158788423716</v>
      </c>
      <c r="D21" s="317">
        <f>AVERAGE([5]A!D22,'[6]2009'!D22,'[7]2010'!D22)</f>
        <v>8928.3333333333339</v>
      </c>
      <c r="E21" s="317">
        <f>AVERAGE([5]A!E22,'[6]2009'!E22,'[7]2010'!E22)</f>
        <v>9293.8518185326229</v>
      </c>
      <c r="F21" s="317">
        <f>AVERAGE([5]A!F22,'[6]2009'!F22,'[7]2010'!F22)</f>
        <v>4269.2366666666667</v>
      </c>
      <c r="G21" s="317">
        <f>AVERAGE([5]A!G22,'[6]2009'!G22,'[7]2010'!G22)</f>
        <v>26.679742550593847</v>
      </c>
      <c r="H21" s="317">
        <f>AVERAGE([5]A!H22,'[6]2009'!H22,'[7]2010'!H22)</f>
        <v>8626.3702775610145</v>
      </c>
      <c r="I21" s="317">
        <f>AVERAGE([5]A!I22,'[6]2009'!I22,'[7]2010'!I22)</f>
        <v>7695</v>
      </c>
      <c r="J21" s="317">
        <f>AVERAGE([5]A!J22,'[6]2009'!J22,'[7]2010'!J22)</f>
        <v>6649.7822298660967</v>
      </c>
      <c r="K21" s="317">
        <f>AVERAGE([5]A!K22,'[6]2009'!K22,'[7]2010'!K22)</f>
        <v>3726.0933333333328</v>
      </c>
      <c r="L21" s="317">
        <f>AVERAGE([5]A!L22,'[6]2009'!L22,'[7]2010'!L22)</f>
        <v>24.137434094373237</v>
      </c>
      <c r="M21" s="317">
        <f>AVERAGE([5]A!M22,'[6]2009'!M22,'[7]2010'!M22)</f>
        <v>9769.6257413671774</v>
      </c>
      <c r="N21" s="317">
        <f>AVERAGE([5]A!N22,'[6]2009'!N22,'[7]2010'!N22)</f>
        <v>9347.3333333333339</v>
      </c>
      <c r="O21" s="317">
        <f>AVERAGE([5]A!O22,'[6]2009'!O22,'[7]2010'!O22)</f>
        <v>7605.6702447084999</v>
      </c>
      <c r="P21" s="317">
        <f>AVERAGE([5]A!P22,'[6]2009'!P22,'[7]2010'!P22)</f>
        <v>5599.5766666666668</v>
      </c>
      <c r="Q21" s="317">
        <f>AVERAGE([5]A!Q22,'[6]2009'!Q22,'[7]2010'!Q22)</f>
        <v>25.093705716191451</v>
      </c>
      <c r="R21" s="317">
        <f>AVERAGE([5]A!R22,'[6]2009'!R22,'[7]2010'!R22)</f>
        <v>12491.146305038119</v>
      </c>
      <c r="S21" s="317">
        <f>AVERAGE([5]A!S22,'[6]2009'!S22,'[7]2010'!S22)</f>
        <v>8702.6666666666661</v>
      </c>
      <c r="T21" s="317">
        <f>AVERAGE([5]A!T22,'[6]2009'!T22,'[7]2010'!T22)</f>
        <v>10243.047432434496</v>
      </c>
      <c r="U21" s="317">
        <f>AVERAGE([5]A!U22,'[6]2009'!U22,'[7]2010'!U22)</f>
        <v>5285.5066666666671</v>
      </c>
      <c r="V21" s="317">
        <f>AVERAGE([5]A!V22,'[6]2009'!V22,'[7]2010'!V22)</f>
        <v>24.541761412058534</v>
      </c>
      <c r="W21" s="317">
        <f>AVERAGE([5]A!W22,'[6]2009'!W22,'[7]2010'!W22)</f>
        <v>11622.953973600195</v>
      </c>
      <c r="X21" s="317">
        <f>AVERAGE([5]A!X22,'[6]2009'!X22,'[7]2010'!X22)</f>
        <v>9936.6666666666661</v>
      </c>
      <c r="Y21" s="317">
        <f>AVERAGE([5]A!Y22,'[6]2009'!Y22,'[7]2010'!Y22)</f>
        <v>9756.9328076926595</v>
      </c>
      <c r="Z21" s="317">
        <f>AVERAGE([5]A!Z22,'[6]2009'!Z22,'[7]2010'!Z22)</f>
        <v>5852.0533333333333</v>
      </c>
      <c r="AA21" s="317">
        <f>AVERAGE([5]A!AA22,'[6]2009'!AA22,'[7]2010'!AA22)</f>
        <v>27.056138215737917</v>
      </c>
      <c r="AB21" s="317">
        <f>AVERAGE([5]A!AB22,'[6]2009'!AB22,'[7]2010'!AB22)</f>
        <v>11946.638596602997</v>
      </c>
      <c r="AC21" s="317">
        <f>AVERAGE([5]A!AC22,'[6]2009'!AC22,'[7]2010'!AC22)</f>
        <v>11228.666666666666</v>
      </c>
      <c r="AD21" s="317">
        <f>AVERAGE([5]A!AD22,'[6]2009'!AD22,'[7]2010'!AD22)</f>
        <v>9891.826923400231</v>
      </c>
      <c r="AE21" s="317">
        <f>AVERAGE([5]A!AE22,'[6]2009'!AE22,'[7]2010'!AE22)</f>
        <v>7267.6166666666659</v>
      </c>
      <c r="AF21" s="317">
        <f>AVERAGE([5]A!AF22,'[6]2009'!AF22,'[7]2010'!AF22)</f>
        <v>28.088059530308342</v>
      </c>
      <c r="AG21" s="317">
        <f>AVERAGE([5]A!AG22,'[6]2009'!AG22,'[7]2010'!AG22)</f>
        <v>14375.396046849741</v>
      </c>
      <c r="AH21" s="317">
        <f>AVERAGE([5]A!AH22,'[6]2009'!AH22,'[7]2010'!AH22)</f>
        <v>11996.333333333334</v>
      </c>
      <c r="AI21" s="317">
        <f>AVERAGE([5]A!AI22,'[6]2009'!AI22,'[7]2010'!AI22)</f>
        <v>11141.358941799394</v>
      </c>
      <c r="AJ21" s="317">
        <f>AVERAGE([5]A!AJ22,'[6]2009'!AJ22,'[7]2010'!AJ22)</f>
        <v>7001.1366666666663</v>
      </c>
      <c r="AK21" s="317">
        <f>AVERAGE([5]A!AK22,'[6]2009'!AK22,'[7]2010'!AK22)</f>
        <v>29.448138008470874</v>
      </c>
      <c r="AL21" s="317">
        <f>AVERAGE([5]A!AL22,'[6]2009'!AL22,'[7]2010'!AL22)</f>
        <v>14445.668742803784</v>
      </c>
      <c r="AM21" s="317">
        <f>AVERAGE([5]A!AM22,'[6]2009'!AM22,'[7]2010'!AM22)</f>
        <v>12605.333333333334</v>
      </c>
      <c r="AN21" s="317">
        <f>AVERAGE([5]A!AN22,'[6]2009'!AN22,'[7]2010'!AN22)</f>
        <v>11390.921547845632</v>
      </c>
      <c r="AO21" s="317">
        <f>AVERAGE([5]A!AO22,'[6]2009'!AO22,'[7]2010'!AO22)</f>
        <v>7001.9433333333336</v>
      </c>
      <c r="AP21" s="317">
        <f>AVERAGE([5]A!AP22,'[6]2009'!AP22,'[7]2010'!AP22)</f>
        <v>28.492518228347006</v>
      </c>
      <c r="AQ21" s="317">
        <f>AVERAGE([5]A!AQ22,'[6]2009'!AQ22,'[7]2010'!AQ22)</f>
        <v>16130.181751229495</v>
      </c>
      <c r="AR21" s="317">
        <f>AVERAGE([5]A!AR22,'[6]2009'!AR22,'[7]2010'!AR22)</f>
        <v>11147.333333333334</v>
      </c>
      <c r="AS21" s="317">
        <f>AVERAGE([5]A!AS22,'[6]2009'!AS22,'[7]2010'!AS22)</f>
        <v>12939.999106709156</v>
      </c>
      <c r="AT21" s="317">
        <f>AVERAGE([5]A!AT22,'[6]2009'!AT22,'[7]2010'!AT22)</f>
        <v>5668.9033333333327</v>
      </c>
      <c r="AU21" s="317">
        <f>AVERAGE([5]A!AU22,'[6]2009'!AU22,'[7]2010'!AU22)</f>
        <v>28.43372080743994</v>
      </c>
      <c r="AV21" s="317">
        <f>AVERAGE([5]A!AV22,'[6]2009'!AV22,'[7]2010'!AV22)</f>
        <v>13068.579112337136</v>
      </c>
      <c r="AW21" s="317">
        <f>AVERAGE([5]A!AW22,'[6]2009'!AW22,'[7]2010'!AW22)</f>
        <v>12249.333333333334</v>
      </c>
      <c r="AX21" s="317">
        <f>AVERAGE([5]A!AX22,'[6]2009'!AX22,'[7]2010'!AX22)</f>
        <v>10555.161177098093</v>
      </c>
      <c r="AY21" s="317">
        <f>AVERAGE([5]A!AY22,'[6]2009'!AY22,'[7]2010'!AY22)</f>
        <v>6166.18</v>
      </c>
      <c r="AZ21" s="317">
        <f>AVERAGE([5]A!AZ22,'[6]2009'!AZ22,'[7]2010'!AZ22)</f>
        <v>30.395512664223464</v>
      </c>
      <c r="BA21" s="317">
        <f>AVERAGE([5]A!BA22,'[6]2009'!BA22,'[7]2010'!BA22)</f>
        <v>10604.198658928015</v>
      </c>
      <c r="BB21" s="317">
        <f>AVERAGE([5]A!BB22,'[6]2009'!BB22,'[7]2010'!BB22)</f>
        <v>10129</v>
      </c>
      <c r="BC21" s="317">
        <f>AVERAGE([5]A!BC22,'[6]2009'!BC22,'[7]2010'!BC22)</f>
        <v>8547.1967108437893</v>
      </c>
      <c r="BD21" s="317">
        <f>AVERAGE([5]A!BD22,'[6]2009'!BD22,'[7]2010'!BD22)</f>
        <v>4860.8833333333332</v>
      </c>
      <c r="BE21" s="317">
        <f>AVERAGE([5]A!BE22,'[6]2009'!BE22,'[7]2010'!BE22)</f>
        <v>28.993513092387534</v>
      </c>
      <c r="BF21" s="317">
        <f>AVERAGE([5]A!BF22,'[6]2009'!BF22,'[7]2010'!BF22)</f>
        <v>11126.306034580288</v>
      </c>
      <c r="BG21" s="317">
        <f>AVERAGE([5]A!BG22,'[6]2009'!BG22,'[7]2010'!BG22)</f>
        <v>9792.3333333333339</v>
      </c>
      <c r="BH21" s="317">
        <f>AVERAGE([5]A!BH22,'[6]2009'!BH22,'[7]2010'!BH22)</f>
        <v>8990.5415027178951</v>
      </c>
      <c r="BI21" s="317">
        <f>AVERAGE([5]A!BI22,'[6]2009'!BI22,'[7]2010'!BI22)</f>
        <v>5565.84</v>
      </c>
      <c r="BJ21" s="317">
        <f>AVERAGE([5]A!BJ22,'[6]2009'!BJ22,'[7]2010'!BJ22)</f>
        <v>28.567686712534933</v>
      </c>
      <c r="BK21" s="317">
        <f>AVERAGE([5]A!BK22,'[6]2009'!BK22,'[7]2010'!BK22)</f>
        <v>145562.22402932169</v>
      </c>
      <c r="BL21" s="317">
        <f>AVERAGE([5]A!BL22,'[6]2009'!BL22,'[7]2010'!BL22)</f>
        <v>123758.33333333333</v>
      </c>
      <c r="BM21" s="317">
        <f>AVERAGE([5]A!BM22,'[6]2009'!BM22,'[7]2010'!BM22)</f>
        <v>117006.29044364858</v>
      </c>
      <c r="BN21" s="317">
        <f>AVERAGE([5]A!BN22,'[6]2009'!BN22,'[7]2010'!BN22)</f>
        <v>68264.97</v>
      </c>
      <c r="BO21" s="317">
        <f>AVERAGE([8]A!BO22,[5]A!BO22,'[6]2009'!BO22,'[7]2010'!BO22)</f>
        <v>31.222243218433736</v>
      </c>
      <c r="BP21" s="283">
        <f>BL16/365</f>
        <v>827.44748858447485</v>
      </c>
      <c r="CA21" s="283" t="s">
        <v>182</v>
      </c>
      <c r="CJ21" s="323"/>
      <c r="CL21" s="323"/>
      <c r="CM21" s="323"/>
      <c r="CV21" s="294" t="s">
        <v>264</v>
      </c>
      <c r="DD21" s="310" t="s">
        <v>235</v>
      </c>
      <c r="DE21" s="310" t="s">
        <v>236</v>
      </c>
      <c r="DF21" s="310" t="s">
        <v>251</v>
      </c>
      <c r="DG21" s="310" t="s">
        <v>238</v>
      </c>
      <c r="DH21" s="283" t="s">
        <v>265</v>
      </c>
      <c r="DI21" s="310" t="s">
        <v>266</v>
      </c>
      <c r="DJ21" s="310" t="s">
        <v>240</v>
      </c>
      <c r="DK21" s="324" t="s">
        <v>241</v>
      </c>
      <c r="DL21" s="324" t="s">
        <v>241</v>
      </c>
      <c r="DM21" s="324" t="s">
        <v>241</v>
      </c>
      <c r="DN21" s="324" t="s">
        <v>241</v>
      </c>
      <c r="DO21" s="324" t="s">
        <v>241</v>
      </c>
      <c r="DP21" s="323">
        <f>$D241</f>
        <v>910.66666666666663</v>
      </c>
      <c r="DQ21" s="323">
        <f>$H241</f>
        <v>923.2600000000001</v>
      </c>
    </row>
    <row r="22" spans="1:121" s="316" customFormat="1">
      <c r="A22" s="316" t="s">
        <v>1</v>
      </c>
      <c r="B22" s="316" t="s">
        <v>72</v>
      </c>
      <c r="C22" s="317">
        <f>AVERAGE([5]A!C23,'[6]2009'!C23,'[7]2010'!C23)</f>
        <v>2279.3512452232476</v>
      </c>
      <c r="D22" s="317">
        <f>AVERAGE([5]A!D23,'[6]2009'!D23,'[7]2010'!D23)</f>
        <v>1066.6666666666667</v>
      </c>
      <c r="E22" s="317">
        <f>AVERAGE([5]A!E23,'[6]2009'!E23,'[7]2010'!E23)</f>
        <v>375.12163733317533</v>
      </c>
      <c r="F22" s="317">
        <f>AVERAGE([5]A!F23,'[6]2009'!F23,'[7]2010'!F23)</f>
        <v>168.94</v>
      </c>
      <c r="G22" s="317">
        <f>AVERAGE([5]A!G23,'[6]2009'!G23,'[7]2010'!G23)</f>
        <v>3.1663044840399395</v>
      </c>
      <c r="H22" s="317">
        <f>AVERAGE([5]A!H23,'[6]2009'!H23,'[7]2010'!H23)</f>
        <v>1679.3276454386012</v>
      </c>
      <c r="I22" s="317">
        <f>AVERAGE([5]A!I23,'[6]2009'!I23,'[7]2010'!I23)</f>
        <v>1466.6666666666667</v>
      </c>
      <c r="J22" s="317">
        <f>AVERAGE([5]A!J23,'[6]2009'!J23,'[7]2010'!J23)</f>
        <v>271.90017083666743</v>
      </c>
      <c r="K22" s="317">
        <f>AVERAGE([5]A!K23,'[6]2009'!K23,'[7]2010'!K23)</f>
        <v>237.82000000000002</v>
      </c>
      <c r="L22" s="317">
        <f>AVERAGE([5]A!L23,'[6]2009'!L23,'[7]2010'!L23)</f>
        <v>4.6975246421953383</v>
      </c>
      <c r="M22" s="317">
        <f>AVERAGE([5]A!M23,'[6]2009'!M23,'[7]2010'!M23)</f>
        <v>2802.2218535497705</v>
      </c>
      <c r="N22" s="317">
        <f>AVERAGE([5]A!N23,'[6]2009'!N23,'[7]2010'!N23)</f>
        <v>1733.3333333333333</v>
      </c>
      <c r="O22" s="317">
        <f>AVERAGE([5]A!O23,'[6]2009'!O23,'[7]2010'!O23)</f>
        <v>466.15989749034406</v>
      </c>
      <c r="P22" s="317">
        <f>AVERAGE([5]A!P23,'[6]2009'!P23,'[7]2010'!P23)</f>
        <v>277.47666666666663</v>
      </c>
      <c r="Q22" s="317">
        <f>AVERAGE([5]A!Q23,'[6]2009'!Q23,'[7]2010'!Q23)</f>
        <v>4.6373677160550653</v>
      </c>
      <c r="R22" s="317">
        <f>AVERAGE([5]A!R23,'[6]2009'!R23,'[7]2010'!R23)</f>
        <v>1799.521515276477</v>
      </c>
      <c r="S22" s="317">
        <f>AVERAGE([5]A!S23,'[6]2009'!S23,'[7]2010'!S23)</f>
        <v>1633.3333333333333</v>
      </c>
      <c r="T22" s="317">
        <f>AVERAGE([5]A!T23,'[6]2009'!T23,'[7]2010'!T23)</f>
        <v>299.93402911227759</v>
      </c>
      <c r="U22" s="317">
        <f>AVERAGE([5]A!U23,'[6]2009'!U23,'[7]2010'!U23)</f>
        <v>259.38000000000005</v>
      </c>
      <c r="V22" s="317">
        <f>AVERAGE([5]A!V23,'[6]2009'!V23,'[7]2010'!V23)</f>
        <v>4.5682670834624171</v>
      </c>
      <c r="W22" s="317">
        <f>AVERAGE([5]A!W23,'[6]2009'!W23,'[7]2010'!W23)</f>
        <v>2970.7650848445833</v>
      </c>
      <c r="X22" s="317">
        <f>AVERAGE([5]A!X23,'[6]2009'!X23,'[7]2010'!X23)</f>
        <v>1533.3333333333333</v>
      </c>
      <c r="Y22" s="317">
        <f>AVERAGE([5]A!Y23,'[6]2009'!Y23,'[7]2010'!Y23)</f>
        <v>496.83424284175697</v>
      </c>
      <c r="Z22" s="317">
        <f>AVERAGE([5]A!Z23,'[6]2009'!Z23,'[7]2010'!Z23)</f>
        <v>249.97333333333333</v>
      </c>
      <c r="AA22" s="317">
        <f>AVERAGE([5]A!AA23,'[6]2009'!AA23,'[7]2010'!AA23)</f>
        <v>4.0987314428530093</v>
      </c>
      <c r="AB22" s="317">
        <f>AVERAGE([5]A!AB23,'[6]2009'!AB23,'[7]2010'!AB23)</f>
        <v>2373.014353473226</v>
      </c>
      <c r="AC22" s="317">
        <f>AVERAGE([5]A!AC23,'[6]2009'!AC23,'[7]2010'!AC23)</f>
        <v>1900</v>
      </c>
      <c r="AD22" s="317">
        <f>AVERAGE([5]A!AD23,'[6]2009'!AD23,'[7]2010'!AD23)</f>
        <v>390.92311044392164</v>
      </c>
      <c r="AE22" s="317">
        <f>AVERAGE([5]A!AE23,'[6]2009'!AE23,'[7]2010'!AE23)</f>
        <v>311.6466666666667</v>
      </c>
      <c r="AF22" s="317">
        <f>AVERAGE([5]A!AF23,'[6]2009'!AF23,'[7]2010'!AF23)</f>
        <v>4.7582293782430796</v>
      </c>
      <c r="AG22" s="317">
        <f>AVERAGE([5]A!AG23,'[6]2009'!AG23,'[7]2010'!AG23)</f>
        <v>3257.4104036088502</v>
      </c>
      <c r="AH22" s="317">
        <f>AVERAGE([5]A!AH23,'[6]2009'!AH23,'[7]2010'!AH23)</f>
        <v>1983.3333333333333</v>
      </c>
      <c r="AI22" s="317">
        <f>AVERAGE([5]A!AI23,'[6]2009'!AI23,'[7]2010'!AI23)</f>
        <v>525.61404995044677</v>
      </c>
      <c r="AJ22" s="317">
        <f>AVERAGE([5]A!AJ23,'[6]2009'!AJ23,'[7]2010'!AJ23)</f>
        <v>315.39</v>
      </c>
      <c r="AK22" s="317">
        <f>AVERAGE([5]A!AK23,'[6]2009'!AK23,'[7]2010'!AK23)</f>
        <v>4.8636410155388665</v>
      </c>
      <c r="AL22" s="317">
        <f>AVERAGE([5]A!AL23,'[6]2009'!AL23,'[7]2010'!AL23)</f>
        <v>2435.0732158069877</v>
      </c>
      <c r="AM22" s="317">
        <f>AVERAGE([5]A!AM23,'[6]2009'!AM23,'[7]2010'!AM23)</f>
        <v>2048.3333333333335</v>
      </c>
      <c r="AN22" s="317">
        <f>AVERAGE([5]A!AN23,'[6]2009'!AN23,'[7]2010'!AN23)</f>
        <v>380.82412203632822</v>
      </c>
      <c r="AO22" s="317">
        <f>AVERAGE([5]A!AO23,'[6]2009'!AO23,'[7]2010'!AO23)</f>
        <v>318.84333333333331</v>
      </c>
      <c r="AP22" s="317">
        <f>AVERAGE([5]A!AP23,'[6]2009'!AP23,'[7]2010'!AP23)</f>
        <v>4.6838014147605316</v>
      </c>
      <c r="AQ22" s="317">
        <f>AVERAGE([5]A!AQ23,'[6]2009'!AQ23,'[7]2010'!AQ23)</f>
        <v>4268.1731570496368</v>
      </c>
      <c r="AR22" s="317">
        <f>AVERAGE([5]A!AR23,'[6]2009'!AR23,'[7]2010'!AR23)</f>
        <v>1885</v>
      </c>
      <c r="AS22" s="317">
        <f>AVERAGE([5]A!AS23,'[6]2009'!AS23,'[7]2010'!AS23)</f>
        <v>703.19420318882123</v>
      </c>
      <c r="AT22" s="317">
        <f>AVERAGE([5]A!AT23,'[6]2009'!AT23,'[7]2010'!AT23)</f>
        <v>304.05</v>
      </c>
      <c r="AU22" s="317">
        <f>AVERAGE([5]A!AU23,'[6]2009'!AU23,'[7]2010'!AU23)</f>
        <v>4.8032230396891462</v>
      </c>
      <c r="AV22" s="317">
        <f>AVERAGE([5]A!AV23,'[6]2009'!AV23,'[7]2010'!AV23)</f>
        <v>2909.8596704218326</v>
      </c>
      <c r="AW22" s="317">
        <f>AVERAGE([5]A!AW23,'[6]2009'!AW23,'[7]2010'!AW23)</f>
        <v>1616.6666666666667</v>
      </c>
      <c r="AX22" s="317">
        <f>AVERAGE([5]A!AX23,'[6]2009'!AX23,'[7]2010'!AX23)</f>
        <v>478.10900397546675</v>
      </c>
      <c r="AY22" s="317">
        <f>AVERAGE([5]A!AY23,'[6]2009'!AY23,'[7]2010'!AY23)</f>
        <v>253.76</v>
      </c>
      <c r="AZ22" s="317">
        <f>AVERAGE([5]A!AZ23,'[6]2009'!AZ23,'[7]2010'!AZ23)</f>
        <v>4.0018160191651431</v>
      </c>
      <c r="BA22" s="317">
        <f>AVERAGE([5]A!BA23,'[6]2009'!BA23,'[7]2010'!BA23)</f>
        <v>2359.1384891547505</v>
      </c>
      <c r="BB22" s="317">
        <f>AVERAGE([5]A!BB23,'[6]2009'!BB23,'[7]2010'!BB23)</f>
        <v>1000</v>
      </c>
      <c r="BC22" s="317">
        <f>AVERAGE([5]A!BC23,'[6]2009'!BC23,'[7]2010'!BC23)</f>
        <v>389.11085764546237</v>
      </c>
      <c r="BD22" s="317">
        <f>AVERAGE([5]A!BD23,'[6]2009'!BD23,'[7]2010'!BD23)</f>
        <v>159.76333333333332</v>
      </c>
      <c r="BE22" s="317">
        <f>AVERAGE([5]A!BE23,'[6]2009'!BE23,'[7]2010'!BE23)</f>
        <v>2.8534699406466237</v>
      </c>
      <c r="BF22" s="317">
        <f>AVERAGE([5]A!BF23,'[6]2009'!BF23,'[7]2010'!BF23)</f>
        <v>2445.8005066131664</v>
      </c>
      <c r="BG22" s="317">
        <f>AVERAGE([5]A!BG23,'[6]2009'!BG23,'[7]2010'!BG23)</f>
        <v>2066.6666666666665</v>
      </c>
      <c r="BH22" s="317">
        <f>AVERAGE([5]A!BH23,'[6]2009'!BH23,'[7]2010'!BH23)</f>
        <v>402.89503116418473</v>
      </c>
      <c r="BI22" s="317">
        <f>AVERAGE([5]A!BI23,'[6]2009'!BI23,'[7]2010'!BI23)</f>
        <v>333.99</v>
      </c>
      <c r="BJ22" s="317">
        <f>AVERAGE([5]A!BJ23,'[6]2009'!BJ23,'[7]2010'!BJ23)</f>
        <v>6.0747646891954545</v>
      </c>
      <c r="BK22" s="317">
        <f>AVERAGE([5]A!BK23,'[6]2009'!BK23,'[7]2010'!BK23)</f>
        <v>31579.657140461131</v>
      </c>
      <c r="BL22" s="317">
        <f>AVERAGE([5]A!BL23,'[6]2009'!BL23,'[7]2010'!BL23)</f>
        <v>19933.333333333332</v>
      </c>
      <c r="BM22" s="317">
        <f>AVERAGE([5]A!BM23,'[6]2009'!BM23,'[7]2010'!BM23)</f>
        <v>5180.6203560188524</v>
      </c>
      <c r="BN22" s="317">
        <f>AVERAGE([5]A!BN23,'[6]2009'!BN23,'[7]2010'!BN23)</f>
        <v>3191.0333333333333</v>
      </c>
      <c r="BO22" s="317">
        <f>AVERAGE([8]A!BO23,[5]A!BO23,'[6]2009'!BO23,'[7]2010'!BO23)</f>
        <v>5.7252153792807619</v>
      </c>
      <c r="CA22" s="316" t="s">
        <v>182</v>
      </c>
      <c r="CJ22" s="319"/>
      <c r="CL22" s="319"/>
      <c r="CM22" s="319"/>
      <c r="DJ22" s="321" t="s">
        <v>244</v>
      </c>
      <c r="DK22" s="322" t="s">
        <v>241</v>
      </c>
      <c r="DL22" s="322" t="s">
        <v>241</v>
      </c>
      <c r="DM22" s="322" t="s">
        <v>241</v>
      </c>
      <c r="DN22" s="322" t="s">
        <v>241</v>
      </c>
      <c r="DO22" s="322" t="s">
        <v>241</v>
      </c>
      <c r="DP22" s="319">
        <f>$C241</f>
        <v>1076.5074210244586</v>
      </c>
      <c r="DQ22" s="319">
        <f>$G241</f>
        <v>1237.7344859776292</v>
      </c>
    </row>
    <row r="23" spans="1:121">
      <c r="A23" s="283" t="s">
        <v>1</v>
      </c>
      <c r="B23" s="283" t="s">
        <v>54</v>
      </c>
      <c r="C23" s="317">
        <f>AVERAGE([5]A!C24,'[6]2009'!C24,'[7]2010'!C24)</f>
        <v>3460.8788428945877</v>
      </c>
      <c r="D23" s="317">
        <f>AVERAGE([5]A!D24,'[6]2009'!D24,'[7]2010'!D24)</f>
        <v>2356.6666666666665</v>
      </c>
      <c r="E23" s="317">
        <f>AVERAGE([5]A!E24,'[6]2009'!E24,'[7]2010'!E24)</f>
        <v>2467.6238561905807</v>
      </c>
      <c r="F23" s="317">
        <f>AVERAGE([5]A!F24,'[6]2009'!F24,'[7]2010'!F24)</f>
        <v>775.13666666666677</v>
      </c>
      <c r="G23" s="317">
        <f>AVERAGE([5]A!G24,'[6]2009'!G24,'[7]2010'!G24)</f>
        <v>7.0627419048117028</v>
      </c>
      <c r="H23" s="317">
        <f>AVERAGE([5]A!H24,'[6]2009'!H24,'[7]2010'!H24)</f>
        <v>2448.6876941260175</v>
      </c>
      <c r="I23" s="317">
        <f>AVERAGE([5]A!I24,'[6]2009'!I24,'[7]2010'!I24)</f>
        <v>2196.3333333333335</v>
      </c>
      <c r="J23" s="317">
        <f>AVERAGE([5]A!J24,'[6]2009'!J24,'[7]2010'!J24)</f>
        <v>1671.5667956545337</v>
      </c>
      <c r="K23" s="317">
        <f>AVERAGE([5]A!K24,'[6]2009'!K24,'[7]2010'!K24)</f>
        <v>735.07666666666671</v>
      </c>
      <c r="L23" s="317">
        <f>AVERAGE([5]A!L24,'[6]2009'!L24,'[7]2010'!L24)</f>
        <v>6.8858441884240937</v>
      </c>
      <c r="M23" s="317">
        <f>AVERAGE([5]A!M24,'[6]2009'!M24,'[7]2010'!M24)</f>
        <v>2894.1348286744746</v>
      </c>
      <c r="N23" s="317">
        <f>AVERAGE([5]A!N24,'[6]2009'!N24,'[7]2010'!N24)</f>
        <v>5085.666666666667</v>
      </c>
      <c r="O23" s="317">
        <f>AVERAGE([5]A!O24,'[6]2009'!O24,'[7]2010'!O24)</f>
        <v>2019.9389898158295</v>
      </c>
      <c r="P23" s="317">
        <f>AVERAGE([5]A!P24,'[6]2009'!P24,'[7]2010'!P24)</f>
        <v>3414.49</v>
      </c>
      <c r="Q23" s="317">
        <f>AVERAGE([5]A!Q24,'[6]2009'!Q24,'[7]2010'!Q24)</f>
        <v>13.698373988586496</v>
      </c>
      <c r="R23" s="317">
        <f>AVERAGE([5]A!R24,'[6]2009'!R24,'[7]2010'!R24)</f>
        <v>1902.4249506219373</v>
      </c>
      <c r="S23" s="317">
        <f>AVERAGE([5]A!S24,'[6]2009'!S24,'[7]2010'!S24)</f>
        <v>2104</v>
      </c>
      <c r="T23" s="317">
        <f>AVERAGE([5]A!T24,'[6]2009'!T24,'[7]2010'!T24)</f>
        <v>1405.8578209053896</v>
      </c>
      <c r="U23" s="317">
        <f>AVERAGE([5]A!U24,'[6]2009'!U24,'[7]2010'!U24)</f>
        <v>1021.4933333333335</v>
      </c>
      <c r="V23" s="317">
        <f>AVERAGE([5]A!V24,'[6]2009'!V24,'[7]2010'!V24)</f>
        <v>5.9013363659420035</v>
      </c>
      <c r="W23" s="317">
        <f>AVERAGE([5]A!W24,'[6]2009'!W24,'[7]2010'!W24)</f>
        <v>3552.6231284942528</v>
      </c>
      <c r="X23" s="317">
        <f>AVERAGE([5]A!X24,'[6]2009'!X24,'[7]2010'!X24)</f>
        <v>2277.6666666666665</v>
      </c>
      <c r="Y23" s="317">
        <f>AVERAGE([5]A!Y24,'[6]2009'!Y24,'[7]2010'!Y24)</f>
        <v>2565.6205904120338</v>
      </c>
      <c r="Z23" s="317">
        <f>AVERAGE([5]A!Z24,'[6]2009'!Z24,'[7]2010'!Z24)</f>
        <v>1336.7766666666666</v>
      </c>
      <c r="AA23" s="317">
        <f>AVERAGE([5]A!AA24,'[6]2009'!AA24,'[7]2010'!AA24)</f>
        <v>6.1229371117901792</v>
      </c>
      <c r="AB23" s="317">
        <f>AVERAGE([5]A!AB24,'[6]2009'!AB24,'[7]2010'!AB24)</f>
        <v>5529.9119494705401</v>
      </c>
      <c r="AC23" s="317">
        <f>AVERAGE([5]A!AC24,'[6]2009'!AC24,'[7]2010'!AC24)</f>
        <v>5003.666666666667</v>
      </c>
      <c r="AD23" s="317">
        <f>AVERAGE([5]A!AD24,'[6]2009'!AD24,'[7]2010'!AD24)</f>
        <v>4302.0879746867158</v>
      </c>
      <c r="AE23" s="317">
        <f>AVERAGE([5]A!AE24,'[6]2009'!AE24,'[7]2010'!AE24)</f>
        <v>1836.1200000000001</v>
      </c>
      <c r="AF23" s="317">
        <f>AVERAGE([5]A!AF24,'[6]2009'!AF24,'[7]2010'!AF24)</f>
        <v>12.591551678149955</v>
      </c>
      <c r="AG23" s="317">
        <f>AVERAGE([5]A!AG24,'[6]2009'!AG24,'[7]2010'!AG24)</f>
        <v>6490.5578064089714</v>
      </c>
      <c r="AH23" s="317">
        <f>AVERAGE([5]A!AH24,'[6]2009'!AH24,'[7]2010'!AH24)</f>
        <v>3067.3333333333335</v>
      </c>
      <c r="AI23" s="317">
        <f>AVERAGE([5]A!AI24,'[6]2009'!AI24,'[7]2010'!AI24)</f>
        <v>4630.9979334660684</v>
      </c>
      <c r="AJ23" s="317">
        <f>AVERAGE([5]A!AJ24,'[6]2009'!AJ24,'[7]2010'!AJ24)</f>
        <v>1540.5199999999998</v>
      </c>
      <c r="AK23" s="317">
        <f>AVERAGE([5]A!AK24,'[6]2009'!AK24,'[7]2010'!AK24)</f>
        <v>7.5199561422529682</v>
      </c>
      <c r="AL23" s="317">
        <f>AVERAGE([5]A!AL24,'[6]2009'!AL24,'[7]2010'!AL24)</f>
        <v>6247.0598358822272</v>
      </c>
      <c r="AM23" s="317">
        <f>AVERAGE([5]A!AM24,'[6]2009'!AM24,'[7]2010'!AM24)</f>
        <v>3381.6666666666665</v>
      </c>
      <c r="AN23" s="317">
        <f>AVERAGE([5]A!AN24,'[6]2009'!AN24,'[7]2010'!AN24)</f>
        <v>4422.9309149856854</v>
      </c>
      <c r="AO23" s="317">
        <f>AVERAGE([5]A!AO24,'[6]2009'!AO24,'[7]2010'!AO24)</f>
        <v>1674.9366666666665</v>
      </c>
      <c r="AP23" s="317">
        <f>AVERAGE([5]A!AP24,'[6]2009'!AP24,'[7]2010'!AP24)</f>
        <v>7.6704142747959603</v>
      </c>
      <c r="AQ23" s="317">
        <f>AVERAGE([5]A!AQ24,'[6]2009'!AQ24,'[7]2010'!AQ24)</f>
        <v>6005.5724755209058</v>
      </c>
      <c r="AR23" s="317">
        <f>AVERAGE([5]A!AR24,'[6]2009'!AR24,'[7]2010'!AR24)</f>
        <v>3265</v>
      </c>
      <c r="AS23" s="317">
        <f>AVERAGE([5]A!AS24,'[6]2009'!AS24,'[7]2010'!AS24)</f>
        <v>4278.3845577830261</v>
      </c>
      <c r="AT23" s="317">
        <f>AVERAGE([5]A!AT24,'[6]2009'!AT24,'[7]2010'!AT24)</f>
        <v>1609.13</v>
      </c>
      <c r="AU23" s="317">
        <f>AVERAGE([5]A!AU24,'[6]2009'!AU24,'[7]2010'!AU24)</f>
        <v>8.2391382811462748</v>
      </c>
      <c r="AV23" s="317">
        <f>AVERAGE([5]A!AV24,'[6]2009'!AV24,'[7]2010'!AV24)</f>
        <v>4034.4940530700355</v>
      </c>
      <c r="AW23" s="317">
        <f>AVERAGE([5]A!AW24,'[6]2009'!AW24,'[7]2010'!AW24)</f>
        <v>4351.333333333333</v>
      </c>
      <c r="AX23" s="317">
        <f>AVERAGE([5]A!AX24,'[6]2009'!AX24,'[7]2010'!AX24)</f>
        <v>2811.9376855343985</v>
      </c>
      <c r="AY23" s="317">
        <f>AVERAGE([5]A!AY24,'[6]2009'!AY24,'[7]2010'!AY24)</f>
        <v>1980.5199999999998</v>
      </c>
      <c r="AZ23" s="317">
        <f>AVERAGE([5]A!AZ24,'[6]2009'!AZ24,'[7]2010'!AZ24)</f>
        <v>10.421807330891347</v>
      </c>
      <c r="BA23" s="317">
        <f>AVERAGE([5]A!BA24,'[6]2009'!BA24,'[7]2010'!BA24)</f>
        <v>4344.1508462953052</v>
      </c>
      <c r="BB23" s="317">
        <f>AVERAGE([5]A!BB24,'[6]2009'!BB24,'[7]2010'!BB24)</f>
        <v>7713.333333333333</v>
      </c>
      <c r="BC23" s="317">
        <f>AVERAGE([5]A!BC24,'[6]2009'!BC24,'[7]2010'!BC24)</f>
        <v>3276.4999247893261</v>
      </c>
      <c r="BD23" s="317">
        <f>AVERAGE([5]A!BD24,'[6]2009'!BD24,'[7]2010'!BD24)</f>
        <v>2627.85</v>
      </c>
      <c r="BE23" s="317">
        <f>AVERAGE([5]A!BE24,'[6]2009'!BE24,'[7]2010'!BE24)</f>
        <v>21.708197480756056</v>
      </c>
      <c r="BF23" s="317">
        <f>AVERAGE([5]A!BF24,'[6]2009'!BF24,'[7]2010'!BF24)</f>
        <v>2673.66859714167</v>
      </c>
      <c r="BG23" s="317">
        <f>AVERAGE([5]A!BG24,'[6]2009'!BG24,'[7]2010'!BG24)</f>
        <v>4008.6666666666665</v>
      </c>
      <c r="BH23" s="317">
        <f>AVERAGE([5]A!BH24,'[6]2009'!BH24,'[7]2010'!BH24)</f>
        <v>1817.6181274570351</v>
      </c>
      <c r="BI23" s="317">
        <f>AVERAGE([5]A!BI24,'[6]2009'!BI24,'[7]2010'!BI24)</f>
        <v>1700.5433333333333</v>
      </c>
      <c r="BJ23" s="317">
        <f>AVERAGE([5]A!BJ24,'[6]2009'!BJ24,'[7]2010'!BJ24)</f>
        <v>11.544553377844673</v>
      </c>
      <c r="BK23" s="317">
        <f>AVERAGE([5]A!BK24,'[6]2009'!BK24,'[7]2010'!BK24)</f>
        <v>49584.165008600925</v>
      </c>
      <c r="BL23" s="317">
        <f>AVERAGE([5]A!BL24,'[6]2009'!BL24,'[7]2010'!BL24)</f>
        <v>44811.333333333336</v>
      </c>
      <c r="BM23" s="317">
        <f>AVERAGE([5]A!BM24,'[6]2009'!BM24,'[7]2010'!BM24)</f>
        <v>35671.065171680631</v>
      </c>
      <c r="BN23" s="317">
        <f>AVERAGE([5]A!BN24,'[6]2009'!BN24,'[7]2010'!BN24)</f>
        <v>20252.593333333334</v>
      </c>
      <c r="BO23" s="317">
        <f>AVERAGE([8]A!BO24,[5]A!BO24,'[6]2009'!BO24,'[7]2010'!BO24)</f>
        <v>11.307813853894837</v>
      </c>
      <c r="BP23" s="283">
        <f>BL23/338</f>
        <v>132.57790927021696</v>
      </c>
      <c r="DD23" s="310" t="s">
        <v>235</v>
      </c>
      <c r="DE23" s="310" t="s">
        <v>236</v>
      </c>
      <c r="DF23" s="310" t="s">
        <v>267</v>
      </c>
      <c r="DG23" s="310" t="s">
        <v>238</v>
      </c>
      <c r="DH23" s="283" t="s">
        <v>268</v>
      </c>
      <c r="DI23" s="310" t="s">
        <v>249</v>
      </c>
      <c r="DJ23" s="310" t="s">
        <v>240</v>
      </c>
      <c r="DK23" s="324" t="s">
        <v>241</v>
      </c>
      <c r="DL23" s="324" t="s">
        <v>241</v>
      </c>
      <c r="DM23" s="324" t="s">
        <v>241</v>
      </c>
      <c r="DN23" s="324" t="s">
        <v>241</v>
      </c>
      <c r="DO23" s="324" t="s">
        <v>241</v>
      </c>
      <c r="DP23" s="323">
        <f>$D230</f>
        <v>24743.333333333332</v>
      </c>
      <c r="DQ23" s="323">
        <f>$H230</f>
        <v>11124.06</v>
      </c>
    </row>
    <row r="24" spans="1:121" s="316" customFormat="1">
      <c r="A24" s="316" t="s">
        <v>1</v>
      </c>
      <c r="B24" s="316" t="s">
        <v>269</v>
      </c>
      <c r="C24" s="317">
        <f>AVERAGE([5]A!C25,'[6]2009'!C25,'[7]2010'!C25)</f>
        <v>1385.9797159692087</v>
      </c>
      <c r="D24" s="317">
        <f>AVERAGE([5]A!D25,'[6]2009'!D25,'[7]2010'!D25)</f>
        <v>456.33333333333331</v>
      </c>
      <c r="E24" s="317">
        <f>AVERAGE([5]A!E25,'[6]2009'!E25,'[7]2010'!E25)</f>
        <v>183.0750988246017</v>
      </c>
      <c r="F24" s="317">
        <f>AVERAGE([5]A!F25,'[6]2009'!F25,'[7]2010'!F25)</f>
        <v>58.183333333333337</v>
      </c>
      <c r="G24" s="317">
        <f>AVERAGE([5]A!G25,'[6]2009'!G25,'[7]2010'!G25)</f>
        <v>1.4148115995948822</v>
      </c>
      <c r="H24" s="317">
        <f>AVERAGE([5]A!H25,'[6]2009'!H25,'[7]2010'!H25)</f>
        <v>1065.6666666666667</v>
      </c>
      <c r="I24" s="317">
        <f>AVERAGE([5]A!I25,'[6]2009'!I25,'[7]2010'!I25)</f>
        <v>0</v>
      </c>
      <c r="J24" s="317">
        <f>AVERAGE([5]A!J25,'[6]2009'!J25,'[7]2010'!J25)</f>
        <v>128</v>
      </c>
      <c r="K24" s="317">
        <f>AVERAGE([5]A!K25,'[6]2009'!K25,'[7]2010'!K25)</f>
        <v>0</v>
      </c>
      <c r="L24" s="317">
        <f>AVERAGE([5]A!L25,'[6]2009'!L25,'[7]2010'!L25)</f>
        <v>0</v>
      </c>
      <c r="M24" s="317">
        <f>AVERAGE([5]A!M25,'[6]2009'!M25,'[7]2010'!M25)</f>
        <v>1448.7305487920473</v>
      </c>
      <c r="N24" s="317">
        <f>AVERAGE([5]A!N25,'[6]2009'!N25,'[7]2010'!N25)</f>
        <v>610.33333333333337</v>
      </c>
      <c r="O24" s="317">
        <f>AVERAGE([5]A!O25,'[6]2009'!O25,'[7]2010'!O25)</f>
        <v>195.76212613850581</v>
      </c>
      <c r="P24" s="317">
        <f>AVERAGE([5]A!P25,'[6]2009'!P25,'[7]2010'!P25)</f>
        <v>77.816666666666663</v>
      </c>
      <c r="Q24" s="317">
        <f>AVERAGE([5]A!Q25,'[6]2009'!Q25,'[7]2010'!Q25)</f>
        <v>1.5984007263077034</v>
      </c>
      <c r="R24" s="317">
        <f>AVERAGE([5]A!R25,'[6]2009'!R25,'[7]2010'!R25)</f>
        <v>874.17488221036695</v>
      </c>
      <c r="S24" s="317">
        <f>AVERAGE([5]A!S25,'[6]2009'!S25,'[7]2010'!S25)</f>
        <v>2614.6666666666665</v>
      </c>
      <c r="T24" s="317">
        <f>AVERAGE([5]A!T25,'[6]2009'!T25,'[7]2010'!T25)</f>
        <v>129.69577045561354</v>
      </c>
      <c r="U24" s="317">
        <f>AVERAGE([5]A!U25,'[6]2009'!U25,'[7]2010'!U25)</f>
        <v>520.41666666666663</v>
      </c>
      <c r="V24" s="317">
        <f>AVERAGE([5]A!V25,'[6]2009'!V25,'[7]2010'!V25)</f>
        <v>7.3424877512016264</v>
      </c>
      <c r="W24" s="317">
        <f>AVERAGE([5]A!W25,'[6]2009'!W25,'[7]2010'!W25)</f>
        <v>4170.4735150423539</v>
      </c>
      <c r="X24" s="317">
        <f>AVERAGE([5]A!X25,'[6]2009'!X25,'[7]2010'!X25)</f>
        <v>10372.666666666666</v>
      </c>
      <c r="Y24" s="317">
        <f>AVERAGE([5]A!Y25,'[6]2009'!Y25,'[7]2010'!Y25)</f>
        <v>1133.2477059446926</v>
      </c>
      <c r="Z24" s="317">
        <f>AVERAGE([5]A!Z25,'[6]2009'!Z25,'[7]2010'!Z25)</f>
        <v>2454.4066666666663</v>
      </c>
      <c r="AA24" s="317">
        <f>AVERAGE([5]A!AA25,'[6]2009'!AA25,'[7]2010'!AA25)</f>
        <v>28.801868593589365</v>
      </c>
      <c r="AB24" s="317">
        <f>AVERAGE([5]A!AB25,'[6]2009'!AB25,'[7]2010'!AB25)</f>
        <v>15534.515930553285</v>
      </c>
      <c r="AC24" s="317">
        <f>AVERAGE([5]A!AC25,'[6]2009'!AC25,'[7]2010'!AC25)</f>
        <v>7283</v>
      </c>
      <c r="AD24" s="317">
        <f>AVERAGE([5]A!AD25,'[6]2009'!AD25,'[7]2010'!AD25)</f>
        <v>4388.2726688203757</v>
      </c>
      <c r="AE24" s="317">
        <f>AVERAGE([5]A!AE25,'[6]2009'!AE25,'[7]2010'!AE25)</f>
        <v>1849.9333333333334</v>
      </c>
      <c r="AF24" s="317">
        <f>AVERAGE([5]A!AF25,'[6]2009'!AF25,'[7]2010'!AF25)</f>
        <v>18.265578983868107</v>
      </c>
      <c r="AG24" s="317">
        <f>AVERAGE([5]A!AG25,'[6]2009'!AG25,'[7]2010'!AG25)</f>
        <v>31180.619115958081</v>
      </c>
      <c r="AH24" s="317">
        <f>AVERAGE([5]A!AH25,'[6]2009'!AH25,'[7]2010'!AH25)</f>
        <v>4547</v>
      </c>
      <c r="AI24" s="317">
        <f>AVERAGE([5]A!AI25,'[6]2009'!AI25,'[7]2010'!AI25)</f>
        <v>7490.6419742290282</v>
      </c>
      <c r="AJ24" s="317">
        <f>AVERAGE([5]A!AJ25,'[6]2009'!AJ25,'[7]2010'!AJ25)</f>
        <v>875.56333333333339</v>
      </c>
      <c r="AK24" s="317">
        <f>AVERAGE([5]A!AK25,'[6]2009'!AK25,'[7]2010'!AK25)</f>
        <v>11.013173751592129</v>
      </c>
      <c r="AL24" s="317">
        <f>AVERAGE([5]A!AL25,'[6]2009'!AL25,'[7]2010'!AL25)</f>
        <v>30663.790084951022</v>
      </c>
      <c r="AM24" s="317">
        <f>AVERAGE([5]A!AM25,'[6]2009'!AM25,'[7]2010'!AM25)</f>
        <v>3195.6666666666665</v>
      </c>
      <c r="AN24" s="317">
        <f>AVERAGE([5]A!AN25,'[6]2009'!AN25,'[7]2010'!AN25)</f>
        <v>7611.845143887308</v>
      </c>
      <c r="AO24" s="317">
        <f>AVERAGE([5]A!AO25,'[6]2009'!AO25,'[7]2010'!AO25)</f>
        <v>712.86333333333323</v>
      </c>
      <c r="AP24" s="317">
        <f>AVERAGE([5]A!AP25,'[6]2009'!AP25,'[7]2010'!AP25)</f>
        <v>7.4035074893410977</v>
      </c>
      <c r="AQ24" s="317">
        <f>AVERAGE([5]A!AQ25,'[6]2009'!AQ25,'[7]2010'!AQ25)</f>
        <v>21648.624864244601</v>
      </c>
      <c r="AR24" s="317">
        <f>AVERAGE([5]A!AR25,'[6]2009'!AR25,'[7]2010'!AR25)</f>
        <v>8879</v>
      </c>
      <c r="AS24" s="317">
        <f>AVERAGE([5]A!AS25,'[6]2009'!AS25,'[7]2010'!AS25)</f>
        <v>6447.3241943724379</v>
      </c>
      <c r="AT24" s="317">
        <f>AVERAGE([5]A!AT25,'[6]2009'!AT25,'[7]2010'!AT25)</f>
        <v>993.64</v>
      </c>
      <c r="AU24" s="317">
        <f>AVERAGE([5]A!AU25,'[6]2009'!AU25,'[7]2010'!AU25)</f>
        <v>21.082379645497038</v>
      </c>
      <c r="AV24" s="317">
        <f>AVERAGE([5]A!AV25,'[6]2009'!AV25,'[7]2010'!AV25)</f>
        <v>10259.391032773434</v>
      </c>
      <c r="AW24" s="317">
        <f>AVERAGE([5]A!AW25,'[6]2009'!AW25,'[7]2010'!AW25)</f>
        <v>107</v>
      </c>
      <c r="AX24" s="317">
        <f>AVERAGE([5]A!AX25,'[6]2009'!AX25,'[7]2010'!AX25)</f>
        <v>2844.2150702306249</v>
      </c>
      <c r="AY24" s="317">
        <f>AVERAGE([5]A!AY25,'[6]2009'!AY25,'[7]2010'!AY25)</f>
        <v>32.620000000000005</v>
      </c>
      <c r="AZ24" s="317">
        <f>AVERAGE([5]A!AZ25,'[6]2009'!AZ25,'[7]2010'!AZ25)</f>
        <v>0.28803260589709434</v>
      </c>
      <c r="BA24" s="317">
        <f>AVERAGE([5]A!BA25,'[6]2009'!BA25,'[7]2010'!BA25)</f>
        <v>8519.2516231164864</v>
      </c>
      <c r="BB24" s="317">
        <f>AVERAGE([5]A!BB25,'[6]2009'!BB25,'[7]2010'!BB25)</f>
        <v>1630</v>
      </c>
      <c r="BC24" s="317">
        <f>AVERAGE([5]A!BC25,'[6]2009'!BC25,'[7]2010'!BC25)</f>
        <v>2276.5373725333488</v>
      </c>
      <c r="BD24" s="317">
        <f>AVERAGE([5]A!BD25,'[6]2009'!BD25,'[7]2010'!BD25)</f>
        <v>207.82666666666668</v>
      </c>
      <c r="BE24" s="317">
        <f>AVERAGE([5]A!BE25,'[6]2009'!BE25,'[7]2010'!BE25)</f>
        <v>4.543300721910974</v>
      </c>
      <c r="BF24" s="317">
        <f>AVERAGE([5]A!BF25,'[6]2009'!BF25,'[7]2010'!BF25)</f>
        <v>4875.3916661722023</v>
      </c>
      <c r="BG24" s="317">
        <f>AVERAGE([5]A!BG25,'[6]2009'!BG25,'[7]2010'!BG25)</f>
        <v>0</v>
      </c>
      <c r="BH24" s="317">
        <f>AVERAGE([5]A!BH25,'[6]2009'!BH25,'[7]2010'!BH25)</f>
        <v>1233.210418027131</v>
      </c>
      <c r="BI24" s="317">
        <f>AVERAGE([5]A!BI25,'[6]2009'!BI25,'[7]2010'!BI25)</f>
        <v>0</v>
      </c>
      <c r="BJ24" s="317">
        <f>AVERAGE([5]A!BJ25,'[6]2009'!BJ25,'[7]2010'!BJ25)</f>
        <v>0</v>
      </c>
      <c r="BK24" s="317">
        <f>AVERAGE([5]A!BK25,'[6]2009'!BK25,'[7]2010'!BK25)</f>
        <v>131626.60964644977</v>
      </c>
      <c r="BL24" s="317">
        <f>AVERAGE([5]A!BL25,'[6]2009'!BL25,'[7]2010'!BL25)</f>
        <v>39695.666666666664</v>
      </c>
      <c r="BM24" s="317">
        <f>AVERAGE([5]A!BM25,'[6]2009'!BM25,'[7]2010'!BM25)</f>
        <v>34061.827543463667</v>
      </c>
      <c r="BN24" s="317">
        <f>AVERAGE([5]A!BN25,'[6]2009'!BN25,'[7]2010'!BN25)</f>
        <v>7783.27</v>
      </c>
      <c r="BO24" s="317">
        <f>AVERAGE([8]A!BO25,[5]A!BO25,'[6]2009'!BO25,'[7]2010'!BO25)</f>
        <v>12.373291913054441</v>
      </c>
      <c r="BR24" s="316" t="s">
        <v>270</v>
      </c>
      <c r="BW24" s="316" t="s">
        <v>271</v>
      </c>
      <c r="CA24" s="316" t="s">
        <v>182</v>
      </c>
      <c r="CJ24" s="319"/>
      <c r="CL24" s="319"/>
      <c r="CM24" s="319"/>
      <c r="CV24" s="325" t="s">
        <v>272</v>
      </c>
      <c r="CW24" s="316" t="s">
        <v>273</v>
      </c>
      <c r="DJ24" s="321" t="s">
        <v>244</v>
      </c>
      <c r="DK24" s="322" t="s">
        <v>241</v>
      </c>
      <c r="DL24" s="322" t="s">
        <v>241</v>
      </c>
      <c r="DM24" s="322" t="s">
        <v>241</v>
      </c>
      <c r="DN24" s="322" t="s">
        <v>241</v>
      </c>
      <c r="DO24" s="322" t="s">
        <v>241</v>
      </c>
      <c r="DP24" s="319">
        <f>$C230</f>
        <v>22721.349938577536</v>
      </c>
      <c r="DQ24" s="319">
        <f>$G230</f>
        <v>16431.084603533334</v>
      </c>
    </row>
    <row r="25" spans="1:121">
      <c r="A25" s="283" t="s">
        <v>1</v>
      </c>
      <c r="B25" s="283" t="s">
        <v>274</v>
      </c>
      <c r="C25" s="317">
        <f>AVERAGE([5]A!C26,'[6]2009'!C26,'[7]2010'!C26)</f>
        <v>2292.7974913262037</v>
      </c>
      <c r="D25" s="317">
        <f>AVERAGE([5]A!D26,'[6]2009'!D26,'[7]2010'!D26)</f>
        <v>1521.6666666666667</v>
      </c>
      <c r="E25" s="317">
        <f>AVERAGE([5]A!E26,'[6]2009'!E26,'[7]2010'!E26)</f>
        <v>6782.0057083892307</v>
      </c>
      <c r="F25" s="317">
        <f>AVERAGE([5]A!F26,'[6]2009'!F26,'[7]2010'!F26)</f>
        <v>3487.2966666666666</v>
      </c>
      <c r="G25" s="317">
        <f>AVERAGE([5]A!G26,'[6]2009'!G26,'[7]2010'!G26)</f>
        <v>4.4783324312143451</v>
      </c>
      <c r="H25" s="317">
        <f>AVERAGE([5]A!H26,'[6]2009'!H26,'[7]2010'!H26)</f>
        <v>1219.135257389268</v>
      </c>
      <c r="I25" s="317">
        <f>AVERAGE([5]A!I26,'[6]2009'!I26,'[7]2010'!I26)</f>
        <v>2036.3333333333333</v>
      </c>
      <c r="J25" s="317">
        <f>AVERAGE([5]A!J26,'[6]2009'!J26,'[7]2010'!J26)</f>
        <v>3525.2655595718566</v>
      </c>
      <c r="K25" s="317">
        <f>AVERAGE([5]A!K26,'[6]2009'!K26,'[7]2010'!K26)</f>
        <v>5512.0566666666673</v>
      </c>
      <c r="L25" s="317">
        <f>AVERAGE([5]A!L26,'[6]2009'!L26,'[7]2010'!L26)</f>
        <v>6.4275726458453351</v>
      </c>
      <c r="M25" s="317">
        <f>AVERAGE([5]A!M26,'[6]2009'!M26,'[7]2010'!M26)</f>
        <v>1501.2937863649724</v>
      </c>
      <c r="N25" s="317">
        <f>AVERAGE([5]A!N26,'[6]2009'!N26,'[7]2010'!N26)</f>
        <v>1688.6666666666667</v>
      </c>
      <c r="O25" s="317">
        <f>AVERAGE([5]A!O26,'[6]2009'!O26,'[7]2010'!O26)</f>
        <v>4421.2372779149982</v>
      </c>
      <c r="P25" s="317">
        <f>AVERAGE([5]A!P26,'[6]2009'!P26,'[7]2010'!P26)</f>
        <v>4442.2266666666665</v>
      </c>
      <c r="Q25" s="317">
        <f>AVERAGE([5]A!Q26,'[6]2009'!Q26,'[7]2010'!Q26)</f>
        <v>4.5140958961972251</v>
      </c>
      <c r="R25" s="317">
        <f>AVERAGE([5]A!R26,'[6]2009'!R26,'[7]2010'!R26)</f>
        <v>2448.7021803936764</v>
      </c>
      <c r="S25" s="317">
        <f>AVERAGE([5]A!S26,'[6]2009'!S26,'[7]2010'!S26)</f>
        <v>1245.3333333333333</v>
      </c>
      <c r="T25" s="317">
        <f>AVERAGE([5]A!T26,'[6]2009'!T26,'[7]2010'!T26)</f>
        <v>7503.1186602873468</v>
      </c>
      <c r="U25" s="317">
        <f>AVERAGE([5]A!U26,'[6]2009'!U26,'[7]2010'!U26)</f>
        <v>2996.893333333333</v>
      </c>
      <c r="V25" s="317">
        <f>AVERAGE([5]A!V26,'[6]2009'!V26,'[7]2010'!V26)</f>
        <v>3.45005336521508</v>
      </c>
      <c r="W25" s="317">
        <f>AVERAGE([5]A!W26,'[6]2009'!W26,'[7]2010'!W26)</f>
        <v>1347.0902385114125</v>
      </c>
      <c r="X25" s="317">
        <f>AVERAGE([5]A!X26,'[6]2009'!X26,'[7]2010'!X26)</f>
        <v>971.66666666666663</v>
      </c>
      <c r="Y25" s="317">
        <f>AVERAGE([5]A!Y26,'[6]2009'!Y26,'[7]2010'!Y26)</f>
        <v>4234.5893666536804</v>
      </c>
      <c r="Z25" s="317">
        <f>AVERAGE([5]A!Z26,'[6]2009'!Z26,'[7]2010'!Z26)</f>
        <v>2557.0666666666671</v>
      </c>
      <c r="AA25" s="317">
        <f>AVERAGE([5]A!AA26,'[6]2009'!AA26,'[7]2010'!AA26)</f>
        <v>2.5434358591112329</v>
      </c>
      <c r="AB25" s="317">
        <f>AVERAGE([5]A!AB26,'[6]2009'!AB26,'[7]2010'!AB26)</f>
        <v>508.88480135594801</v>
      </c>
      <c r="AC25" s="317">
        <f>AVERAGE([5]A!AC26,'[6]2009'!AC26,'[7]2010'!AC26)</f>
        <v>660</v>
      </c>
      <c r="AD25" s="317">
        <f>AVERAGE([5]A!AD26,'[6]2009'!AD26,'[7]2010'!AD26)</f>
        <v>1409.3646647236681</v>
      </c>
      <c r="AE25" s="317">
        <f>AVERAGE([5]A!AE26,'[6]2009'!AE26,'[7]2010'!AE26)</f>
        <v>2006.8033333333331</v>
      </c>
      <c r="AF25" s="317">
        <f>AVERAGE([5]A!AF26,'[6]2009'!AF26,'[7]2010'!AF26)</f>
        <v>1.6328638059388665</v>
      </c>
      <c r="AG25" s="317">
        <f>AVERAGE([5]A!AG26,'[6]2009'!AG26,'[7]2010'!AG26)</f>
        <v>443.2016421352734</v>
      </c>
      <c r="AH25" s="317">
        <f>AVERAGE([5]A!AH26,'[6]2009'!AH26,'[7]2010'!AH26)</f>
        <v>550</v>
      </c>
      <c r="AI25" s="317">
        <f>AVERAGE([5]A!AI26,'[6]2009'!AI26,'[7]2010'!AI26)</f>
        <v>1492.4312792986432</v>
      </c>
      <c r="AJ25" s="317">
        <f>AVERAGE([5]A!AJ26,'[6]2009'!AJ26,'[7]2010'!AJ26)</f>
        <v>1493.5933333333332</v>
      </c>
      <c r="AK25" s="317">
        <f>AVERAGE([5]A!AK26,'[6]2009'!AK26,'[7]2010'!AK26)</f>
        <v>1.3911764950753422</v>
      </c>
      <c r="AL25" s="317">
        <f>AVERAGE([5]A!AL26,'[6]2009'!AL26,'[7]2010'!AL26)</f>
        <v>678.61788240660371</v>
      </c>
      <c r="AM25" s="317">
        <f>AVERAGE([5]A!AM26,'[6]2009'!AM26,'[7]2010'!AM26)</f>
        <v>458.33333333333331</v>
      </c>
      <c r="AN25" s="317">
        <f>AVERAGE([5]A!AN26,'[6]2009'!AN26,'[7]2010'!AN26)</f>
        <v>2297.4185074705065</v>
      </c>
      <c r="AO25" s="317">
        <f>AVERAGE([5]A!AO26,'[6]2009'!AO26,'[7]2010'!AO26)</f>
        <v>1384.4166666666667</v>
      </c>
      <c r="AP25" s="317">
        <f>AVERAGE([5]A!AP26,'[6]2009'!AP26,'[7]2010'!AP26)</f>
        <v>1.1891478363209231</v>
      </c>
      <c r="AQ25" s="317">
        <f>AVERAGE([5]A!AQ26,'[6]2009'!AQ26,'[7]2010'!AQ26)</f>
        <v>2816.8504759234879</v>
      </c>
      <c r="AR25" s="317">
        <f>AVERAGE([5]A!AR26,'[6]2009'!AR26,'[7]2010'!AR26)</f>
        <v>700</v>
      </c>
      <c r="AS25" s="317">
        <f>AVERAGE([5]A!AS26,'[6]2009'!AS26,'[7]2010'!AS26)</f>
        <v>8098.8274396938386</v>
      </c>
      <c r="AT25" s="317">
        <f>AVERAGE([5]A!AT26,'[6]2009'!AT26,'[7]2010'!AT26)</f>
        <v>2209.31</v>
      </c>
      <c r="AU25" s="317">
        <f>AVERAGE([5]A!AU26,'[6]2009'!AU26,'[7]2010'!AU26)</f>
        <v>1.8908932222063248</v>
      </c>
      <c r="AV25" s="317">
        <f>AVERAGE([5]A!AV26,'[6]2009'!AV26,'[7]2010'!AV26)</f>
        <v>182.33622915811875</v>
      </c>
      <c r="AW25" s="317">
        <f>AVERAGE([5]A!AW26,'[6]2009'!AW26,'[7]2010'!AW26)</f>
        <v>513.33333333333337</v>
      </c>
      <c r="AX25" s="317">
        <f>AVERAGE([5]A!AX26,'[6]2009'!AX26,'[7]2010'!AX26)</f>
        <v>618.82296424273625</v>
      </c>
      <c r="AY25" s="317">
        <f>AVERAGE([5]A!AY26,'[6]2009'!AY26,'[7]2010'!AY26)</f>
        <v>1612.16</v>
      </c>
      <c r="AZ25" s="317">
        <f>AVERAGE([5]A!AZ26,'[6]2009'!AZ26,'[7]2010'!AZ26)</f>
        <v>1.3606265152937536</v>
      </c>
      <c r="BA25" s="317">
        <f>AVERAGE([5]A!BA26,'[6]2009'!BA26,'[7]2010'!BA26)</f>
        <v>1351.4474900963587</v>
      </c>
      <c r="BB25" s="317">
        <f>AVERAGE([5]A!BB26,'[6]2009'!BB26,'[7]2010'!BB26)</f>
        <v>696.66666666666663</v>
      </c>
      <c r="BC25" s="317">
        <f>AVERAGE([5]A!BC26,'[6]2009'!BC26,'[7]2010'!BC26)</f>
        <v>3796.2402012800644</v>
      </c>
      <c r="BD25" s="317">
        <f>AVERAGE([5]A!BD26,'[6]2009'!BD26,'[7]2010'!BD26)</f>
        <v>2236.23</v>
      </c>
      <c r="BE25" s="317">
        <f>AVERAGE([5]A!BE26,'[6]2009'!BE26,'[7]2010'!BE26)</f>
        <v>1.9663740626793491</v>
      </c>
      <c r="BF25" s="317">
        <f>AVERAGE([5]A!BF26,'[6]2009'!BF26,'[7]2010'!BF26)</f>
        <v>1341.8892075431838</v>
      </c>
      <c r="BG25" s="317">
        <f>AVERAGE([5]A!BG26,'[6]2009'!BG26,'[7]2010'!BG26)</f>
        <v>1338.3333333333333</v>
      </c>
      <c r="BH25" s="317">
        <f>AVERAGE([5]A!BH26,'[6]2009'!BH26,'[7]2010'!BH26)</f>
        <v>3725.4745846611113</v>
      </c>
      <c r="BI25" s="317">
        <f>AVERAGE([5]A!BI26,'[6]2009'!BI26,'[7]2010'!BI26)</f>
        <v>3792.3866666666668</v>
      </c>
      <c r="BJ25" s="317">
        <f>AVERAGE([5]A!BJ26,'[6]2009'!BJ26,'[7]2010'!BJ26)</f>
        <v>3.7199649266552193</v>
      </c>
      <c r="BK25" s="317">
        <f>AVERAGE([5]A!BK26,'[6]2009'!BK26,'[7]2010'!BK26)</f>
        <v>16132.246682604507</v>
      </c>
      <c r="BL25" s="317">
        <f>AVERAGE([5]A!BL26,'[6]2009'!BL26,'[7]2010'!BL26)</f>
        <v>12380.333333333334</v>
      </c>
      <c r="BM25" s="317">
        <f>AVERAGE([5]A!BM26,'[6]2009'!BM26,'[7]2010'!BM26)</f>
        <v>47904.796214187685</v>
      </c>
      <c r="BN25" s="317">
        <f>AVERAGE([5]A!BN26,'[6]2009'!BN26,'[7]2010'!BN26)</f>
        <v>33730.439999999995</v>
      </c>
      <c r="BO25" s="317">
        <f>AVERAGE([8]A!BO26,[5]A!BO26,'[6]2009'!BO26,'[7]2010'!BO26)</f>
        <v>3.3446655240978864</v>
      </c>
      <c r="BP25" s="283">
        <f>BL25/200</f>
        <v>61.901666666666671</v>
      </c>
      <c r="BR25" s="283" t="s">
        <v>213</v>
      </c>
      <c r="BW25" s="283" t="s">
        <v>213</v>
      </c>
      <c r="CA25" s="283" t="s">
        <v>182</v>
      </c>
      <c r="CJ25" s="323"/>
      <c r="CL25" s="323"/>
      <c r="CM25" s="323"/>
      <c r="CW25" s="283" t="s">
        <v>275</v>
      </c>
      <c r="DD25" s="310" t="s">
        <v>235</v>
      </c>
      <c r="DE25" s="310" t="s">
        <v>236</v>
      </c>
      <c r="DF25" s="310" t="s">
        <v>276</v>
      </c>
      <c r="DG25" s="310" t="s">
        <v>238</v>
      </c>
      <c r="DH25" s="283" t="s">
        <v>277</v>
      </c>
      <c r="DI25" s="310" t="s">
        <v>278</v>
      </c>
      <c r="DJ25" s="310" t="s">
        <v>240</v>
      </c>
      <c r="DK25" s="324" t="s">
        <v>241</v>
      </c>
      <c r="DL25" s="324" t="s">
        <v>241</v>
      </c>
      <c r="DM25" s="324" t="s">
        <v>241</v>
      </c>
      <c r="DN25" s="324" t="s">
        <v>241</v>
      </c>
      <c r="DO25" s="324" t="s">
        <v>241</v>
      </c>
      <c r="DP25" s="323">
        <v>0</v>
      </c>
      <c r="DQ25" s="323">
        <v>0</v>
      </c>
    </row>
    <row r="26" spans="1:121" s="316" customFormat="1">
      <c r="A26" s="316" t="s">
        <v>1</v>
      </c>
      <c r="B26" s="316" t="s">
        <v>279</v>
      </c>
      <c r="C26" s="317">
        <f>AVERAGE([5]A!C27,'[6]2009'!C27,'[7]2010'!C27)</f>
        <v>0</v>
      </c>
      <c r="D26" s="317">
        <f>AVERAGE([5]A!D27,'[6]2009'!D27,'[7]2010'!D27)</f>
        <v>-15.666666666666666</v>
      </c>
      <c r="E26" s="317">
        <f>AVERAGE([5]A!E27,'[6]2009'!E27,'[7]2010'!E27)</f>
        <v>0</v>
      </c>
      <c r="F26" s="317">
        <f>AVERAGE([5]A!F27,'[6]2009'!F27,'[7]2010'!F27)</f>
        <v>-55.743333333333332</v>
      </c>
      <c r="G26" s="317">
        <f>AVERAGE([5]A!G27,'[6]2009'!G27,'[7]2010'!G27)</f>
        <v>-4.9746787354623574E-2</v>
      </c>
      <c r="H26" s="317">
        <f>AVERAGE([5]A!H27,'[6]2009'!H27,'[7]2010'!H27)</f>
        <v>0</v>
      </c>
      <c r="I26" s="317">
        <f>AVERAGE([5]A!I27,'[6]2009'!I27,'[7]2010'!I27)</f>
        <v>0.66666666666666663</v>
      </c>
      <c r="J26" s="317">
        <f>AVERAGE([5]A!J27,'[6]2009'!J27,'[7]2010'!J27)</f>
        <v>0</v>
      </c>
      <c r="K26" s="317">
        <f>AVERAGE([5]A!K27,'[6]2009'!K27,'[7]2010'!K27)</f>
        <v>2.3733333333333335</v>
      </c>
      <c r="L26" s="317">
        <f>AVERAGE([5]A!L27,'[6]2009'!L27,'[7]2010'!L27)</f>
        <v>2.3508945153630956E-3</v>
      </c>
      <c r="M26" s="317">
        <f>AVERAGE([5]A!M27,'[6]2009'!M27,'[7]2010'!M27)</f>
        <v>0</v>
      </c>
      <c r="N26" s="317">
        <f>AVERAGE([5]A!N27,'[6]2009'!N27,'[7]2010'!N27)</f>
        <v>2</v>
      </c>
      <c r="O26" s="317">
        <f>AVERAGE([5]A!O27,'[6]2009'!O27,'[7]2010'!O27)</f>
        <v>0</v>
      </c>
      <c r="P26" s="317">
        <f>AVERAGE([5]A!P27,'[6]2009'!P27,'[7]2010'!P27)</f>
        <v>7.1166666666666671</v>
      </c>
      <c r="Q26" s="317">
        <f>AVERAGE([5]A!Q27,'[6]2009'!Q27,'[7]2010'!Q27)</f>
        <v>5.2377959354703539E-3</v>
      </c>
      <c r="R26" s="317">
        <f>AVERAGE([5]A!R27,'[6]2009'!R27,'[7]2010'!R27)</f>
        <v>0</v>
      </c>
      <c r="S26" s="317">
        <f>AVERAGE([5]A!S27,'[6]2009'!S27,'[7]2010'!S27)</f>
        <v>4</v>
      </c>
      <c r="T26" s="317">
        <f>AVERAGE([5]A!T27,'[6]2009'!T27,'[7]2010'!T27)</f>
        <v>0</v>
      </c>
      <c r="U26" s="317">
        <f>AVERAGE([5]A!U27,'[6]2009'!U27,'[7]2010'!U27)</f>
        <v>14.233333333333334</v>
      </c>
      <c r="V26" s="317">
        <f>AVERAGE([5]A!V27,'[6]2009'!V27,'[7]2010'!V27)</f>
        <v>1.0972130787798991E-2</v>
      </c>
      <c r="W26" s="317">
        <f>AVERAGE([5]A!W27,'[6]2009'!W27,'[7]2010'!W27)</f>
        <v>0</v>
      </c>
      <c r="X26" s="317">
        <f>AVERAGE([5]A!X27,'[6]2009'!X27,'[7]2010'!X27)</f>
        <v>3.3333333333333335</v>
      </c>
      <c r="Y26" s="317">
        <f>AVERAGE([5]A!Y27,'[6]2009'!Y27,'[7]2010'!Y27)</f>
        <v>0</v>
      </c>
      <c r="Z26" s="317">
        <f>AVERAGE([5]A!Z27,'[6]2009'!Z27,'[7]2010'!Z27)</f>
        <v>11.86</v>
      </c>
      <c r="AA26" s="317">
        <f>AVERAGE([5]A!AA27,'[6]2009'!AA27,'[7]2010'!AA27)</f>
        <v>8.6539626494972054E-3</v>
      </c>
      <c r="AB26" s="317">
        <f>AVERAGE([5]A!AB27,'[6]2009'!AB27,'[7]2010'!AB27)</f>
        <v>0</v>
      </c>
      <c r="AC26" s="317">
        <f>AVERAGE([5]A!AC27,'[6]2009'!AC27,'[7]2010'!AC27)</f>
        <v>4.333333333333333</v>
      </c>
      <c r="AD26" s="317">
        <f>AVERAGE([5]A!AD27,'[6]2009'!AD27,'[7]2010'!AD27)</f>
        <v>0</v>
      </c>
      <c r="AE26" s="317">
        <f>AVERAGE([5]A!AE27,'[6]2009'!AE27,'[7]2010'!AE27)</f>
        <v>15.42</v>
      </c>
      <c r="AF26" s="317">
        <f>AVERAGE([5]A!AF27,'[6]2009'!AF27,'[7]2010'!AF27)</f>
        <v>1.0850694444444446E-2</v>
      </c>
      <c r="AG26" s="317">
        <f>AVERAGE([5]A!AG27,'[6]2009'!AG27,'[7]2010'!AG27)</f>
        <v>0</v>
      </c>
      <c r="AH26" s="317">
        <f>AVERAGE([5]A!AH27,'[6]2009'!AH27,'[7]2010'!AH27)</f>
        <v>1.6666666666666667</v>
      </c>
      <c r="AI26" s="317">
        <f>AVERAGE([5]A!AI27,'[6]2009'!AI27,'[7]2010'!AI27)</f>
        <v>0</v>
      </c>
      <c r="AJ26" s="317">
        <f>AVERAGE([5]A!AJ27,'[6]2009'!AJ27,'[7]2010'!AJ27)</f>
        <v>5.93</v>
      </c>
      <c r="AK26" s="317">
        <f>AVERAGE([5]A!AK27,'[6]2009'!AK27,'[7]2010'!AK27)</f>
        <v>4.0666276270414472E-3</v>
      </c>
      <c r="AL26" s="317">
        <f>AVERAGE([5]A!AL27,'[6]2009'!AL27,'[7]2010'!AL27)</f>
        <v>0</v>
      </c>
      <c r="AM26" s="317">
        <f>AVERAGE([5]A!AM27,'[6]2009'!AM27,'[7]2010'!AM27)</f>
        <v>4.666666666666667</v>
      </c>
      <c r="AN26" s="317">
        <f>AVERAGE([5]A!AN27,'[6]2009'!AN27,'[7]2010'!AN27)</f>
        <v>0</v>
      </c>
      <c r="AO26" s="317">
        <f>AVERAGE([5]A!AO27,'[6]2009'!AO27,'[7]2010'!AO27)</f>
        <v>16.603333333333335</v>
      </c>
      <c r="AP26" s="317">
        <f>AVERAGE([5]A!AP27,'[6]2009'!AP27,'[7]2010'!AP27)</f>
        <v>1.1364067115434006E-2</v>
      </c>
      <c r="AQ26" s="317">
        <f>AVERAGE([5]A!AQ27,'[6]2009'!AQ27,'[7]2010'!AQ27)</f>
        <v>0</v>
      </c>
      <c r="AR26" s="317">
        <f>AVERAGE([5]A!AR27,'[6]2009'!AR27,'[7]2010'!AR27)</f>
        <v>5</v>
      </c>
      <c r="AS26" s="317">
        <f>AVERAGE([5]A!AS27,'[6]2009'!AS27,'[7]2010'!AS27)</f>
        <v>0</v>
      </c>
      <c r="AT26" s="317">
        <f>AVERAGE([5]A!AT27,'[6]2009'!AT27,'[7]2010'!AT27)</f>
        <v>17.79</v>
      </c>
      <c r="AU26" s="317">
        <f>AVERAGE([5]A!AU27,'[6]2009'!AU27,'[7]2010'!AU27)</f>
        <v>1.2866700977869273E-2</v>
      </c>
      <c r="AV26" s="317">
        <f>AVERAGE([5]A!AV27,'[6]2009'!AV27,'[7]2010'!AV27)</f>
        <v>0</v>
      </c>
      <c r="AW26" s="317">
        <f>AVERAGE([5]A!AW27,'[6]2009'!AW27,'[7]2010'!AW27)</f>
        <v>0.66666666666666663</v>
      </c>
      <c r="AX26" s="317">
        <f>AVERAGE([5]A!AX27,'[6]2009'!AX27,'[7]2010'!AX27)</f>
        <v>0</v>
      </c>
      <c r="AY26" s="317">
        <f>AVERAGE([5]A!AY27,'[6]2009'!AY27,'[7]2010'!AY27)</f>
        <v>2.3733333333333335</v>
      </c>
      <c r="AZ26" s="317">
        <f>AVERAGE([5]A!AZ27,'[6]2009'!AZ27,'[7]2010'!AZ27)</f>
        <v>1.7539244058581073E-3</v>
      </c>
      <c r="BA26" s="317">
        <f>AVERAGE([5]A!BA27,'[6]2009'!BA27,'[7]2010'!BA27)</f>
        <v>0</v>
      </c>
      <c r="BB26" s="317">
        <f>AVERAGE([5]A!BB27,'[6]2009'!BB27,'[7]2010'!BB27)</f>
        <v>2.3333333333333335</v>
      </c>
      <c r="BC26" s="317">
        <f>AVERAGE([5]A!BC27,'[6]2009'!BC27,'[7]2010'!BC27)</f>
        <v>0</v>
      </c>
      <c r="BD26" s="317">
        <f>AVERAGE([5]A!BD27,'[6]2009'!BD27,'[7]2010'!BD27)</f>
        <v>8.3033333333333328</v>
      </c>
      <c r="BE26" s="317">
        <f>AVERAGE([5]A!BE27,'[6]2009'!BE27,'[7]2010'!BE27)</f>
        <v>6.5037024649032341E-3</v>
      </c>
      <c r="BF26" s="317">
        <f>AVERAGE([5]A!BF27,'[6]2009'!BF27,'[7]2010'!BF27)</f>
        <v>0</v>
      </c>
      <c r="BG26" s="317">
        <f>AVERAGE([5]A!BG27,'[6]2009'!BG27,'[7]2010'!BG27)</f>
        <v>7</v>
      </c>
      <c r="BH26" s="317">
        <f>AVERAGE([5]A!BH27,'[6]2009'!BH27,'[7]2010'!BH27)</f>
        <v>0</v>
      </c>
      <c r="BI26" s="317">
        <f>AVERAGE([5]A!BI27,'[6]2009'!BI27,'[7]2010'!BI27)</f>
        <v>24.906666666666666</v>
      </c>
      <c r="BJ26" s="317">
        <f>AVERAGE([5]A!BJ27,'[6]2009'!BJ27,'[7]2010'!BJ27)</f>
        <v>1.9563455465191022E-2</v>
      </c>
      <c r="BK26" s="317">
        <f>AVERAGE([5]A!BK27,'[6]2009'!BK27,'[7]2010'!BK27)</f>
        <v>0</v>
      </c>
      <c r="BL26" s="317">
        <f>AVERAGE([5]A!BL27,'[6]2009'!BL27,'[7]2010'!BL27)</f>
        <v>20</v>
      </c>
      <c r="BM26" s="317">
        <f>AVERAGE([5]A!BM27,'[6]2009'!BM27,'[7]2010'!BM27)</f>
        <v>0</v>
      </c>
      <c r="BN26" s="317">
        <f>AVERAGE([5]A!BN27,'[6]2009'!BN27,'[7]2010'!BN27)</f>
        <v>71.166666666666671</v>
      </c>
      <c r="BO26" s="317">
        <f>AVERAGE([8]A!BO27,[5]A!BO27,'[6]2009'!BO27,'[7]2010'!BO27)</f>
        <v>8.7115861521207729E-3</v>
      </c>
      <c r="CA26" s="316" t="s">
        <v>182</v>
      </c>
      <c r="CJ26" s="319"/>
      <c r="CL26" s="319"/>
      <c r="CM26" s="319"/>
      <c r="DJ26" s="321" t="s">
        <v>244</v>
      </c>
      <c r="DK26" s="322" t="s">
        <v>241</v>
      </c>
      <c r="DL26" s="322" t="s">
        <v>241</v>
      </c>
      <c r="DM26" s="322" t="s">
        <v>241</v>
      </c>
      <c r="DN26" s="322" t="s">
        <v>241</v>
      </c>
      <c r="DO26" s="322" t="s">
        <v>241</v>
      </c>
      <c r="DP26" s="319">
        <v>0</v>
      </c>
      <c r="DQ26" s="319">
        <v>0</v>
      </c>
    </row>
    <row r="27" spans="1:121">
      <c r="A27" s="283" t="s">
        <v>1</v>
      </c>
      <c r="B27" s="315" t="s">
        <v>280</v>
      </c>
      <c r="C27" s="317">
        <f>AVERAGE([8]A!C28,[5]A!C28,'[6]2009'!C28,'[7]2010'!C28)</f>
        <v>285</v>
      </c>
      <c r="D27" s="317">
        <f>AVERAGE([8]A!D28,[5]A!D28,'[6]2009'!D28,'[7]2010'!D28)</f>
        <v>285</v>
      </c>
      <c r="E27" s="317">
        <f>AVERAGE([8]A!E28,[5]A!E28,'[6]2009'!E28,'[7]2010'!E28)</f>
        <v>552.9</v>
      </c>
      <c r="F27" s="317">
        <f>AVERAGE([8]A!F28,[5]A!F28,'[6]2009'!F28,'[7]2010'!F28)</f>
        <v>552.9</v>
      </c>
      <c r="G27" s="317">
        <f>AVERAGE([8]A!G28,[5]A!G28,'[6]2009'!G28,'[7]2010'!G28)</f>
        <v>0.18790052480286928</v>
      </c>
      <c r="H27" s="317">
        <f>AVERAGE([8]A!H28,[5]A!H28,'[6]2009'!H28,'[7]2010'!H28)</f>
        <v>210</v>
      </c>
      <c r="I27" s="317">
        <f>AVERAGE([8]A!I28,[5]A!I28,'[6]2009'!I28,'[7]2010'!I28)</f>
        <v>210</v>
      </c>
      <c r="J27" s="317">
        <f>AVERAGE([8]A!J28,[5]A!J28,'[6]2009'!J28,'[7]2010'!J28)</f>
        <v>407.4</v>
      </c>
      <c r="K27" s="317">
        <f>AVERAGE([8]A!K28,[5]A!K28,'[6]2009'!K28,'[7]2010'!K28)</f>
        <v>407.4</v>
      </c>
      <c r="L27" s="317">
        <f>AVERAGE([8]A!L28,[5]A!L28,'[6]2009'!L28,'[7]2010'!L28)</f>
        <v>0.15691314483830474</v>
      </c>
      <c r="M27" s="317">
        <f>AVERAGE([8]A!M28,[5]A!M28,'[6]2009'!M28,'[7]2010'!M28)</f>
        <v>440</v>
      </c>
      <c r="N27" s="317">
        <f>AVERAGE([8]A!N28,[5]A!N28,'[6]2009'!N28,'[7]2010'!N28)</f>
        <v>440</v>
      </c>
      <c r="O27" s="317">
        <f>AVERAGE([8]A!O28,[5]A!O28,'[6]2009'!O28,'[7]2010'!O28)</f>
        <v>990.13</v>
      </c>
      <c r="P27" s="317">
        <f>AVERAGE([8]A!P28,[5]A!P28,'[6]2009'!P28,'[7]2010'!P28)</f>
        <v>990.13</v>
      </c>
      <c r="Q27" s="317">
        <f>AVERAGE([8]A!Q28,[5]A!Q28,'[6]2009'!Q28,'[7]2010'!Q28)</f>
        <v>0.29767542554055154</v>
      </c>
      <c r="R27" s="317">
        <f>AVERAGE([8]A!R28,[5]A!R28,'[6]2009'!R28,'[7]2010'!R28)</f>
        <v>330</v>
      </c>
      <c r="S27" s="317">
        <f>AVERAGE([8]A!S28,[5]A!S28,'[6]2009'!S28,'[7]2010'!S28)</f>
        <v>330</v>
      </c>
      <c r="T27" s="317">
        <f>AVERAGE([8]A!T28,[5]A!T28,'[6]2009'!T28,'[7]2010'!T28)</f>
        <v>755.96</v>
      </c>
      <c r="U27" s="317">
        <f>AVERAGE([8]A!U28,[5]A!U28,'[6]2009'!U28,'[7]2010'!U28)</f>
        <v>755.96</v>
      </c>
      <c r="V27" s="317">
        <f>AVERAGE([8]A!V28,[5]A!V28,'[6]2009'!V28,'[7]2010'!V28)</f>
        <v>0.25669747036311025</v>
      </c>
      <c r="W27" s="317">
        <f>AVERAGE([8]A!W28,[5]A!W28,'[6]2009'!W28,'[7]2010'!W28)</f>
        <v>385</v>
      </c>
      <c r="X27" s="317">
        <f>AVERAGE([8]A!X28,[5]A!X28,'[6]2009'!X28,'[7]2010'!X28)</f>
        <v>385</v>
      </c>
      <c r="Y27" s="317">
        <f>AVERAGE([8]A!Y28,[5]A!Y28,'[6]2009'!Y28,'[7]2010'!Y28)</f>
        <v>881.96</v>
      </c>
      <c r="Z27" s="317">
        <f>AVERAGE([8]A!Z28,[5]A!Z28,'[6]2009'!Z28,'[7]2010'!Z28)</f>
        <v>881.96</v>
      </c>
      <c r="AA27" s="317">
        <f>AVERAGE([8]A!AA28,[5]A!AA28,'[6]2009'!AA28,'[7]2010'!AA28)</f>
        <v>0.24914578587699318</v>
      </c>
      <c r="AB27" s="317">
        <f>AVERAGE([8]A!AB28,[5]A!AB28,'[6]2009'!AB28,'[7]2010'!AB28)</f>
        <v>0</v>
      </c>
      <c r="AC27" s="317">
        <f>AVERAGE([8]A!AC28,[5]A!AC28,'[6]2009'!AC28,'[7]2010'!AC28)</f>
        <v>0</v>
      </c>
      <c r="AD27" s="317">
        <f>AVERAGE([8]A!AD28,[5]A!AD28,'[6]2009'!AD28,'[7]2010'!AD28)</f>
        <v>0</v>
      </c>
      <c r="AE27" s="317">
        <f>AVERAGE([8]A!AE28,[5]A!AE28,'[6]2009'!AE28,'[7]2010'!AE28)</f>
        <v>0</v>
      </c>
      <c r="AF27" s="317">
        <f>AVERAGE([8]A!AF28,[5]A!AF28,'[6]2009'!AF28,'[7]2010'!AF28)</f>
        <v>0</v>
      </c>
      <c r="AG27" s="317">
        <f>AVERAGE([8]A!AG28,[5]A!AG28,'[6]2009'!AG28,'[7]2010'!AG28)</f>
        <v>0</v>
      </c>
      <c r="AH27" s="317">
        <f>AVERAGE([8]A!AH28,[5]A!AH28,'[6]2009'!AH28,'[7]2010'!AH28)</f>
        <v>0</v>
      </c>
      <c r="AI27" s="317">
        <f>AVERAGE([8]A!AI28,[5]A!AI28,'[6]2009'!AI28,'[7]2010'!AI28)</f>
        <v>0</v>
      </c>
      <c r="AJ27" s="317">
        <f>AVERAGE([8]A!AJ28,[5]A!AJ28,'[6]2009'!AJ28,'[7]2010'!AJ28)</f>
        <v>0</v>
      </c>
      <c r="AK27" s="317">
        <f>AVERAGE([8]A!AK28,[5]A!AK28,'[6]2009'!AK28,'[7]2010'!AK28)</f>
        <v>0</v>
      </c>
      <c r="AL27" s="317">
        <f>AVERAGE([8]A!AL28,[5]A!AL28,'[6]2009'!AL28,'[7]2010'!AL28)</f>
        <v>0</v>
      </c>
      <c r="AM27" s="317">
        <f>AVERAGE([8]A!AM28,[5]A!AM28,'[6]2009'!AM28,'[7]2010'!AM28)</f>
        <v>0</v>
      </c>
      <c r="AN27" s="317">
        <f>AVERAGE([8]A!AN28,[5]A!AN28,'[6]2009'!AN28,'[7]2010'!AN28)</f>
        <v>0</v>
      </c>
      <c r="AO27" s="317">
        <f>AVERAGE([8]A!AO28,[5]A!AO28,'[6]2009'!AO28,'[7]2010'!AO28)</f>
        <v>0</v>
      </c>
      <c r="AP27" s="317">
        <f>AVERAGE([8]A!AP28,[5]A!AP28,'[6]2009'!AP28,'[7]2010'!AP28)</f>
        <v>0</v>
      </c>
      <c r="AQ27" s="317">
        <f>AVERAGE([8]A!AQ28,[5]A!AQ28,'[6]2009'!AQ28,'[7]2010'!AQ28)</f>
        <v>0</v>
      </c>
      <c r="AR27" s="317">
        <f>AVERAGE([8]A!AR28,[5]A!AR28,'[6]2009'!AR28,'[7]2010'!AR28)</f>
        <v>0</v>
      </c>
      <c r="AS27" s="317">
        <f>AVERAGE([8]A!AS28,[5]A!AS28,'[6]2009'!AS28,'[7]2010'!AS28)</f>
        <v>0</v>
      </c>
      <c r="AT27" s="317">
        <f>AVERAGE([8]A!AT28,[5]A!AT28,'[6]2009'!AT28,'[7]2010'!AT28)</f>
        <v>0</v>
      </c>
      <c r="AU27" s="317">
        <f>AVERAGE([8]A!AU28,[5]A!AU28,'[6]2009'!AU28,'[7]2010'!AU28)</f>
        <v>0</v>
      </c>
      <c r="AV27" s="317">
        <f>AVERAGE([8]A!AV28,[5]A!AV28,'[6]2009'!AV28,'[7]2010'!AV28)</f>
        <v>342</v>
      </c>
      <c r="AW27" s="317">
        <f>AVERAGE([8]A!AW28,[5]A!AW28,'[6]2009'!AW28,'[7]2010'!AW28)</f>
        <v>342</v>
      </c>
      <c r="AX27" s="317">
        <f>AVERAGE([8]A!AX28,[5]A!AX28,'[6]2009'!AX28,'[7]2010'!AX28)</f>
        <v>799.82999999999993</v>
      </c>
      <c r="AY27" s="317">
        <f>AVERAGE([8]A!AY28,[5]A!AY28,'[6]2009'!AY28,'[7]2010'!AY28)</f>
        <v>799.82999999999993</v>
      </c>
      <c r="AZ27" s="317">
        <f>AVERAGE([8]A!AZ28,[5]A!AZ28,'[6]2009'!AZ28,'[7]2010'!AZ28)</f>
        <v>0.17127746950059095</v>
      </c>
      <c r="BA27" s="317">
        <f>AVERAGE([8]A!BA28,[5]A!BA28,'[6]2009'!BA28,'[7]2010'!BA28)</f>
        <v>300</v>
      </c>
      <c r="BB27" s="317">
        <f>AVERAGE([8]A!BB28,[5]A!BB28,'[6]2009'!BB28,'[7]2010'!BB28)</f>
        <v>300</v>
      </c>
      <c r="BC27" s="317">
        <f>AVERAGE([8]A!BC28,[5]A!BC28,'[6]2009'!BC28,'[7]2010'!BC28)</f>
        <v>720</v>
      </c>
      <c r="BD27" s="317">
        <f>AVERAGE([8]A!BD28,[5]A!BD28,'[6]2009'!BD28,'[7]2010'!BD28)</f>
        <v>720</v>
      </c>
      <c r="BE27" s="317">
        <f>AVERAGE([8]A!BE28,[5]A!BE28,'[6]2009'!BE28,'[7]2010'!BE28)</f>
        <v>0.24666995559940799</v>
      </c>
      <c r="BF27" s="317">
        <f>AVERAGE([8]A!BF28,[5]A!BF28,'[6]2009'!BF28,'[7]2010'!BF28)</f>
        <v>375</v>
      </c>
      <c r="BG27" s="317">
        <f>AVERAGE([8]A!BG28,[5]A!BG28,'[6]2009'!BG28,'[7]2010'!BG28)</f>
        <v>375</v>
      </c>
      <c r="BH27" s="317">
        <f>AVERAGE([8]A!BH28,[5]A!BH28,'[6]2009'!BH28,'[7]2010'!BH28)</f>
        <v>932.74</v>
      </c>
      <c r="BI27" s="317">
        <f>AVERAGE([8]A!BI28,[5]A!BI28,'[6]2009'!BI28,'[7]2010'!BI28)</f>
        <v>932.74</v>
      </c>
      <c r="BJ27" s="317">
        <f>AVERAGE([8]A!BJ28,[5]A!BJ28,'[6]2009'!BJ28,'[7]2010'!BJ28)</f>
        <v>0.2519348597226701</v>
      </c>
      <c r="BK27" s="317">
        <f>AVERAGE([8]A!BK28,[5]A!BK28,'[6]2009'!BK28,'[7]2010'!BK28)</f>
        <v>666.75</v>
      </c>
      <c r="BL27" s="317">
        <f>AVERAGE([8]A!BL28,[5]A!BL28,'[6]2009'!BL28,'[7]2010'!BL28)</f>
        <v>666.75</v>
      </c>
      <c r="BM27" s="317">
        <f>AVERAGE([8]A!BM28,[5]A!BM28,'[6]2009'!BM28,'[7]2010'!BM28)</f>
        <v>1510.23</v>
      </c>
      <c r="BN27" s="317">
        <f>AVERAGE([8]A!BN28,[5]A!BN28,'[6]2009'!BN28,'[7]2010'!BN28)</f>
        <v>1510.23</v>
      </c>
      <c r="BO27" s="317">
        <f>AVERAGE([8]A!BO28,[5]A!BO28,'[6]2009'!BO28,'[7]2010'!BO28)</f>
        <v>0.1455569915383742</v>
      </c>
      <c r="BP27" s="283">
        <f>BL28/314</f>
        <v>14.139331210191083</v>
      </c>
      <c r="BS27" s="283" t="s">
        <v>230</v>
      </c>
      <c r="BT27" s="283" t="s">
        <v>218</v>
      </c>
      <c r="BU27" s="283" t="s">
        <v>231</v>
      </c>
      <c r="BX27" s="283" t="s">
        <v>230</v>
      </c>
      <c r="BY27" s="283" t="s">
        <v>218</v>
      </c>
      <c r="BZ27" s="283" t="s">
        <v>231</v>
      </c>
      <c r="CA27" s="283" t="s">
        <v>182</v>
      </c>
      <c r="DD27" s="310" t="s">
        <v>235</v>
      </c>
      <c r="DE27" s="310" t="s">
        <v>236</v>
      </c>
      <c r="DF27" s="310" t="s">
        <v>278</v>
      </c>
      <c r="DG27" s="310" t="s">
        <v>238</v>
      </c>
      <c r="DH27" s="283" t="s">
        <v>281</v>
      </c>
      <c r="DI27" s="310" t="s">
        <v>282</v>
      </c>
      <c r="DJ27" s="310" t="s">
        <v>240</v>
      </c>
      <c r="DK27" s="324" t="s">
        <v>241</v>
      </c>
      <c r="DL27" s="324" t="s">
        <v>241</v>
      </c>
      <c r="DM27" s="324" t="s">
        <v>241</v>
      </c>
      <c r="DN27" s="324" t="s">
        <v>241</v>
      </c>
      <c r="DO27" s="324" t="s">
        <v>241</v>
      </c>
      <c r="DP27" s="323">
        <v>0</v>
      </c>
      <c r="DQ27" s="323">
        <v>0</v>
      </c>
    </row>
    <row r="28" spans="1:121">
      <c r="A28" s="283" t="s">
        <v>1</v>
      </c>
      <c r="B28" s="315" t="s">
        <v>283</v>
      </c>
      <c r="C28" s="317">
        <f>AVERAGE([8]A!C29,[5]A!C29,'[6]2009'!C29,'[7]2010'!C29)</f>
        <v>1769</v>
      </c>
      <c r="D28" s="317">
        <f>AVERAGE([8]A!D29,[5]A!D29,'[6]2009'!D29,'[7]2010'!D29)</f>
        <v>1769</v>
      </c>
      <c r="E28" s="317">
        <f>AVERAGE([8]A!E29,[5]A!E29,'[6]2009'!E29,'[7]2010'!E29)</f>
        <v>640.02</v>
      </c>
      <c r="F28" s="317">
        <f>AVERAGE([8]A!F29,[5]A!F29,'[6]2009'!F29,'[7]2010'!F29)</f>
        <v>640.02</v>
      </c>
      <c r="G28" s="317">
        <f>AVERAGE([8]A!G29,[5]A!G29,'[6]2009'!G29,'[7]2010'!G29)</f>
        <v>1.1663018539518448</v>
      </c>
      <c r="H28" s="317">
        <f>AVERAGE([8]A!H29,[5]A!H29,'[6]2009'!H29,'[7]2010'!H29)</f>
        <v>1375</v>
      </c>
      <c r="I28" s="317">
        <f>AVERAGE([8]A!I29,[5]A!I29,'[6]2009'!I29,'[7]2010'!I29)</f>
        <v>1375</v>
      </c>
      <c r="J28" s="317">
        <f>AVERAGE([8]A!J29,[5]A!J29,'[6]2009'!J29,'[7]2010'!J29)</f>
        <v>497.48</v>
      </c>
      <c r="K28" s="317">
        <f>AVERAGE([8]A!K29,[5]A!K29,'[6]2009'!K29,'[7]2010'!K29)</f>
        <v>497.48</v>
      </c>
      <c r="L28" s="317">
        <f>AVERAGE([8]A!L29,[5]A!L29,'[6]2009'!L29,'[7]2010'!L29)</f>
        <v>1.0274074959650905</v>
      </c>
      <c r="M28" s="317">
        <f>AVERAGE([8]A!M29,[5]A!M29,'[6]2009'!M29,'[7]2010'!M29)</f>
        <v>1705</v>
      </c>
      <c r="N28" s="317">
        <f>AVERAGE([8]A!N29,[5]A!N29,'[6]2009'!N29,'[7]2010'!N29)</f>
        <v>1705</v>
      </c>
      <c r="O28" s="317">
        <f>AVERAGE([8]A!O29,[5]A!O29,'[6]2009'!O29,'[7]2010'!O29)</f>
        <v>615.51</v>
      </c>
      <c r="P28" s="317">
        <f>AVERAGE([8]A!P29,[5]A!P29,'[6]2009'!P29,'[7]2010'!P29)</f>
        <v>615.51</v>
      </c>
      <c r="Q28" s="317">
        <f>AVERAGE([8]A!Q29,[5]A!Q29,'[6]2009'!Q29,'[7]2010'!Q29)</f>
        <v>1.1534922739696372</v>
      </c>
      <c r="R28" s="317">
        <f>AVERAGE([8]A!R29,[5]A!R29,'[6]2009'!R29,'[7]2010'!R29)</f>
        <v>1650</v>
      </c>
      <c r="S28" s="317">
        <f>AVERAGE([8]A!S29,[5]A!S29,'[6]2009'!S29,'[7]2010'!S29)</f>
        <v>1650</v>
      </c>
      <c r="T28" s="317">
        <f>AVERAGE([8]A!T29,[5]A!T29,'[6]2009'!T29,'[7]2010'!T29)</f>
        <v>596.97</v>
      </c>
      <c r="U28" s="317">
        <f>AVERAGE([8]A!U29,[5]A!U29,'[6]2009'!U29,'[7]2010'!U29)</f>
        <v>596.97</v>
      </c>
      <c r="V28" s="317">
        <f>AVERAGE([8]A!V29,[5]A!V29,'[6]2009'!V29,'[7]2010'!V29)</f>
        <v>1.2834873518155512</v>
      </c>
      <c r="W28" s="317">
        <f>AVERAGE([8]A!W29,[5]A!W29,'[6]2009'!W29,'[7]2010'!W29)</f>
        <v>1430</v>
      </c>
      <c r="X28" s="317">
        <f>AVERAGE([8]A!X29,[5]A!X29,'[6]2009'!X29,'[7]2010'!X29)</f>
        <v>1430</v>
      </c>
      <c r="Y28" s="317">
        <f>AVERAGE([8]A!Y29,[5]A!Y29,'[6]2009'!Y29,'[7]2010'!Y29)</f>
        <v>516.52</v>
      </c>
      <c r="Z28" s="317">
        <f>AVERAGE([8]A!Z29,[5]A!Z29,'[6]2009'!Z29,'[7]2010'!Z29)</f>
        <v>516.52</v>
      </c>
      <c r="AA28" s="317">
        <f>AVERAGE([8]A!AA29,[5]A!AA29,'[6]2009'!AA29,'[7]2010'!AA29)</f>
        <v>0.92539863325740324</v>
      </c>
      <c r="AB28" s="317">
        <f>AVERAGE([8]A!AB29,[5]A!AB29,'[6]2009'!AB29,'[7]2010'!AB29)</f>
        <v>1375</v>
      </c>
      <c r="AC28" s="317">
        <f>AVERAGE([8]A!AC29,[5]A!AC29,'[6]2009'!AC29,'[7]2010'!AC29)</f>
        <v>1375</v>
      </c>
      <c r="AD28" s="317">
        <f>AVERAGE([8]A!AD29,[5]A!AD29,'[6]2009'!AD29,'[7]2010'!AD29)</f>
        <v>496.65</v>
      </c>
      <c r="AE28" s="317">
        <f>AVERAGE([8]A!AE29,[5]A!AE29,'[6]2009'!AE29,'[7]2010'!AE29)</f>
        <v>496.65</v>
      </c>
      <c r="AF28" s="317">
        <f>AVERAGE([8]A!AF29,[5]A!AF29,'[6]2009'!AF29,'[7]2010'!AF29)</f>
        <v>0.82937245156464878</v>
      </c>
      <c r="AG28" s="317">
        <f>AVERAGE([8]A!AG29,[5]A!AG29,'[6]2009'!AG29,'[7]2010'!AG29)</f>
        <v>1320</v>
      </c>
      <c r="AH28" s="317">
        <f>AVERAGE([8]A!AH29,[5]A!AH29,'[6]2009'!AH29,'[7]2010'!AH29)</f>
        <v>1320</v>
      </c>
      <c r="AI28" s="317">
        <f>AVERAGE([8]A!AI29,[5]A!AI29,'[6]2009'!AI29,'[7]2010'!AI29)</f>
        <v>462.92</v>
      </c>
      <c r="AJ28" s="317">
        <f>AVERAGE([8]A!AJ29,[5]A!AJ29,'[6]2009'!AJ29,'[7]2010'!AJ29)</f>
        <v>462.92</v>
      </c>
      <c r="AK28" s="317">
        <f>AVERAGE([8]A!AK29,[5]A!AK29,'[6]2009'!AK29,'[7]2010'!AK29)</f>
        <v>0.90230497908292995</v>
      </c>
      <c r="AL28" s="317">
        <f>AVERAGE([8]A!AL29,[5]A!AL29,'[6]2009'!AL29,'[7]2010'!AL29)</f>
        <v>1375</v>
      </c>
      <c r="AM28" s="317">
        <f>AVERAGE([8]A!AM29,[5]A!AM29,'[6]2009'!AM29,'[7]2010'!AM29)</f>
        <v>1375</v>
      </c>
      <c r="AN28" s="317">
        <f>AVERAGE([8]A!AN29,[5]A!AN29,'[6]2009'!AN29,'[7]2010'!AN29)</f>
        <v>482.21</v>
      </c>
      <c r="AO28" s="317">
        <f>AVERAGE([8]A!AO29,[5]A!AO29,'[6]2009'!AO29,'[7]2010'!AO29)</f>
        <v>482.21</v>
      </c>
      <c r="AP28" s="317">
        <f>AVERAGE([8]A!AP29,[5]A!AP29,'[6]2009'!AP29,'[7]2010'!AP29)</f>
        <v>0.79706448396596108</v>
      </c>
      <c r="AQ28" s="317">
        <f>AVERAGE([8]A!AQ29,[5]A!AQ29,'[6]2009'!AQ29,'[7]2010'!AQ29)</f>
        <v>1320</v>
      </c>
      <c r="AR28" s="317">
        <f>AVERAGE([8]A!AR29,[5]A!AR29,'[6]2009'!AR29,'[7]2010'!AR29)</f>
        <v>1320</v>
      </c>
      <c r="AS28" s="317">
        <f>AVERAGE([8]A!AS29,[5]A!AS29,'[6]2009'!AS29,'[7]2010'!AS29)</f>
        <v>456.32</v>
      </c>
      <c r="AT28" s="317">
        <f>AVERAGE([8]A!AT29,[5]A!AT29,'[6]2009'!AT29,'[7]2010'!AT29)</f>
        <v>456.32</v>
      </c>
      <c r="AU28" s="317">
        <f>AVERAGE([8]A!AU29,[5]A!AU29,'[6]2009'!AU29,'[7]2010'!AU29)</f>
        <v>0.81918379505510874</v>
      </c>
      <c r="AV28" s="317">
        <f>AVERAGE([8]A!AV29,[5]A!AV29,'[6]2009'!AV29,'[7]2010'!AV29)</f>
        <v>1485</v>
      </c>
      <c r="AW28" s="317">
        <f>AVERAGE([8]A!AW29,[5]A!AW29,'[6]2009'!AW29,'[7]2010'!AW29)</f>
        <v>1485</v>
      </c>
      <c r="AX28" s="317">
        <f>AVERAGE([8]A!AX29,[5]A!AX29,'[6]2009'!AX29,'[7]2010'!AX29)</f>
        <v>509.65</v>
      </c>
      <c r="AY28" s="317">
        <f>AVERAGE([8]A!AY29,[5]A!AY29,'[6]2009'!AY29,'[7]2010'!AY29)</f>
        <v>509.65</v>
      </c>
      <c r="AZ28" s="317">
        <f>AVERAGE([8]A!AZ29,[5]A!AZ29,'[6]2009'!AZ29,'[7]2010'!AZ29)</f>
        <v>0.74370480177888176</v>
      </c>
      <c r="BA28" s="317">
        <f>AVERAGE([8]A!BA29,[5]A!BA29,'[6]2009'!BA29,'[7]2010'!BA29)</f>
        <v>1155</v>
      </c>
      <c r="BB28" s="317">
        <f>AVERAGE([8]A!BB29,[5]A!BB29,'[6]2009'!BB29,'[7]2010'!BB29)</f>
        <v>1155</v>
      </c>
      <c r="BC28" s="317">
        <f>AVERAGE([8]A!BC29,[5]A!BC29,'[6]2009'!BC29,'[7]2010'!BC29)</f>
        <v>396.86</v>
      </c>
      <c r="BD28" s="317">
        <f>AVERAGE([8]A!BD29,[5]A!BD29,'[6]2009'!BD29,'[7]2010'!BD29)</f>
        <v>396.86</v>
      </c>
      <c r="BE28" s="317">
        <f>AVERAGE([8]A!BE29,[5]A!BE29,'[6]2009'!BE29,'[7]2010'!BE29)</f>
        <v>0.94967932905772079</v>
      </c>
      <c r="BF28" s="317">
        <f>AVERAGE([8]A!BF29,[5]A!BF29,'[6]2009'!BF29,'[7]2010'!BF29)</f>
        <v>1800</v>
      </c>
      <c r="BG28" s="317">
        <f>AVERAGE([8]A!BG29,[5]A!BG29,'[6]2009'!BG29,'[7]2010'!BG29)</f>
        <v>1800</v>
      </c>
      <c r="BH28" s="317">
        <f>AVERAGE([8]A!BH29,[5]A!BH29,'[6]2009'!BH29,'[7]2010'!BH29)</f>
        <v>615.96</v>
      </c>
      <c r="BI28" s="317">
        <f>AVERAGE([8]A!BI29,[5]A!BI29,'[6]2009'!BI29,'[7]2010'!BI29)</f>
        <v>615.96</v>
      </c>
      <c r="BJ28" s="317">
        <f>AVERAGE([8]A!BJ29,[5]A!BJ29,'[6]2009'!BJ29,'[7]2010'!BJ29)</f>
        <v>1.2092873266688164</v>
      </c>
      <c r="BK28" s="317">
        <f>AVERAGE([8]A!BK29,[5]A!BK29,'[6]2009'!BK29,'[7]2010'!BK29)</f>
        <v>4439.75</v>
      </c>
      <c r="BL28" s="317">
        <f>AVERAGE([8]A!BL29,[5]A!BL29,'[6]2009'!BL29,'[7]2010'!BL29)</f>
        <v>4439.75</v>
      </c>
      <c r="BM28" s="317">
        <f>AVERAGE([8]A!BM29,[5]A!BM29,'[6]2009'!BM29,'[7]2010'!BM29)</f>
        <v>1571.7674999999997</v>
      </c>
      <c r="BN28" s="317">
        <f>AVERAGE([8]A!BN29,[5]A!BN29,'[6]2009'!BN29,'[7]2010'!BN29)</f>
        <v>1571.7674999999997</v>
      </c>
      <c r="BO28" s="317">
        <f>AVERAGE([8]A!BO29,[5]A!BO29,'[6]2009'!BO29,'[7]2010'!BO29)</f>
        <v>0.96923382554555215</v>
      </c>
      <c r="BP28" s="283" t="s">
        <v>233</v>
      </c>
      <c r="BS28" s="323">
        <f>AVERAGE(AH98,AM98,AR98)</f>
        <v>17.658148148148147</v>
      </c>
      <c r="BT28" s="323">
        <f>AVERAGE(AI98,AN98,AS98)</f>
        <v>16.435555555555556</v>
      </c>
      <c r="BU28" s="283">
        <v>12.8</v>
      </c>
      <c r="BX28" s="323">
        <f>AVERAGE(+AW98,+BB98,+BG98)</f>
        <v>22.560592592592588</v>
      </c>
      <c r="BY28" s="323">
        <f>AVERAGE(+AX98,+BC98,+BH98)</f>
        <v>30.20888888888889</v>
      </c>
      <c r="BZ28" s="323">
        <f>AVERAGE(+AY98,+BD98,+BI98)</f>
        <v>28.553333333333331</v>
      </c>
      <c r="CA28" s="283" t="s">
        <v>182</v>
      </c>
      <c r="DJ28" s="310" t="s">
        <v>244</v>
      </c>
      <c r="DK28" s="324" t="s">
        <v>241</v>
      </c>
      <c r="DL28" s="324" t="s">
        <v>241</v>
      </c>
      <c r="DM28" s="324" t="s">
        <v>241</v>
      </c>
      <c r="DN28" s="324" t="s">
        <v>241</v>
      </c>
      <c r="DO28" s="324" t="s">
        <v>241</v>
      </c>
      <c r="DP28" s="323">
        <v>0</v>
      </c>
      <c r="DQ28" s="323">
        <v>0</v>
      </c>
    </row>
    <row r="29" spans="1:121">
      <c r="A29" s="283" t="s">
        <v>1</v>
      </c>
      <c r="B29" s="283" t="s">
        <v>284</v>
      </c>
      <c r="C29" s="284">
        <f>SUM(C13:C28)</f>
        <v>227886.48371120161</v>
      </c>
      <c r="D29" s="288">
        <f>SUM(D13:D28)</f>
        <v>220249.66666666669</v>
      </c>
      <c r="E29" s="326">
        <f>SUM(E13:E28)</f>
        <v>56121.627542938782</v>
      </c>
      <c r="F29" s="326">
        <f>SUM(F13:F28)</f>
        <v>43010.98</v>
      </c>
      <c r="G29" s="327">
        <f>D29/$E$34</f>
        <v>664.80430626823625</v>
      </c>
      <c r="H29" s="284">
        <f>SUM(H13:H28)</f>
        <v>163297.63870951851</v>
      </c>
      <c r="I29" s="288">
        <f>SUM(I13:I28)</f>
        <v>197211.66666666669</v>
      </c>
      <c r="J29" s="326">
        <f>SUM(J13:J28)</f>
        <v>39190.095968942325</v>
      </c>
      <c r="K29" s="326">
        <f>SUM(K13:K28)</f>
        <v>41917.663333333345</v>
      </c>
      <c r="L29" s="328">
        <f>I29/$J$34</f>
        <v>619.50660202510983</v>
      </c>
      <c r="M29" s="329">
        <f>SUM(M13:M28)</f>
        <v>203730.71368786122</v>
      </c>
      <c r="N29" s="330">
        <f>SUM(N13:N28)</f>
        <v>234914</v>
      </c>
      <c r="O29" s="326">
        <f>SUM(O13:O28)</f>
        <v>56773.149574495175</v>
      </c>
      <c r="P29" s="326">
        <f>SUM(P13:P28)</f>
        <v>57000.293333333342</v>
      </c>
      <c r="Q29" s="327">
        <f>N29/$O$34</f>
        <v>629.88068105644186</v>
      </c>
      <c r="R29" s="284">
        <f>SUM(R13:R28)</f>
        <v>205535.98830412328</v>
      </c>
      <c r="S29" s="288">
        <f>SUM(S13:S28)</f>
        <v>200964</v>
      </c>
      <c r="T29" s="326">
        <f>SUM(T13:T28)</f>
        <v>54774.41750373879</v>
      </c>
      <c r="U29" s="326">
        <f>SUM(U13:U28)</f>
        <v>42408.26999999999</v>
      </c>
      <c r="V29" s="327">
        <f>S29/$T$34</f>
        <v>565.69739619985921</v>
      </c>
      <c r="W29" s="284">
        <f>SUM(W13:W28)</f>
        <v>212644.93374357215</v>
      </c>
      <c r="X29" s="288">
        <f>SUM(X13:X28)</f>
        <v>267950.33333333337</v>
      </c>
      <c r="Y29" s="326">
        <f>SUM(Y13:Y28)</f>
        <v>62792.48969423167</v>
      </c>
      <c r="Z29" s="326">
        <f>SUM(Z13:Z28)</f>
        <v>58991.223333333321</v>
      </c>
      <c r="AA29" s="327">
        <f>X29/Y34</f>
        <v>723.4731347313475</v>
      </c>
      <c r="AB29" s="284">
        <f>SUM(AB13:AB28)</f>
        <v>230768.77280112176</v>
      </c>
      <c r="AC29" s="288">
        <f>SUM(AC13:AC28)</f>
        <v>241942.66666666663</v>
      </c>
      <c r="AD29" s="326">
        <f>SUM(AD13:AD28)</f>
        <v>56106.252121553509</v>
      </c>
      <c r="AE29" s="326">
        <f>SUM(AE13:AE28)</f>
        <v>54082.156666666662</v>
      </c>
      <c r="AF29" s="327">
        <f>AC29/AD34</f>
        <v>605.13906489695182</v>
      </c>
      <c r="AG29" s="284">
        <f>SUM(AG13:AG28)</f>
        <v>298683.04037904477</v>
      </c>
      <c r="AH29" s="288">
        <f>SUM(AH13:AH28)</f>
        <v>250707.00000000003</v>
      </c>
      <c r="AI29" s="326">
        <f>SUM(AI13:AI28)</f>
        <v>76173.166628205116</v>
      </c>
      <c r="AJ29" s="326">
        <f>SUM(AJ13:AJ28)</f>
        <v>55317.293333333328</v>
      </c>
      <c r="AK29" s="327">
        <f>AH29/AI34</f>
        <v>615.08599187104915</v>
      </c>
      <c r="AL29" s="284">
        <f>SUM(AL13:AL28)</f>
        <v>319968.69455992198</v>
      </c>
      <c r="AM29" s="288">
        <f>SUM(AM13:AM28)</f>
        <v>277057</v>
      </c>
      <c r="AN29" s="326">
        <f>SUM(AN13:AN28)</f>
        <v>73216.07486928397</v>
      </c>
      <c r="AO29" s="326">
        <f>SUM(AO13:AO28)</f>
        <v>53827.516666666656</v>
      </c>
      <c r="AP29" s="327">
        <f>AM29/AN34</f>
        <v>627.94339850714687</v>
      </c>
      <c r="AQ29" s="284">
        <f>SUM(AQ13:AQ28)</f>
        <v>286358.61559673474</v>
      </c>
      <c r="AR29" s="288">
        <f>SUM(AR13:AR28)</f>
        <v>218766.33333333334</v>
      </c>
      <c r="AS29" s="326">
        <f>SUM(AS13:AS28)</f>
        <v>84959.213610858103</v>
      </c>
      <c r="AT29" s="326">
        <f>SUM(AT13:AT28)</f>
        <v>46147.94</v>
      </c>
      <c r="AU29" s="327">
        <f>AR29/AS34</f>
        <v>557.37592145938788</v>
      </c>
      <c r="AV29" s="284">
        <f>SUM(AV13:AV28)</f>
        <v>224553.12188705485</v>
      </c>
      <c r="AW29" s="288">
        <f>SUM(AW13:AW28)</f>
        <v>213934.33333333331</v>
      </c>
      <c r="AX29" s="326">
        <f>SUM(AX13:AX28)</f>
        <v>54301.25140087097</v>
      </c>
      <c r="AY29" s="326">
        <f>SUM(AY13:AY28)</f>
        <v>45433.37000000001</v>
      </c>
      <c r="AZ29" s="327">
        <f>AW29/AX34</f>
        <v>529.63656769380577</v>
      </c>
      <c r="BA29" s="284">
        <f>SUM(BA13:BA28)</f>
        <v>214286.99994206114</v>
      </c>
      <c r="BB29" s="288">
        <f>SUM(BB13:BB28)</f>
        <v>209457.00000000003</v>
      </c>
      <c r="BC29" s="326">
        <f>SUM(BC13:BC28)</f>
        <v>60049.238375267181</v>
      </c>
      <c r="BD29" s="326">
        <f>SUM(BD13:BD28)</f>
        <v>50762.046666666669</v>
      </c>
      <c r="BE29" s="327">
        <f>BB29/BC34</f>
        <v>599.20185375901156</v>
      </c>
      <c r="BF29" s="284">
        <f>SUM(BF13:BF28)</f>
        <v>202105.08072869023</v>
      </c>
      <c r="BG29" s="288">
        <f>SUM(BG13:BG28)</f>
        <v>240890.33333333334</v>
      </c>
      <c r="BH29" s="326">
        <f>SUM(BH13:BH28)</f>
        <v>48974.343097951802</v>
      </c>
      <c r="BI29" s="326">
        <f>SUM(BI13:BI28)</f>
        <v>48751.919999999991</v>
      </c>
      <c r="BJ29" s="327">
        <f>BG29/BH34</f>
        <v>709.02927671598445</v>
      </c>
      <c r="BK29" s="284">
        <f>SUM(BK13:BK28)</f>
        <v>2774500.5840509059</v>
      </c>
      <c r="BL29" s="288">
        <f>SUM(BL13:BL28)</f>
        <v>2758724.8333333344</v>
      </c>
      <c r="BM29" s="326">
        <f>SUM(BM13:BM28)</f>
        <v>714185.32788833731</v>
      </c>
      <c r="BN29" s="326">
        <f>SUM(BN13:BN28)</f>
        <v>588404.68083333317</v>
      </c>
      <c r="BO29" s="328">
        <f>BL29/BM34</f>
        <v>691.85015858048337</v>
      </c>
      <c r="BP29" s="283" t="s">
        <v>243</v>
      </c>
      <c r="BS29" s="283">
        <f t="shared" ref="BS29:BU30" si="2">SUM(AH99+AM99+AR99)</f>
        <v>75541</v>
      </c>
      <c r="BT29" s="283">
        <f t="shared" si="2"/>
        <v>64603.87</v>
      </c>
      <c r="BU29" s="283">
        <f t="shared" si="2"/>
        <v>47222.473333333335</v>
      </c>
      <c r="BX29" s="323">
        <f t="shared" ref="BX29:BZ30" si="3">SUM(+AW99,+BB99,+BG99)</f>
        <v>64102</v>
      </c>
      <c r="BY29" s="323">
        <f t="shared" si="3"/>
        <v>33116.286666666667</v>
      </c>
      <c r="BZ29" s="323">
        <f t="shared" si="3"/>
        <v>23316.49</v>
      </c>
      <c r="CA29" s="283" t="s">
        <v>182</v>
      </c>
      <c r="DD29" s="310" t="s">
        <v>235</v>
      </c>
      <c r="DE29" s="310" t="s">
        <v>236</v>
      </c>
      <c r="DF29" s="310" t="s">
        <v>285</v>
      </c>
      <c r="DG29" s="310" t="s">
        <v>238</v>
      </c>
      <c r="DH29" s="283" t="s">
        <v>286</v>
      </c>
      <c r="DI29" s="310" t="s">
        <v>287</v>
      </c>
      <c r="DJ29" s="310" t="s">
        <v>240</v>
      </c>
      <c r="DK29" s="324" t="s">
        <v>241</v>
      </c>
      <c r="DL29" s="324" t="s">
        <v>241</v>
      </c>
      <c r="DM29" s="324" t="s">
        <v>241</v>
      </c>
      <c r="DN29" s="324" t="s">
        <v>241</v>
      </c>
      <c r="DO29" s="324" t="s">
        <v>241</v>
      </c>
      <c r="DP29" s="323">
        <f>$D240</f>
        <v>0</v>
      </c>
      <c r="DQ29" s="323">
        <f>$H240</f>
        <v>0</v>
      </c>
    </row>
    <row r="30" spans="1:121">
      <c r="A30" s="283" t="s">
        <v>1</v>
      </c>
      <c r="P30" s="326"/>
      <c r="AT30" s="326"/>
      <c r="BP30" s="283" t="s">
        <v>246</v>
      </c>
      <c r="BS30" s="283">
        <f t="shared" si="2"/>
        <v>4913.9734701254356</v>
      </c>
      <c r="BT30" s="283">
        <f t="shared" si="2"/>
        <v>4401.9726666666666</v>
      </c>
      <c r="BU30" s="283">
        <f t="shared" si="2"/>
        <v>4500.6559999999999</v>
      </c>
      <c r="BX30" s="323">
        <f t="shared" si="3"/>
        <v>3798.5733979457514</v>
      </c>
      <c r="BY30" s="323">
        <f t="shared" si="3"/>
        <v>3313.777333333333</v>
      </c>
      <c r="BZ30" s="323">
        <f t="shared" si="3"/>
        <v>3558.6884056868257</v>
      </c>
      <c r="CA30" s="283" t="s">
        <v>182</v>
      </c>
      <c r="CW30" s="294" t="s">
        <v>288</v>
      </c>
      <c r="CX30" s="283" t="s">
        <v>289</v>
      </c>
      <c r="DJ30" s="310" t="s">
        <v>244</v>
      </c>
      <c r="DK30" s="324" t="s">
        <v>241</v>
      </c>
      <c r="DL30" s="324" t="s">
        <v>241</v>
      </c>
      <c r="DM30" s="324" t="s">
        <v>241</v>
      </c>
      <c r="DN30" s="324" t="s">
        <v>241</v>
      </c>
      <c r="DO30" s="324" t="s">
        <v>241</v>
      </c>
      <c r="DP30" s="323">
        <f>$C240</f>
        <v>0</v>
      </c>
      <c r="DQ30" s="323">
        <f>$G240</f>
        <v>0</v>
      </c>
    </row>
    <row r="31" spans="1:121">
      <c r="A31" s="283" t="s">
        <v>1</v>
      </c>
      <c r="D31" s="305" t="s">
        <v>230</v>
      </c>
      <c r="E31" s="306" t="s">
        <v>218</v>
      </c>
      <c r="F31" s="306" t="s">
        <v>231</v>
      </c>
      <c r="I31" s="305" t="s">
        <v>230</v>
      </c>
      <c r="J31" s="306" t="s">
        <v>218</v>
      </c>
      <c r="K31" s="306" t="s">
        <v>231</v>
      </c>
      <c r="N31" s="305" t="s">
        <v>230</v>
      </c>
      <c r="O31" s="306" t="s">
        <v>218</v>
      </c>
      <c r="P31" s="306" t="s">
        <v>231</v>
      </c>
      <c r="S31" s="305" t="s">
        <v>230</v>
      </c>
      <c r="T31" s="306" t="s">
        <v>218</v>
      </c>
      <c r="U31" s="306" t="s">
        <v>231</v>
      </c>
      <c r="X31" s="305" t="s">
        <v>230</v>
      </c>
      <c r="Y31" s="306" t="s">
        <v>218</v>
      </c>
      <c r="Z31" s="306" t="s">
        <v>231</v>
      </c>
      <c r="AC31" s="305" t="s">
        <v>230</v>
      </c>
      <c r="AD31" s="306" t="s">
        <v>218</v>
      </c>
      <c r="AE31" s="306" t="s">
        <v>231</v>
      </c>
      <c r="AH31" s="305" t="s">
        <v>230</v>
      </c>
      <c r="AI31" s="306" t="s">
        <v>218</v>
      </c>
      <c r="AJ31" s="306" t="s">
        <v>231</v>
      </c>
      <c r="AM31" s="305" t="s">
        <v>230</v>
      </c>
      <c r="AN31" s="306" t="s">
        <v>218</v>
      </c>
      <c r="AO31" s="306" t="s">
        <v>231</v>
      </c>
      <c r="AR31" s="305" t="s">
        <v>230</v>
      </c>
      <c r="AS31" s="306" t="s">
        <v>218</v>
      </c>
      <c r="AT31" s="306" t="s">
        <v>231</v>
      </c>
      <c r="AW31" s="305" t="s">
        <v>230</v>
      </c>
      <c r="AX31" s="306" t="s">
        <v>218</v>
      </c>
      <c r="AY31" s="306" t="s">
        <v>231</v>
      </c>
      <c r="BB31" s="305" t="s">
        <v>230</v>
      </c>
      <c r="BC31" s="306" t="s">
        <v>218</v>
      </c>
      <c r="BD31" s="306" t="s">
        <v>231</v>
      </c>
      <c r="BG31" s="305" t="s">
        <v>230</v>
      </c>
      <c r="BH31" s="306" t="s">
        <v>218</v>
      </c>
      <c r="BI31" s="306" t="s">
        <v>231</v>
      </c>
      <c r="BL31" s="305" t="s">
        <v>230</v>
      </c>
      <c r="BM31" s="306" t="s">
        <v>218</v>
      </c>
      <c r="BN31" s="306" t="s">
        <v>231</v>
      </c>
      <c r="BP31" s="283" t="s">
        <v>252</v>
      </c>
      <c r="BS31" s="323">
        <f>SUM(BS33/BS30)</f>
        <v>133.35675159593055</v>
      </c>
      <c r="BT31" s="323">
        <f>SUM(BT33/BT30)</f>
        <v>114.39552403702643</v>
      </c>
      <c r="BU31" s="323">
        <f>SUM(BU33/BU30)</f>
        <v>37.672508185473404</v>
      </c>
      <c r="BX31" s="323">
        <f>SUM(BX33/BX30)</f>
        <v>121.58364919256509</v>
      </c>
      <c r="BY31" s="323">
        <f>SUM(BY33/BY30)</f>
        <v>121.35598630042736</v>
      </c>
      <c r="BZ31" s="323">
        <f>SUM(BZ33/BZ30)</f>
        <v>34.756063442460523</v>
      </c>
      <c r="CA31" s="283" t="s">
        <v>182</v>
      </c>
      <c r="DD31" s="310" t="s">
        <v>235</v>
      </c>
      <c r="DE31" s="310" t="s">
        <v>236</v>
      </c>
      <c r="DF31" s="310" t="s">
        <v>290</v>
      </c>
      <c r="DG31" s="310" t="s">
        <v>238</v>
      </c>
      <c r="DH31" s="283" t="s">
        <v>291</v>
      </c>
      <c r="DI31" s="310" t="s">
        <v>292</v>
      </c>
      <c r="DJ31" s="310" t="s">
        <v>240</v>
      </c>
      <c r="DK31" s="324" t="s">
        <v>241</v>
      </c>
      <c r="DL31" s="324" t="s">
        <v>241</v>
      </c>
      <c r="DM31" s="324" t="s">
        <v>241</v>
      </c>
      <c r="DN31" s="324" t="s">
        <v>241</v>
      </c>
      <c r="DO31" s="324" t="s">
        <v>241</v>
      </c>
      <c r="DP31" s="323">
        <v>0</v>
      </c>
      <c r="DQ31" s="323">
        <v>0</v>
      </c>
    </row>
    <row r="32" spans="1:121" s="331" customFormat="1">
      <c r="A32" s="331" t="s">
        <v>1</v>
      </c>
      <c r="B32" s="331" t="s">
        <v>293</v>
      </c>
      <c r="D32" s="317">
        <f>AVERAGE([5]A!D33,'[6]2009'!D33,'[7]2010'!D33)</f>
        <v>11.319999999999999</v>
      </c>
      <c r="E32" s="317">
        <f>AVERAGE([5]A!E33,'[6]2009'!E33,'[7]2010'!E33)</f>
        <v>11.44</v>
      </c>
      <c r="F32" s="317">
        <f>AVERAGE([5]A!F33,'[6]2009'!F33,'[7]2010'!F33)</f>
        <v>7.3033333333333337</v>
      </c>
      <c r="G32" s="332"/>
      <c r="H32" s="291"/>
      <c r="I32" s="317">
        <f>AVERAGE([5]A!I33,'[6]2009'!I33,'[7]2010'!I33)</f>
        <v>17.616444444444443</v>
      </c>
      <c r="J32" s="317">
        <f>AVERAGE([5]A!J33,'[6]2009'!J33,'[7]2010'!J33)</f>
        <v>9.8366666666666678</v>
      </c>
      <c r="K32" s="317">
        <f>AVERAGE([5]A!K33,'[6]2009'!K33,'[7]2010'!K33)</f>
        <v>12.676666666666668</v>
      </c>
      <c r="L32" s="333"/>
      <c r="M32" s="334"/>
      <c r="N32" s="317">
        <f>AVERAGE([5]A!N33,'[6]2009'!N33,'[7]2010'!N33)</f>
        <v>24.645555555555557</v>
      </c>
      <c r="O32" s="317">
        <f>AVERAGE([5]A!O33,'[6]2009'!O33,'[7]2010'!O33)</f>
        <v>14.816666666666665</v>
      </c>
      <c r="P32" s="317">
        <f>AVERAGE([5]A!P33,'[6]2009'!P33,'[7]2010'!P33)</f>
        <v>15.016666666666666</v>
      </c>
      <c r="Q32" s="332"/>
      <c r="R32" s="335"/>
      <c r="S32" s="317">
        <f>AVERAGE([5]A!S33,'[6]2009'!S33,'[7]2010'!S33)</f>
        <v>20.38688888888889</v>
      </c>
      <c r="T32" s="317">
        <f>AVERAGE([5]A!T33,'[6]2009'!T33,'[7]2010'!T33)</f>
        <v>14.813333333333333</v>
      </c>
      <c r="U32" s="317">
        <f>AVERAGE([5]A!U33,'[6]2009'!U33,'[7]2010'!U33)</f>
        <v>12.956666666666669</v>
      </c>
      <c r="V32" s="332"/>
      <c r="W32" s="335"/>
      <c r="X32" s="317">
        <f>AVERAGE([5]A!X33,'[6]2009'!X33,'[7]2010'!X33)</f>
        <v>21.342222222222222</v>
      </c>
      <c r="Y32" s="317">
        <f>AVERAGE([5]A!Y33,'[6]2009'!Y33,'[7]2010'!Y33)</f>
        <v>76.366666666666674</v>
      </c>
      <c r="Z32" s="317">
        <f>AVERAGE([5]A!Z33,'[6]2009'!Z33,'[7]2010'!Z33)</f>
        <v>55.216666666666669</v>
      </c>
      <c r="AA32" s="332"/>
      <c r="AB32" s="335"/>
      <c r="AC32" s="317">
        <f>AVERAGE([5]A!AC33,'[6]2009'!AC33,'[7]2010'!AC33)</f>
        <v>23.230888888888888</v>
      </c>
      <c r="AD32" s="317">
        <f>AVERAGE([5]A!AD33,'[6]2009'!AD33,'[7]2010'!AD33)</f>
        <v>14.299999999999999</v>
      </c>
      <c r="AE32" s="317">
        <f>AVERAGE([5]A!AE33,'[6]2009'!AE33,'[7]2010'!AE33)</f>
        <v>12.21</v>
      </c>
      <c r="AF32" s="332"/>
      <c r="AG32" s="335"/>
      <c r="AH32" s="317">
        <f>AVERAGE([5]A!AH33,'[6]2009'!AH33,'[7]2010'!AH33)</f>
        <v>12.322222222222221</v>
      </c>
      <c r="AI32" s="317">
        <f>AVERAGE([5]A!AI33,'[6]2009'!AI33,'[7]2010'!AI33)</f>
        <v>9.76</v>
      </c>
      <c r="AJ32" s="317">
        <f>AVERAGE([5]A!AJ33,'[6]2009'!AJ33,'[7]2010'!AJ33)</f>
        <v>9.5299999999999994</v>
      </c>
      <c r="AK32" s="332"/>
      <c r="AL32" s="335"/>
      <c r="AM32" s="317">
        <f>AVERAGE([5]A!AM33,'[6]2009'!AM33,'[7]2010'!AM33)</f>
        <v>11.125333333333336</v>
      </c>
      <c r="AN32" s="317">
        <f>AVERAGE([5]A!AN33,'[6]2009'!AN33,'[7]2010'!AN33)</f>
        <v>14.316666666666668</v>
      </c>
      <c r="AO32" s="317">
        <f>AVERAGE([5]A!AO33,'[6]2009'!AO33,'[7]2010'!AO33)</f>
        <v>13.633333333333333</v>
      </c>
      <c r="AP32" s="332"/>
      <c r="AQ32" s="335"/>
      <c r="AR32" s="317">
        <f>AVERAGE([5]A!AR33,'[6]2009'!AR33,'[7]2010'!AR33)</f>
        <v>11.518333333333333</v>
      </c>
      <c r="AS32" s="317">
        <f>AVERAGE([5]A!AS33,'[6]2009'!AS33,'[7]2010'!AS33)</f>
        <v>7.21</v>
      </c>
      <c r="AT32" s="317">
        <f>AVERAGE([5]A!AT33,'[6]2009'!AT33,'[7]2010'!AT33)</f>
        <v>7.32</v>
      </c>
      <c r="AU32" s="332"/>
      <c r="AV32" s="335"/>
      <c r="AW32" s="317">
        <f>AVERAGE([5]A!AW33,'[6]2009'!AW33,'[7]2010'!AW33)</f>
        <v>16.299555555555553</v>
      </c>
      <c r="AX32" s="317">
        <f>AVERAGE([5]A!AX33,'[6]2009'!AX33,'[7]2010'!AX33)</f>
        <v>6.043333333333333</v>
      </c>
      <c r="AY32" s="317">
        <f>AVERAGE([5]A!AY33,'[6]2009'!AY33,'[7]2010'!AY33)</f>
        <v>8.7733333333333334</v>
      </c>
      <c r="AZ32" s="332"/>
      <c r="BA32" s="335"/>
      <c r="BB32" s="317">
        <f>AVERAGE([5]A!BB33,'[6]2009'!BB33,'[7]2010'!BB33)</f>
        <v>11.615777777777778</v>
      </c>
      <c r="BC32" s="317">
        <f>AVERAGE([5]A!BC33,'[6]2009'!BC33,'[7]2010'!BC33)</f>
        <v>6.9899999999999993</v>
      </c>
      <c r="BD32" s="317">
        <f>AVERAGE([5]A!BD33,'[6]2009'!BD33,'[7]2010'!BD33)</f>
        <v>8.0133333333333336</v>
      </c>
      <c r="BE32" s="332"/>
      <c r="BF32" s="335"/>
      <c r="BG32" s="317">
        <f>AVERAGE([5]A!BG33,'[6]2009'!BG33,'[7]2010'!BG33)</f>
        <v>16.214222222222222</v>
      </c>
      <c r="BH32" s="317">
        <f>AVERAGE([5]A!BH33,'[6]2009'!BH33,'[7]2010'!BH33)</f>
        <v>17</v>
      </c>
      <c r="BI32" s="317">
        <f>AVERAGE([5]A!BI33,'[6]2009'!BI33,'[7]2010'!BI33)</f>
        <v>7.82</v>
      </c>
      <c r="BJ32" s="332"/>
      <c r="BL32" s="317" t="e">
        <f>AVERAGE([5]A!BL33,'[6]2009'!BL33,'[7]2010'!BL33)</f>
        <v>#DIV/0!</v>
      </c>
      <c r="BM32" s="317" t="e">
        <f>AVERAGE([5]A!BM33,'[6]2009'!BM33,'[7]2010'!BM33)</f>
        <v>#DIV/0!</v>
      </c>
      <c r="BN32" s="317" t="e">
        <f>AVERAGE([5]A!BN33,'[6]2009'!BN33,'[7]2010'!BN33)</f>
        <v>#DIV/0!</v>
      </c>
      <c r="BO32" s="333"/>
      <c r="BP32" s="331" t="s">
        <v>253</v>
      </c>
      <c r="BS32" s="331">
        <f>SUM(AH102+AM102+AR102)</f>
        <v>26505</v>
      </c>
      <c r="BT32" s="331">
        <f>SUM(AI102+AN102+AS102)</f>
        <v>26321.61</v>
      </c>
      <c r="BU32" s="331">
        <f>SUM(AJ102+AO102+AT102)</f>
        <v>5990.586666666668</v>
      </c>
      <c r="BX32" s="336">
        <f>SUM(+AW102,+BB102,+BG102)</f>
        <v>26505</v>
      </c>
      <c r="BY32" s="336">
        <f>SUM(+AX102,+BC102,+BH102)</f>
        <v>29965.403333333335</v>
      </c>
      <c r="BZ32" s="336">
        <f>SUM(+AY102,+BD102,+BI102)</f>
        <v>27342</v>
      </c>
      <c r="CA32" s="331" t="s">
        <v>182</v>
      </c>
      <c r="CW32" s="335"/>
      <c r="DJ32" s="337" t="s">
        <v>244</v>
      </c>
      <c r="DK32" s="338" t="s">
        <v>241</v>
      </c>
      <c r="DL32" s="338" t="s">
        <v>241</v>
      </c>
      <c r="DM32" s="338" t="s">
        <v>241</v>
      </c>
      <c r="DN32" s="338" t="s">
        <v>241</v>
      </c>
      <c r="DO32" s="338" t="s">
        <v>241</v>
      </c>
      <c r="DP32" s="336">
        <v>0</v>
      </c>
      <c r="DQ32" s="336">
        <v>0</v>
      </c>
    </row>
    <row r="33" spans="1:122" s="339" customFormat="1">
      <c r="A33" s="339" t="s">
        <v>1</v>
      </c>
      <c r="B33" s="339" t="s">
        <v>243</v>
      </c>
      <c r="D33" s="317">
        <f>AVERAGE([5]A!D34,'[6]2009'!D34,'[7]2010'!D34)</f>
        <v>8180</v>
      </c>
      <c r="E33" s="317">
        <f>AVERAGE([5]A!E34,'[6]2009'!E34,'[7]2010'!E34)</f>
        <v>10107.42</v>
      </c>
      <c r="F33" s="317">
        <f>AVERAGE([5]A!F34,'[6]2009'!F34,'[7]2010'!F34)</f>
        <v>10107.42</v>
      </c>
      <c r="G33" s="332"/>
      <c r="H33" s="291"/>
      <c r="I33" s="317">
        <f>AVERAGE([5]A!I34,'[6]2009'!I34,'[7]2010'!I34)</f>
        <v>8180</v>
      </c>
      <c r="J33" s="317">
        <f>AVERAGE([5]A!J34,'[6]2009'!J34,'[7]2010'!J34)</f>
        <v>9256</v>
      </c>
      <c r="K33" s="317">
        <f>AVERAGE([5]A!K34,'[6]2009'!K34,'[7]2010'!K34)</f>
        <v>9256</v>
      </c>
      <c r="L33" s="333"/>
      <c r="M33" s="334"/>
      <c r="N33" s="317">
        <f>AVERAGE([5]A!N34,'[6]2009'!N34,'[7]2010'!N34)</f>
        <v>11180</v>
      </c>
      <c r="O33" s="317">
        <f>AVERAGE([5]A!O34,'[6]2009'!O34,'[7]2010'!O34)</f>
        <v>9519.6966666666667</v>
      </c>
      <c r="P33" s="317">
        <f>AVERAGE([5]A!P34,'[6]2009'!P34,'[7]2010'!P34)</f>
        <v>9519.8000000000011</v>
      </c>
      <c r="Q33" s="332"/>
      <c r="R33" s="340"/>
      <c r="S33" s="317">
        <f>AVERAGE([5]A!S34,'[6]2009'!S34,'[7]2010'!S34)</f>
        <v>8180</v>
      </c>
      <c r="T33" s="317">
        <f>AVERAGE([5]A!T34,'[6]2009'!T34,'[7]2010'!T34)</f>
        <v>9057</v>
      </c>
      <c r="U33" s="317">
        <f>AVERAGE([5]A!U34,'[6]2009'!U34,'[7]2010'!U34)</f>
        <v>10420.603333333333</v>
      </c>
      <c r="V33" s="332"/>
      <c r="W33" s="340"/>
      <c r="X33" s="317">
        <f>AVERAGE([5]A!X34,'[6]2009'!X34,'[7]2010'!X34)</f>
        <v>8180</v>
      </c>
      <c r="Y33" s="317">
        <f>AVERAGE([5]A!Y34,'[6]2009'!Y34,'[7]2010'!Y34)</f>
        <v>6930.88</v>
      </c>
      <c r="Z33" s="317">
        <f>AVERAGE([5]A!Z34,'[6]2009'!Z34,'[7]2010'!Z34)</f>
        <v>4950</v>
      </c>
      <c r="AA33" s="332"/>
      <c r="AB33" s="340"/>
      <c r="AC33" s="317">
        <f>AVERAGE([5]A!AC34,'[6]2009'!AC34,'[7]2010'!AC34)</f>
        <v>8180</v>
      </c>
      <c r="AD33" s="317">
        <f>AVERAGE([5]A!AD34,'[6]2009'!AD34,'[7]2010'!AD34)</f>
        <v>8180</v>
      </c>
      <c r="AE33" s="317">
        <f>AVERAGE([5]A!AE34,'[6]2009'!AE34,'[7]2010'!AE34)</f>
        <v>7828.1933333333336</v>
      </c>
      <c r="AF33" s="332"/>
      <c r="AG33" s="340"/>
      <c r="AH33" s="317">
        <f>AVERAGE([5]A!AH34,'[6]2009'!AH34,'[7]2010'!AH34)</f>
        <v>11180</v>
      </c>
      <c r="AI33" s="317">
        <f>AVERAGE([5]A!AI34,'[6]2009'!AI34,'[7]2010'!AI34)</f>
        <v>11180</v>
      </c>
      <c r="AJ33" s="317">
        <f>AVERAGE([5]A!AJ34,'[6]2009'!AJ34,'[7]2010'!AJ34)</f>
        <v>9041.56</v>
      </c>
      <c r="AK33" s="332"/>
      <c r="AL33" s="340"/>
      <c r="AM33" s="317">
        <f>AVERAGE([5]A!AM34,'[6]2009'!AM34,'[7]2010'!AM34)</f>
        <v>8180</v>
      </c>
      <c r="AN33" s="317">
        <f>AVERAGE([5]A!AN34,'[6]2009'!AN34,'[7]2010'!AN34)</f>
        <v>7327.9900000000007</v>
      </c>
      <c r="AO33" s="317">
        <f>AVERAGE([5]A!AO34,'[6]2009'!AO34,'[7]2010'!AO34)</f>
        <v>5009.2700000000004</v>
      </c>
      <c r="AP33" s="332"/>
      <c r="AQ33" s="340"/>
      <c r="AR33" s="317">
        <f>AVERAGE([5]A!AR34,'[6]2009'!AR34,'[7]2010'!AR34)</f>
        <v>8180</v>
      </c>
      <c r="AS33" s="317">
        <f>AVERAGE([5]A!AS34,'[6]2009'!AS34,'[7]2010'!AS34)</f>
        <v>3619.5533333333333</v>
      </c>
      <c r="AT33" s="317">
        <f>AVERAGE([5]A!AT34,'[6]2009'!AT34,'[7]2010'!AT34)</f>
        <v>1339.33</v>
      </c>
      <c r="AU33" s="332"/>
      <c r="AV33" s="340"/>
      <c r="AW33" s="317">
        <f>AVERAGE([5]A!AW34,'[6]2009'!AW34,'[7]2010'!AW34)</f>
        <v>8180</v>
      </c>
      <c r="AX33" s="317">
        <f>AVERAGE([5]A!AX34,'[6]2009'!AX34,'[7]2010'!AX34)</f>
        <v>-1316.4666666666665</v>
      </c>
      <c r="AY33" s="317">
        <f>AVERAGE([5]A!AY34,'[6]2009'!AY34,'[7]2010'!AY34)</f>
        <v>-6064.7</v>
      </c>
      <c r="AZ33" s="332"/>
      <c r="BA33" s="340"/>
      <c r="BB33" s="317">
        <f>AVERAGE([5]A!BB34,'[6]2009'!BB34,'[7]2010'!BB34)</f>
        <v>8180</v>
      </c>
      <c r="BC33" s="317">
        <f>AVERAGE([5]A!BC34,'[6]2009'!BC34,'[7]2010'!BC34)</f>
        <v>4190.4266666666663</v>
      </c>
      <c r="BD33" s="317">
        <f>AVERAGE([5]A!BD34,'[6]2009'!BD34,'[7]2010'!BD34)</f>
        <v>2195.64</v>
      </c>
      <c r="BE33" s="332"/>
      <c r="BF33" s="340"/>
      <c r="BG33" s="317">
        <f>AVERAGE([5]A!BG34,'[6]2009'!BG34,'[7]2010'!BG34)</f>
        <v>8180</v>
      </c>
      <c r="BH33" s="317">
        <f>AVERAGE([5]A!BH34,'[6]2009'!BH34,'[7]2010'!BH34)</f>
        <v>4080.5366666666669</v>
      </c>
      <c r="BI33" s="317">
        <f>AVERAGE([5]A!BI34,'[6]2009'!BI34,'[7]2010'!BI34)</f>
        <v>2212.67</v>
      </c>
      <c r="BJ33" s="332"/>
      <c r="BK33" s="341"/>
      <c r="BL33" s="317">
        <f>AVERAGE([5]A!BL34,'[6]2009'!BL34,'[7]2010'!BL34)</f>
        <v>93253.333333333328</v>
      </c>
      <c r="BM33" s="317">
        <f>AVERAGE([5]A!BM34,'[6]2009'!BM34,'[7]2010'!BM34)</f>
        <v>71347.613333333327</v>
      </c>
      <c r="BN33" s="317">
        <f>AVERAGE([5]A!BN34,'[6]2009'!BN34,'[7]2010'!BN34)</f>
        <v>65921.473333333328</v>
      </c>
      <c r="BO33" s="333"/>
      <c r="BS33" s="339">
        <f>SUM(AI96+AN96+AS96)</f>
        <v>655311.53940451052</v>
      </c>
      <c r="BT33" s="339">
        <f>SUM(AJ96+AO96+AT96)</f>
        <v>503565.97</v>
      </c>
      <c r="BU33" s="339">
        <v>169551</v>
      </c>
      <c r="BX33" s="341">
        <f>SUM(BH96+BC96+AX96)</f>
        <v>461844.41544804617</v>
      </c>
      <c r="BY33" s="341">
        <f>SUM(BI96+BD96+AY96)</f>
        <v>402146.71666666667</v>
      </c>
      <c r="BZ33" s="341">
        <v>123686</v>
      </c>
      <c r="CA33" s="339" t="s">
        <v>182</v>
      </c>
      <c r="DD33" s="342" t="s">
        <v>235</v>
      </c>
      <c r="DE33" s="342" t="s">
        <v>236</v>
      </c>
      <c r="DF33" s="342" t="s">
        <v>294</v>
      </c>
      <c r="DG33" s="342" t="s">
        <v>238</v>
      </c>
      <c r="DH33" s="339" t="s">
        <v>295</v>
      </c>
      <c r="DI33" s="342" t="s">
        <v>278</v>
      </c>
      <c r="DJ33" s="342" t="s">
        <v>240</v>
      </c>
      <c r="DK33" s="343" t="s">
        <v>241</v>
      </c>
      <c r="DL33" s="343" t="s">
        <v>241</v>
      </c>
      <c r="DM33" s="343" t="s">
        <v>241</v>
      </c>
      <c r="DN33" s="343" t="s">
        <v>241</v>
      </c>
      <c r="DO33" s="343" t="s">
        <v>241</v>
      </c>
      <c r="DP33" s="341">
        <f>$D235</f>
        <v>15126.333333333334</v>
      </c>
      <c r="DQ33" s="341">
        <f>$H235</f>
        <v>4391.7566666666662</v>
      </c>
    </row>
    <row r="34" spans="1:122" s="344" customFormat="1">
      <c r="A34" s="344" t="s">
        <v>1</v>
      </c>
      <c r="B34" s="344" t="s">
        <v>296</v>
      </c>
      <c r="D34" s="317">
        <f>AVERAGE([5]A!D35,'[6]2009'!D35,'[7]2010'!D35)</f>
        <v>375.41</v>
      </c>
      <c r="E34" s="317">
        <f>AVERAGE([5]A!E35,'[6]2009'!E35,'[7]2010'!E35)</f>
        <v>331.3</v>
      </c>
      <c r="F34" s="317">
        <f>AVERAGE([5]A!F35,'[6]2009'!F35,'[7]2010'!F35)</f>
        <v>359.2166666666667</v>
      </c>
      <c r="G34" s="332"/>
      <c r="H34" s="291"/>
      <c r="I34" s="317">
        <f>AVERAGE([5]A!I35,'[6]2009'!I35,'[7]2010'!I35)</f>
        <v>339.08</v>
      </c>
      <c r="J34" s="317">
        <f>AVERAGE([5]A!J35,'[6]2009'!J35,'[7]2010'!J35)</f>
        <v>318.33666666666664</v>
      </c>
      <c r="K34" s="317">
        <f>AVERAGE([5]A!K35,'[6]2009'!K35,'[7]2010'!K35)</f>
        <v>318.13666666666666</v>
      </c>
      <c r="L34" s="333"/>
      <c r="M34" s="334"/>
      <c r="N34" s="317">
        <f>AVERAGE([5]A!N35,'[6]2009'!N35,'[7]2010'!N35)</f>
        <v>375.41</v>
      </c>
      <c r="O34" s="317">
        <f>AVERAGE([5]A!O35,'[6]2009'!O35,'[7]2010'!O35)</f>
        <v>372.95</v>
      </c>
      <c r="P34" s="317">
        <f>AVERAGE([5]A!P35,'[6]2009'!P35,'[7]2010'!P35)</f>
        <v>373.58666666666659</v>
      </c>
      <c r="Q34" s="332"/>
      <c r="R34" s="345"/>
      <c r="S34" s="317">
        <f>AVERAGE([5]A!S35,'[6]2009'!S35,'[7]2010'!S35)</f>
        <v>394.44000000000005</v>
      </c>
      <c r="T34" s="317">
        <f>AVERAGE([5]A!T35,'[6]2009'!T35,'[7]2010'!T35)</f>
        <v>355.25</v>
      </c>
      <c r="U34" s="317">
        <f>AVERAGE([5]A!U35,'[6]2009'!U35,'[7]2010'!U35)</f>
        <v>346.48</v>
      </c>
      <c r="V34" s="332"/>
      <c r="W34" s="345"/>
      <c r="X34" s="317">
        <f>AVERAGE([5]A!X35,'[6]2009'!X35,'[7]2010'!X35)</f>
        <v>407.58800000000002</v>
      </c>
      <c r="Y34" s="317">
        <f>AVERAGE([5]A!Y35,'[6]2009'!Y35,'[7]2010'!Y35)</f>
        <v>370.36666666666662</v>
      </c>
      <c r="Z34" s="317">
        <f>AVERAGE([5]A!Z35,'[6]2009'!Z35,'[7]2010'!Z35)</f>
        <v>383.26333333333332</v>
      </c>
      <c r="AA34" s="332"/>
      <c r="AB34" s="345"/>
      <c r="AC34" s="317">
        <f>AVERAGE([5]A!AC35,'[6]2009'!AC35,'[7]2010'!AC35)</f>
        <v>446.34</v>
      </c>
      <c r="AD34" s="317">
        <f>AVERAGE([5]A!AD35,'[6]2009'!AD35,'[7]2010'!AD35)</f>
        <v>399.81333333333333</v>
      </c>
      <c r="AE34" s="317">
        <f>AVERAGE([5]A!AE35,'[6]2009'!AE35,'[7]2010'!AE35)</f>
        <v>406.66666666666669</v>
      </c>
      <c r="AF34" s="332"/>
      <c r="AG34" s="345"/>
      <c r="AH34" s="317">
        <f>AVERAGE([5]A!AH35,'[6]2009'!AH35,'[7]2010'!AH35)</f>
        <v>514.84799999999996</v>
      </c>
      <c r="AI34" s="317">
        <f>AVERAGE([5]A!AI35,'[6]2009'!AI35,'[7]2010'!AI35)</f>
        <v>407.59666666666664</v>
      </c>
      <c r="AJ34" s="317">
        <f>AVERAGE([5]A!AJ35,'[6]2009'!AJ35,'[7]2010'!AJ35)</f>
        <v>383.32333333333327</v>
      </c>
      <c r="AK34" s="332"/>
      <c r="AL34" s="345"/>
      <c r="AM34" s="317">
        <f>AVERAGE([5]A!AM35,'[6]2009'!AM35,'[7]2010'!AM35)</f>
        <v>536.30000000000007</v>
      </c>
      <c r="AN34" s="317">
        <f>AVERAGE([5]A!AN35,'[6]2009'!AN35,'[7]2010'!AN35)</f>
        <v>441.21333333333337</v>
      </c>
      <c r="AO34" s="317">
        <f>AVERAGE([5]A!AO35,'[6]2009'!AO35,'[7]2010'!AO35)</f>
        <v>412.72666666666669</v>
      </c>
      <c r="AP34" s="332"/>
      <c r="AQ34" s="345"/>
      <c r="AR34" s="317">
        <f>AVERAGE([5]A!AR35,'[6]2009'!AR35,'[7]2010'!AR35)</f>
        <v>529.38</v>
      </c>
      <c r="AS34" s="317">
        <f>AVERAGE([5]A!AS35,'[6]2009'!AS35,'[7]2010'!AS35)</f>
        <v>392.49333333333334</v>
      </c>
      <c r="AT34" s="317">
        <f>AVERAGE([5]A!AT35,'[6]2009'!AT35,'[7]2010'!AT35)</f>
        <v>388.55333333333328</v>
      </c>
      <c r="AU34" s="332"/>
      <c r="AV34" s="345"/>
      <c r="AW34" s="317">
        <f>AVERAGE([5]A!AW35,'[6]2009'!AW35,'[7]2010'!AW35)</f>
        <v>439.76600000000002</v>
      </c>
      <c r="AX34" s="317">
        <f>AVERAGE([5]A!AX35,'[6]2009'!AX35,'[7]2010'!AX35)</f>
        <v>403.92666666666668</v>
      </c>
      <c r="AY34" s="317">
        <f>AVERAGE([5]A!AY35,'[6]2009'!AY35,'[7]2010'!AY35)</f>
        <v>455.83</v>
      </c>
      <c r="AZ34" s="332"/>
      <c r="BA34" s="345"/>
      <c r="BB34" s="317">
        <f>AVERAGE([5]A!BB35,'[6]2009'!BB35,'[7]2010'!BB35)</f>
        <v>363.3</v>
      </c>
      <c r="BC34" s="317">
        <f>AVERAGE([5]A!BC35,'[6]2009'!BC35,'[7]2010'!BC35)</f>
        <v>349.55999999999995</v>
      </c>
      <c r="BD34" s="317">
        <f>AVERAGE([5]A!BD35,'[6]2009'!BD35,'[7]2010'!BD35)</f>
        <v>320.79666666666668</v>
      </c>
      <c r="BE34" s="332"/>
      <c r="BF34" s="345"/>
      <c r="BG34" s="317">
        <f>AVERAGE([5]A!BG35,'[6]2009'!BG35,'[7]2010'!BG35)</f>
        <v>375.41</v>
      </c>
      <c r="BH34" s="317">
        <f>AVERAGE([5]A!BH35,'[6]2009'!BH35,'[7]2010'!BH35)</f>
        <v>339.74666666666667</v>
      </c>
      <c r="BI34" s="317">
        <f>AVERAGE([5]A!BI35,'[6]2009'!BI35,'[7]2010'!BI35)</f>
        <v>376.79200000000009</v>
      </c>
      <c r="BJ34" s="332"/>
      <c r="BK34" s="345"/>
      <c r="BL34" s="317">
        <f>AVERAGE([5]A!BL35,'[6]2009'!BL35,'[7]2010'!BL35)</f>
        <v>4538.482</v>
      </c>
      <c r="BM34" s="317">
        <f>AVERAGE([5]A!BM35,'[6]2009'!BM35,'[7]2010'!BM35)</f>
        <v>3987.4600000000005</v>
      </c>
      <c r="BN34" s="317">
        <f>AVERAGE([5]A!BN35,'[6]2009'!BN35,'[7]2010'!BN35)</f>
        <v>3999.3053333333337</v>
      </c>
      <c r="BO34" s="333"/>
      <c r="CA34" s="344" t="s">
        <v>182</v>
      </c>
      <c r="CW34" s="346" t="s">
        <v>297</v>
      </c>
      <c r="CX34" s="344" t="s">
        <v>298</v>
      </c>
      <c r="DJ34" s="347" t="s">
        <v>244</v>
      </c>
      <c r="DK34" s="348" t="s">
        <v>241</v>
      </c>
      <c r="DL34" s="348" t="s">
        <v>241</v>
      </c>
      <c r="DM34" s="348" t="s">
        <v>241</v>
      </c>
      <c r="DN34" s="348" t="s">
        <v>241</v>
      </c>
      <c r="DO34" s="348" t="s">
        <v>241</v>
      </c>
      <c r="DP34" s="349">
        <f>$C235</f>
        <v>13124.921739803489</v>
      </c>
      <c r="DQ34" s="349">
        <f>$G235</f>
        <v>4361.7909545061148</v>
      </c>
    </row>
    <row r="35" spans="1:122" s="339" customFormat="1">
      <c r="A35" s="339" t="s">
        <v>1</v>
      </c>
      <c r="B35" s="339" t="s">
        <v>299</v>
      </c>
      <c r="D35" s="317">
        <f>AVERAGE([5]A!D36,'[6]2009'!D36,'[7]2010'!D36)</f>
        <v>145.10850461633237</v>
      </c>
      <c r="E35" s="317">
        <f>AVERAGE([5]A!E36,'[6]2009'!E36,'[7]2010'!E36)</f>
        <v>124.81795000251275</v>
      </c>
      <c r="F35" s="317">
        <f>AVERAGE([5]A!F36,'[6]2009'!F36,'[7]2010'!F36)</f>
        <v>122.57307219822984</v>
      </c>
      <c r="G35" s="332"/>
      <c r="H35" s="291"/>
      <c r="I35" s="317">
        <f>AVERAGE([5]A!I36,'[6]2009'!I36,'[7]2010'!I36)</f>
        <v>112.29129366322674</v>
      </c>
      <c r="J35" s="317">
        <f>AVERAGE([5]A!J36,'[6]2009'!J36,'[7]2010'!J36)</f>
        <v>127.64456148261775</v>
      </c>
      <c r="K35" s="317">
        <f>AVERAGE([5]A!K36,'[6]2009'!K36,'[7]2010'!K36)</f>
        <v>118.14175712515488</v>
      </c>
      <c r="L35" s="333"/>
      <c r="M35" s="334"/>
      <c r="N35" s="317">
        <f>AVERAGE([5]A!N36,'[6]2009'!N36,'[7]2010'!N36)</f>
        <v>146.22307793880921</v>
      </c>
      <c r="O35" s="317">
        <f>AVERAGE([5]A!O36,'[6]2009'!O36,'[7]2010'!O36)</f>
        <v>148.83621624015589</v>
      </c>
      <c r="P35" s="317">
        <f>AVERAGE([5]A!P36,'[6]2009'!P36,'[7]2010'!P36)</f>
        <v>152.33062616746528</v>
      </c>
      <c r="Q35" s="332"/>
      <c r="R35" s="340"/>
      <c r="S35" s="317">
        <f>AVERAGE([5]A!S36,'[6]2009'!S36,'[7]2010'!S36)</f>
        <v>132.01980206799692</v>
      </c>
      <c r="T35" s="317">
        <f>AVERAGE([5]A!T36,'[6]2009'!T36,'[7]2010'!T36)</f>
        <v>115.43961275273095</v>
      </c>
      <c r="U35" s="317">
        <f>AVERAGE([5]A!U36,'[6]2009'!U36,'[7]2010'!U36)</f>
        <v>136.49544070082132</v>
      </c>
      <c r="V35" s="332"/>
      <c r="W35" s="340"/>
      <c r="X35" s="317">
        <f>AVERAGE([5]A!X36,'[6]2009'!X36,'[7]2010'!X36)</f>
        <v>147.22550281923318</v>
      </c>
      <c r="Y35" s="317">
        <f>AVERAGE([5]A!Y36,'[6]2009'!Y36,'[7]2010'!Y36)</f>
        <v>155.89282812203996</v>
      </c>
      <c r="Z35" s="317">
        <f>AVERAGE([5]A!Z36,'[6]2009'!Z36,'[7]2010'!Z36)</f>
        <v>167.70770220377665</v>
      </c>
      <c r="AA35" s="332"/>
      <c r="AB35" s="340"/>
      <c r="AC35" s="317">
        <f>AVERAGE([5]A!AC36,'[6]2009'!AC36,'[7]2010'!AC36)</f>
        <v>120.96439284531648</v>
      </c>
      <c r="AD35" s="317">
        <f>AVERAGE([5]A!AD36,'[6]2009'!AD36,'[7]2010'!AD36)</f>
        <v>133.81970824609178</v>
      </c>
      <c r="AE35" s="317">
        <f>AVERAGE([5]A!AE36,'[6]2009'!AE36,'[7]2010'!AE36)</f>
        <v>130.08100877300967</v>
      </c>
      <c r="AF35" s="332"/>
      <c r="AG35" s="340"/>
      <c r="AH35" s="317">
        <f>AVERAGE([5]A!AH36,'[6]2009'!AH36,'[7]2010'!AH36)</f>
        <v>147.05358985216046</v>
      </c>
      <c r="AI35" s="317">
        <f>AVERAGE([5]A!AI36,'[6]2009'!AI36,'[7]2010'!AI36)</f>
        <v>135.48071909857524</v>
      </c>
      <c r="AJ35" s="317">
        <f>AVERAGE([5]A!AJ36,'[6]2009'!AJ36,'[7]2010'!AJ36)</f>
        <v>128.30554665242164</v>
      </c>
      <c r="AK35" s="332"/>
      <c r="AL35" s="340"/>
      <c r="AM35" s="317">
        <f>AVERAGE([5]A!AM36,'[6]2009'!AM36,'[7]2010'!AM36)</f>
        <v>134.35473040209033</v>
      </c>
      <c r="AN35" s="317">
        <f>AVERAGE([5]A!AN36,'[6]2009'!AN36,'[7]2010'!AN36)</f>
        <v>123.6574647386761</v>
      </c>
      <c r="AO35" s="317">
        <f>AVERAGE([5]A!AO36,'[6]2009'!AO36,'[7]2010'!AO36)</f>
        <v>116.49633595115809</v>
      </c>
      <c r="AP35" s="332"/>
      <c r="AQ35" s="340"/>
      <c r="AR35" s="317">
        <f>AVERAGE([5]A!AR36,'[6]2009'!AR36,'[7]2010'!AR36)</f>
        <v>159.18497446096163</v>
      </c>
      <c r="AS35" s="317">
        <f>AVERAGE([5]A!AS36,'[6]2009'!AS36,'[7]2010'!AS36)</f>
        <v>116.37360077493317</v>
      </c>
      <c r="AT35" s="317">
        <f>AVERAGE([5]A!AT36,'[6]2009'!AT36,'[7]2010'!AT36)</f>
        <v>102.77215400855603</v>
      </c>
      <c r="AU35" s="332"/>
      <c r="AV35" s="340"/>
      <c r="AW35" s="317">
        <f>AVERAGE([5]A!AW36,'[6]2009'!AW36,'[7]2010'!AW36)</f>
        <v>119.99118021821947</v>
      </c>
      <c r="AX35" s="317">
        <f>AVERAGE([5]A!AX36,'[6]2009'!AX36,'[7]2010'!AX36)</f>
        <v>110.90152994271966</v>
      </c>
      <c r="AY35" s="317">
        <f>AVERAGE([5]A!AY36,'[6]2009'!AY36,'[7]2010'!AY36)</f>
        <v>143.40926372445432</v>
      </c>
      <c r="AZ35" s="332"/>
      <c r="BA35" s="340"/>
      <c r="BB35" s="317">
        <f>AVERAGE([5]A!BB36,'[6]2009'!BB36,'[7]2010'!BB36)</f>
        <v>161.2203835386473</v>
      </c>
      <c r="BC35" s="317">
        <f>AVERAGE([5]A!BC36,'[6]2009'!BC36,'[7]2010'!BC36)</f>
        <v>141.73416328351558</v>
      </c>
      <c r="BD35" s="317">
        <f>AVERAGE([5]A!BD36,'[6]2009'!BD36,'[7]2010'!BD36)</f>
        <v>144.73812413559514</v>
      </c>
      <c r="BE35" s="332"/>
      <c r="BF35" s="340"/>
      <c r="BG35" s="317">
        <f>AVERAGE([5]A!BG36,'[6]2009'!BG36,'[7]2010'!BG36)</f>
        <v>125.29658432736285</v>
      </c>
      <c r="BH35" s="317">
        <f>AVERAGE([5]A!BH36,'[6]2009'!BH36,'[7]2010'!BH36)</f>
        <v>139.37899489473733</v>
      </c>
      <c r="BI35" s="317">
        <f>AVERAGE([5]A!BI36,'[6]2009'!BI36,'[7]2010'!BI36)</f>
        <v>105.62469977424531</v>
      </c>
      <c r="BJ35" s="332"/>
      <c r="BK35" s="340"/>
      <c r="BL35" s="317">
        <f>AVERAGE([5]A!BL36,'[6]2009'!BL36,'[7]2010'!BL36)</f>
        <v>156.67148098876325</v>
      </c>
      <c r="BM35" s="317">
        <f>AVERAGE([5]A!BM36,'[6]2009'!BM36,'[7]2010'!BM36)</f>
        <v>148.68898444456201</v>
      </c>
      <c r="BN35" s="317">
        <f>AVERAGE([5]A!BN36,'[6]2009'!BN36,'[7]2010'!BN36)</f>
        <v>1135.1066666666668</v>
      </c>
      <c r="BO35" s="333"/>
      <c r="BQ35" s="340"/>
      <c r="CA35" s="339" t="s">
        <v>182</v>
      </c>
      <c r="DD35" s="342" t="s">
        <v>235</v>
      </c>
      <c r="DE35" s="342" t="s">
        <v>236</v>
      </c>
      <c r="DF35" s="342" t="s">
        <v>300</v>
      </c>
      <c r="DG35" s="342" t="s">
        <v>238</v>
      </c>
      <c r="DH35" s="339" t="s">
        <v>301</v>
      </c>
      <c r="DI35" s="342" t="s">
        <v>260</v>
      </c>
      <c r="DJ35" s="342" t="s">
        <v>240</v>
      </c>
      <c r="DK35" s="343" t="s">
        <v>241</v>
      </c>
      <c r="DL35" s="343" t="s">
        <v>241</v>
      </c>
      <c r="DM35" s="343" t="s">
        <v>241</v>
      </c>
      <c r="DN35" s="343" t="s">
        <v>241</v>
      </c>
      <c r="DO35" s="343" t="s">
        <v>241</v>
      </c>
      <c r="DP35" s="341">
        <f>$D234</f>
        <v>0</v>
      </c>
      <c r="DQ35" s="341">
        <f>$H234</f>
        <v>0</v>
      </c>
    </row>
    <row r="36" spans="1:122" s="339" customFormat="1">
      <c r="B36" s="339" t="s">
        <v>253</v>
      </c>
      <c r="D36" s="317">
        <f>AVERAGE([5]A!D37,'[6]2009'!D37,'[7]2010'!D37)</f>
        <v>8900.7633333333342</v>
      </c>
      <c r="E36" s="317">
        <f>AVERAGE([5]A!E37,'[6]2009'!E37,'[7]2010'!E37)</f>
        <v>9180.65</v>
      </c>
      <c r="F36" s="317">
        <f>AVERAGE([5]A!F37,'[6]2009'!F37,'[7]2010'!F37)</f>
        <v>9606.0733333333337</v>
      </c>
      <c r="G36" s="332"/>
      <c r="H36" s="291"/>
      <c r="I36" s="317">
        <f>AVERAGE([5]A!I37,'[6]2009'!I37,'[7]2010'!I37)</f>
        <v>8900.7633333333342</v>
      </c>
      <c r="J36" s="317">
        <f>AVERAGE([5]A!J37,'[6]2009'!J37,'[7]2010'!J37)</f>
        <v>8706.9766666666674</v>
      </c>
      <c r="K36" s="317">
        <f>AVERAGE([5]A!K37,'[6]2009'!K37,'[7]2010'!K37)</f>
        <v>9132.5533333333333</v>
      </c>
      <c r="L36" s="333"/>
      <c r="M36" s="334"/>
      <c r="N36" s="317">
        <f>AVERAGE([5]A!N37,'[6]2009'!N37,'[7]2010'!N37)</f>
        <v>8900.7633333333342</v>
      </c>
      <c r="O36" s="317">
        <f>AVERAGE([5]A!O37,'[6]2009'!O37,'[7]2010'!O37)</f>
        <v>8612.3700000000008</v>
      </c>
      <c r="P36" s="317">
        <f>AVERAGE([5]A!P37,'[6]2009'!P37,'[7]2010'!P37)</f>
        <v>8178.5466666666662</v>
      </c>
      <c r="Q36" s="332"/>
      <c r="R36" s="340"/>
      <c r="S36" s="317">
        <f>AVERAGE([5]A!S37,'[6]2009'!S37,'[7]2010'!S37)</f>
        <v>8293.0966666666664</v>
      </c>
      <c r="T36" s="317">
        <f>AVERAGE([5]A!T37,'[6]2009'!T37,'[7]2010'!T37)</f>
        <v>7803.6533333333327</v>
      </c>
      <c r="U36" s="317">
        <f>AVERAGE([5]A!U37,'[6]2009'!U37,'[7]2010'!U37)</f>
        <v>8583.5966666666664</v>
      </c>
      <c r="V36" s="332"/>
      <c r="W36" s="340"/>
      <c r="X36" s="317">
        <f>AVERAGE([5]A!X37,'[6]2009'!X37,'[7]2010'!X37)</f>
        <v>8293.0966666666664</v>
      </c>
      <c r="Y36" s="317">
        <f>AVERAGE([5]A!Y37,'[6]2009'!Y37,'[7]2010'!Y37)</f>
        <v>5320.256666666668</v>
      </c>
      <c r="Z36" s="317">
        <f>AVERAGE([5]A!Z37,'[6]2009'!Z37,'[7]2010'!Z37)</f>
        <v>6100.2233333333324</v>
      </c>
      <c r="AA36" s="332"/>
      <c r="AB36" s="340"/>
      <c r="AC36" s="317">
        <f>AVERAGE([5]A!AC37,'[6]2009'!AC37,'[7]2010'!AC37)</f>
        <v>8835</v>
      </c>
      <c r="AD36" s="317">
        <f>AVERAGE([5]A!AD37,'[6]2009'!AD37,'[7]2010'!AD37)</f>
        <v>10841</v>
      </c>
      <c r="AE36" s="317">
        <f>AVERAGE([5]A!AE37,'[6]2009'!AE37,'[7]2010'!AE37)</f>
        <v>14002</v>
      </c>
      <c r="AF36" s="332"/>
      <c r="AG36" s="340"/>
      <c r="AH36" s="317">
        <f>AVERAGE([5]A!AH37,'[6]2009'!AH37,'[7]2010'!AH37)</f>
        <v>8835</v>
      </c>
      <c r="AI36" s="317">
        <f>AVERAGE([5]A!AI37,'[6]2009'!AI37,'[7]2010'!AI37)</f>
        <v>16626.843333333334</v>
      </c>
      <c r="AJ36" s="317">
        <f>AVERAGE([5]A!AJ37,'[6]2009'!AJ37,'[7]2010'!AJ37)</f>
        <v>8391.4933333333338</v>
      </c>
      <c r="AK36" s="332"/>
      <c r="AL36" s="340"/>
      <c r="AM36" s="317">
        <f>AVERAGE([5]A!AM37,'[6]2009'!AM37,'[7]2010'!AM37)</f>
        <v>8835</v>
      </c>
      <c r="AN36" s="317">
        <f>AVERAGE([5]A!AN37,'[6]2009'!AN37,'[7]2010'!AN37)</f>
        <v>14698.366666666667</v>
      </c>
      <c r="AO36" s="317">
        <f>AVERAGE([5]A!AO37,'[6]2009'!AO37,'[7]2010'!AO37)</f>
        <v>8391.4933333333338</v>
      </c>
      <c r="AP36" s="332"/>
      <c r="AQ36" s="340"/>
      <c r="AR36" s="317">
        <f>AVERAGE([5]A!AR37,'[6]2009'!AR37,'[7]2010'!AR37)</f>
        <v>8835</v>
      </c>
      <c r="AS36" s="317">
        <f>AVERAGE([5]A!AS37,'[6]2009'!AS37,'[7]2010'!AS37)</f>
        <v>-5003.5999999999995</v>
      </c>
      <c r="AT36" s="317">
        <f>AVERAGE([5]A!AT37,'[6]2009'!AT37,'[7]2010'!AT37)</f>
        <v>-10792.4</v>
      </c>
      <c r="AU36" s="332"/>
      <c r="AV36" s="340"/>
      <c r="AW36" s="317">
        <f>AVERAGE([5]A!AW37,'[6]2009'!AW37,'[7]2010'!AW37)</f>
        <v>8835</v>
      </c>
      <c r="AX36" s="317">
        <f>AVERAGE([5]A!AX37,'[6]2009'!AX37,'[7]2010'!AX37)</f>
        <v>11220.976666666667</v>
      </c>
      <c r="AY36" s="317">
        <f>AVERAGE([5]A!AY37,'[6]2009'!AY37,'[7]2010'!AY37)</f>
        <v>9672</v>
      </c>
      <c r="AZ36" s="332"/>
      <c r="BA36" s="340"/>
      <c r="BB36" s="317">
        <f>AVERAGE([5]A!BB37,'[6]2009'!BB37,'[7]2010'!BB37)</f>
        <v>8835</v>
      </c>
      <c r="BC36" s="317">
        <f>AVERAGE([5]A!BC37,'[6]2009'!BC37,'[7]2010'!BC37)</f>
        <v>9372.2133333333331</v>
      </c>
      <c r="BD36" s="317">
        <f>AVERAGE([5]A!BD37,'[6]2009'!BD37,'[7]2010'!BD37)</f>
        <v>8835</v>
      </c>
      <c r="BE36" s="332"/>
      <c r="BF36" s="340"/>
      <c r="BG36" s="317">
        <f>AVERAGE([5]A!BG37,'[6]2009'!BG37,'[7]2010'!BG37)</f>
        <v>8835</v>
      </c>
      <c r="BH36" s="317">
        <f>AVERAGE([5]A!BH37,'[6]2009'!BH37,'[7]2010'!BH37)</f>
        <v>9372.2133333333331</v>
      </c>
      <c r="BI36" s="317">
        <f>AVERAGE([5]A!BI37,'[6]2009'!BI37,'[7]2010'!BI37)</f>
        <v>8835</v>
      </c>
      <c r="BJ36" s="332"/>
      <c r="BK36" s="340"/>
      <c r="BL36" s="317">
        <f>AVERAGE([5]A!BL37,'[6]2009'!BL37,'[7]2010'!BL37)</f>
        <v>93353.483333333337</v>
      </c>
      <c r="BM36" s="317">
        <f>AVERAGE([5]A!BM37,'[6]2009'!BM37,'[7]2010'!BM37)</f>
        <v>92823.183333333334</v>
      </c>
      <c r="BN36" s="317">
        <f>AVERAGE([5]A!BN37,'[6]2009'!BN37,'[7]2010'!BN37)</f>
        <v>83419.046666666676</v>
      </c>
      <c r="BO36" s="333"/>
      <c r="BQ36" s="340"/>
      <c r="DK36" s="341"/>
      <c r="DL36" s="341"/>
      <c r="DM36" s="341"/>
      <c r="DN36" s="341"/>
      <c r="DO36" s="341"/>
      <c r="DP36" s="341"/>
      <c r="DQ36" s="341"/>
    </row>
    <row r="37" spans="1:122">
      <c r="A37" s="282" t="s">
        <v>1</v>
      </c>
      <c r="B37" s="282" t="s">
        <v>1</v>
      </c>
      <c r="C37" s="295" t="s">
        <v>1</v>
      </c>
      <c r="D37" s="285" t="s">
        <v>1</v>
      </c>
      <c r="E37" s="296" t="s">
        <v>1</v>
      </c>
      <c r="F37" s="296" t="s">
        <v>1</v>
      </c>
      <c r="G37" s="297" t="s">
        <v>1</v>
      </c>
      <c r="H37" s="295" t="s">
        <v>1</v>
      </c>
      <c r="I37" s="285" t="s">
        <v>1</v>
      </c>
      <c r="J37" s="296" t="s">
        <v>1</v>
      </c>
      <c r="K37" s="296" t="s">
        <v>1</v>
      </c>
      <c r="L37" s="298" t="s">
        <v>1</v>
      </c>
      <c r="M37" s="299" t="s">
        <v>1</v>
      </c>
      <c r="N37" s="285" t="s">
        <v>1</v>
      </c>
      <c r="O37" s="296" t="s">
        <v>1</v>
      </c>
      <c r="P37" s="296" t="s">
        <v>1</v>
      </c>
      <c r="Q37" s="297" t="s">
        <v>1</v>
      </c>
      <c r="R37" s="295" t="s">
        <v>1</v>
      </c>
      <c r="S37" s="285" t="s">
        <v>1</v>
      </c>
      <c r="T37" s="296" t="s">
        <v>1</v>
      </c>
      <c r="U37" s="296" t="s">
        <v>1</v>
      </c>
      <c r="V37" s="297" t="s">
        <v>1</v>
      </c>
      <c r="W37" s="295" t="s">
        <v>1</v>
      </c>
      <c r="X37" s="285" t="s">
        <v>1</v>
      </c>
      <c r="Y37" s="296" t="s">
        <v>1</v>
      </c>
      <c r="Z37" s="296" t="s">
        <v>1</v>
      </c>
      <c r="AA37" s="297" t="s">
        <v>1</v>
      </c>
      <c r="AB37" s="295" t="s">
        <v>1</v>
      </c>
      <c r="AC37" s="285" t="s">
        <v>1</v>
      </c>
      <c r="AD37" s="296" t="s">
        <v>1</v>
      </c>
      <c r="AE37" s="296" t="s">
        <v>1</v>
      </c>
      <c r="AF37" s="297" t="s">
        <v>1</v>
      </c>
      <c r="AG37" s="295" t="s">
        <v>1</v>
      </c>
      <c r="AH37" s="285" t="s">
        <v>1</v>
      </c>
      <c r="AI37" s="296" t="s">
        <v>1</v>
      </c>
      <c r="AJ37" s="296" t="s">
        <v>1</v>
      </c>
      <c r="AK37" s="297" t="s">
        <v>1</v>
      </c>
      <c r="AL37" s="295" t="s">
        <v>1</v>
      </c>
      <c r="AM37" s="285" t="s">
        <v>1</v>
      </c>
      <c r="AN37" s="296" t="s">
        <v>1</v>
      </c>
      <c r="AO37" s="296" t="s">
        <v>1</v>
      </c>
      <c r="AP37" s="297" t="s">
        <v>1</v>
      </c>
      <c r="AQ37" s="295" t="s">
        <v>1</v>
      </c>
      <c r="AR37" s="285" t="s">
        <v>1</v>
      </c>
      <c r="AS37" s="296" t="s">
        <v>1</v>
      </c>
      <c r="AT37" s="296" t="s">
        <v>1</v>
      </c>
      <c r="AU37" s="297" t="s">
        <v>1</v>
      </c>
      <c r="AV37" s="295" t="s">
        <v>1</v>
      </c>
      <c r="AW37" s="285" t="s">
        <v>1</v>
      </c>
      <c r="AX37" s="296" t="s">
        <v>1</v>
      </c>
      <c r="AY37" s="296" t="s">
        <v>1</v>
      </c>
      <c r="AZ37" s="297" t="s">
        <v>1</v>
      </c>
      <c r="BA37" s="295" t="s">
        <v>1</v>
      </c>
      <c r="BB37" s="285" t="s">
        <v>1</v>
      </c>
      <c r="BC37" s="296" t="s">
        <v>1</v>
      </c>
      <c r="BD37" s="296" t="s">
        <v>1</v>
      </c>
      <c r="BE37" s="297" t="s">
        <v>1</v>
      </c>
      <c r="BF37" s="295" t="s">
        <v>1</v>
      </c>
      <c r="BG37" s="285" t="s">
        <v>1</v>
      </c>
      <c r="BH37" s="296" t="s">
        <v>1</v>
      </c>
      <c r="BI37" s="296" t="s">
        <v>1</v>
      </c>
      <c r="BJ37" s="297" t="s">
        <v>1</v>
      </c>
      <c r="BK37" s="295" t="s">
        <v>1</v>
      </c>
      <c r="BL37" s="285" t="s">
        <v>1</v>
      </c>
      <c r="BM37" s="296" t="s">
        <v>1</v>
      </c>
      <c r="BN37" s="296" t="s">
        <v>1</v>
      </c>
      <c r="BO37" s="298" t="s">
        <v>1</v>
      </c>
      <c r="BP37" s="282" t="s">
        <v>1</v>
      </c>
      <c r="BQ37" s="282" t="s">
        <v>1</v>
      </c>
      <c r="BR37" s="282" t="s">
        <v>1</v>
      </c>
      <c r="BS37" s="282" t="s">
        <v>1</v>
      </c>
      <c r="BT37" s="282" t="s">
        <v>1</v>
      </c>
      <c r="BU37" s="282" t="s">
        <v>1</v>
      </c>
      <c r="BV37" s="282" t="s">
        <v>1</v>
      </c>
      <c r="BW37" s="282" t="s">
        <v>1</v>
      </c>
      <c r="BX37" s="282" t="s">
        <v>1</v>
      </c>
      <c r="BY37" s="282" t="s">
        <v>1</v>
      </c>
      <c r="BZ37" s="282" t="s">
        <v>1</v>
      </c>
      <c r="CA37" s="282" t="s">
        <v>1</v>
      </c>
      <c r="CW37" s="294" t="s">
        <v>302</v>
      </c>
      <c r="CX37" s="283" t="s">
        <v>303</v>
      </c>
      <c r="DJ37" s="310" t="s">
        <v>244</v>
      </c>
      <c r="DK37" s="324" t="s">
        <v>241</v>
      </c>
      <c r="DL37" s="324" t="s">
        <v>241</v>
      </c>
      <c r="DM37" s="324" t="s">
        <v>241</v>
      </c>
      <c r="DN37" s="324" t="s">
        <v>241</v>
      </c>
      <c r="DO37" s="324" t="s">
        <v>241</v>
      </c>
      <c r="DP37" s="323">
        <f>$C234</f>
        <v>0</v>
      </c>
      <c r="DQ37" s="323">
        <f>$G234</f>
        <v>0</v>
      </c>
    </row>
    <row r="38" spans="1:122">
      <c r="A38" s="282" t="s">
        <v>1</v>
      </c>
      <c r="B38" s="282" t="s">
        <v>1</v>
      </c>
      <c r="C38" s="295" t="s">
        <v>1</v>
      </c>
      <c r="D38" s="285" t="s">
        <v>1</v>
      </c>
      <c r="E38" s="296" t="s">
        <v>1</v>
      </c>
      <c r="F38" s="296" t="s">
        <v>1</v>
      </c>
      <c r="G38" s="297" t="s">
        <v>1</v>
      </c>
      <c r="H38" s="295" t="s">
        <v>1</v>
      </c>
      <c r="I38" s="285" t="s">
        <v>1</v>
      </c>
      <c r="J38" s="296" t="s">
        <v>1</v>
      </c>
      <c r="K38" s="296" t="s">
        <v>1</v>
      </c>
      <c r="L38" s="298" t="s">
        <v>1</v>
      </c>
      <c r="M38" s="299" t="s">
        <v>1</v>
      </c>
      <c r="N38" s="285" t="s">
        <v>1</v>
      </c>
      <c r="O38" s="296" t="s">
        <v>1</v>
      </c>
      <c r="P38" s="296" t="s">
        <v>1</v>
      </c>
      <c r="Q38" s="297" t="s">
        <v>1</v>
      </c>
      <c r="R38" s="295" t="s">
        <v>1</v>
      </c>
      <c r="S38" s="285" t="s">
        <v>1</v>
      </c>
      <c r="T38" s="296" t="s">
        <v>1</v>
      </c>
      <c r="U38" s="296" t="s">
        <v>1</v>
      </c>
      <c r="V38" s="297" t="s">
        <v>1</v>
      </c>
      <c r="W38" s="295" t="s">
        <v>1</v>
      </c>
      <c r="X38" s="285" t="s">
        <v>1</v>
      </c>
      <c r="Y38" s="296" t="s">
        <v>1</v>
      </c>
      <c r="Z38" s="296" t="s">
        <v>1</v>
      </c>
      <c r="AA38" s="297" t="s">
        <v>1</v>
      </c>
      <c r="AB38" s="295" t="s">
        <v>1</v>
      </c>
      <c r="AC38" s="285" t="s">
        <v>1</v>
      </c>
      <c r="AD38" s="296" t="s">
        <v>1</v>
      </c>
      <c r="AE38" s="296" t="s">
        <v>1</v>
      </c>
      <c r="AF38" s="297" t="s">
        <v>1</v>
      </c>
      <c r="AG38" s="295" t="s">
        <v>1</v>
      </c>
      <c r="AH38" s="285" t="s">
        <v>1</v>
      </c>
      <c r="AI38" s="296" t="s">
        <v>1</v>
      </c>
      <c r="AJ38" s="296" t="s">
        <v>1</v>
      </c>
      <c r="AK38" s="297" t="s">
        <v>1</v>
      </c>
      <c r="AL38" s="295" t="s">
        <v>1</v>
      </c>
      <c r="AM38" s="285" t="s">
        <v>1</v>
      </c>
      <c r="AN38" s="296" t="s">
        <v>1</v>
      </c>
      <c r="AO38" s="296" t="s">
        <v>1</v>
      </c>
      <c r="AP38" s="297" t="s">
        <v>1</v>
      </c>
      <c r="AQ38" s="295" t="s">
        <v>1</v>
      </c>
      <c r="AR38" s="285" t="s">
        <v>1</v>
      </c>
      <c r="AS38" s="296" t="s">
        <v>1</v>
      </c>
      <c r="AT38" s="296" t="s">
        <v>1</v>
      </c>
      <c r="AU38" s="297" t="s">
        <v>1</v>
      </c>
      <c r="AV38" s="295" t="s">
        <v>1</v>
      </c>
      <c r="AW38" s="285" t="s">
        <v>1</v>
      </c>
      <c r="AX38" s="296" t="s">
        <v>1</v>
      </c>
      <c r="AY38" s="296" t="s">
        <v>1</v>
      </c>
      <c r="AZ38" s="297" t="s">
        <v>1</v>
      </c>
      <c r="BA38" s="295" t="s">
        <v>1</v>
      </c>
      <c r="BB38" s="285" t="s">
        <v>1</v>
      </c>
      <c r="BC38" s="296" t="s">
        <v>1</v>
      </c>
      <c r="BD38" s="296" t="s">
        <v>1</v>
      </c>
      <c r="BE38" s="297" t="s">
        <v>1</v>
      </c>
      <c r="BF38" s="295" t="s">
        <v>1</v>
      </c>
      <c r="BG38" s="285" t="s">
        <v>1</v>
      </c>
      <c r="BH38" s="296" t="s">
        <v>1</v>
      </c>
      <c r="BI38" s="296" t="s">
        <v>1</v>
      </c>
      <c r="BJ38" s="297" t="s">
        <v>1</v>
      </c>
      <c r="BK38" s="295" t="s">
        <v>1</v>
      </c>
      <c r="BL38" s="285" t="s">
        <v>1</v>
      </c>
      <c r="BM38" s="296" t="s">
        <v>1</v>
      </c>
      <c r="BN38" s="296" t="s">
        <v>1</v>
      </c>
      <c r="BO38" s="298" t="s">
        <v>1</v>
      </c>
      <c r="CJ38" s="323"/>
      <c r="CL38" s="323"/>
      <c r="CM38" s="323"/>
      <c r="DJ38" s="310" t="s">
        <v>244</v>
      </c>
      <c r="DK38" s="324" t="s">
        <v>241</v>
      </c>
      <c r="DL38" s="324" t="s">
        <v>241</v>
      </c>
      <c r="DM38" s="324" t="s">
        <v>241</v>
      </c>
      <c r="DN38" s="324" t="s">
        <v>241</v>
      </c>
      <c r="DO38" s="324" t="s">
        <v>241</v>
      </c>
      <c r="DP38" s="323">
        <v>0</v>
      </c>
      <c r="DQ38" s="323">
        <v>0</v>
      </c>
    </row>
    <row r="39" spans="1:122">
      <c r="A39" s="283" t="s">
        <v>1</v>
      </c>
      <c r="B39" s="300" t="s">
        <v>80</v>
      </c>
      <c r="P39" s="326"/>
      <c r="V39" s="287" t="str">
        <f>V7</f>
        <v>4-year averages</v>
      </c>
      <c r="AT39" s="326"/>
      <c r="CJ39" s="323"/>
      <c r="CL39" s="323"/>
      <c r="CM39" s="323"/>
      <c r="DD39" s="310" t="s">
        <v>235</v>
      </c>
      <c r="DE39" s="310" t="s">
        <v>236</v>
      </c>
      <c r="DF39" s="310" t="s">
        <v>304</v>
      </c>
      <c r="DG39" s="310" t="s">
        <v>238</v>
      </c>
      <c r="DH39" s="283" t="s">
        <v>305</v>
      </c>
      <c r="DI39" s="310" t="s">
        <v>306</v>
      </c>
      <c r="DJ39" s="310" t="s">
        <v>240</v>
      </c>
      <c r="DK39" s="324" t="s">
        <v>241</v>
      </c>
      <c r="DL39" s="324" t="s">
        <v>241</v>
      </c>
      <c r="DM39" s="324" t="s">
        <v>241</v>
      </c>
      <c r="DN39" s="324" t="s">
        <v>241</v>
      </c>
      <c r="DO39" s="324" t="s">
        <v>241</v>
      </c>
      <c r="DP39" s="323">
        <f>$D233</f>
        <v>0</v>
      </c>
      <c r="DQ39" s="323">
        <f>$H233</f>
        <v>0</v>
      </c>
    </row>
    <row r="40" spans="1:122">
      <c r="A40" s="283" t="s">
        <v>1</v>
      </c>
      <c r="B40" s="283" t="s">
        <v>184</v>
      </c>
      <c r="CJ40" s="323"/>
      <c r="CL40" s="323"/>
      <c r="CM40" s="323"/>
      <c r="DJ40" s="310" t="s">
        <v>244</v>
      </c>
      <c r="DK40" s="324" t="s">
        <v>241</v>
      </c>
      <c r="DL40" s="324" t="s">
        <v>241</v>
      </c>
      <c r="DM40" s="324" t="s">
        <v>241</v>
      </c>
      <c r="DN40" s="324" t="s">
        <v>241</v>
      </c>
      <c r="DO40" s="324" t="s">
        <v>241</v>
      </c>
      <c r="DP40" s="323">
        <f>$C233</f>
        <v>0</v>
      </c>
      <c r="DQ40" s="323">
        <f>$G233</f>
        <v>0</v>
      </c>
    </row>
    <row r="41" spans="1:122">
      <c r="A41" s="283" t="s">
        <v>1</v>
      </c>
      <c r="D41" s="302">
        <f>D48/D55</f>
        <v>5.0612537469047307</v>
      </c>
      <c r="I41" s="302">
        <f>I48/I55</f>
        <v>5.0910799980210752</v>
      </c>
      <c r="N41" s="302">
        <f>N48/N55</f>
        <v>5.0129542477317939</v>
      </c>
      <c r="P41" s="326"/>
      <c r="S41" s="302">
        <f>S48/S55</f>
        <v>7.907619784704143</v>
      </c>
      <c r="X41" s="302">
        <f>X48/X55</f>
        <v>8.3666050523721509</v>
      </c>
      <c r="AC41" s="302">
        <f>AC48/AC55</f>
        <v>6.3130830313776887</v>
      </c>
      <c r="AH41" s="302">
        <f>AH48/AH55</f>
        <v>6.5895105847117277</v>
      </c>
      <c r="AM41" s="302">
        <f>AM48/AM55</f>
        <v>6.682808310991958</v>
      </c>
      <c r="AR41" s="302">
        <f>AR48/AR55</f>
        <v>6.8720252827171304</v>
      </c>
      <c r="AT41" s="326"/>
      <c r="AW41" s="302">
        <f>AW48/AW55</f>
        <v>6.3517786561264824</v>
      </c>
      <c r="BB41" s="302">
        <f>BB48/BB55</f>
        <v>4.0209173656969472</v>
      </c>
      <c r="BG41" s="302">
        <f>BG48/BG55</f>
        <v>5.397302849918348</v>
      </c>
      <c r="BL41" s="302">
        <f>BL48/BL55</f>
        <v>6.0546063067870382</v>
      </c>
      <c r="CJ41" s="323"/>
      <c r="CL41" s="323"/>
      <c r="CM41" s="323"/>
      <c r="DD41" s="310" t="s">
        <v>235</v>
      </c>
      <c r="DE41" s="310" t="s">
        <v>236</v>
      </c>
      <c r="DF41" s="310" t="s">
        <v>307</v>
      </c>
      <c r="DG41" s="310" t="s">
        <v>238</v>
      </c>
      <c r="DH41" s="283" t="s">
        <v>308</v>
      </c>
      <c r="DI41" s="310" t="s">
        <v>290</v>
      </c>
      <c r="DJ41" s="310" t="s">
        <v>240</v>
      </c>
      <c r="DK41" s="324" t="s">
        <v>241</v>
      </c>
      <c r="DL41" s="324" t="s">
        <v>241</v>
      </c>
      <c r="DM41" s="324" t="s">
        <v>241</v>
      </c>
      <c r="DN41" s="324" t="s">
        <v>241</v>
      </c>
      <c r="DO41" s="324" t="s">
        <v>241</v>
      </c>
      <c r="DP41" s="323">
        <f>D238</f>
        <v>6327.666666666667</v>
      </c>
      <c r="DQ41" s="323">
        <f>H238</f>
        <v>2210.2566666666667</v>
      </c>
      <c r="DR41" s="283" t="s">
        <v>1</v>
      </c>
    </row>
    <row r="42" spans="1:122">
      <c r="A42" s="283" t="s">
        <v>1</v>
      </c>
      <c r="C42" s="284" t="s">
        <v>196</v>
      </c>
      <c r="G42" s="287" t="s">
        <v>2</v>
      </c>
      <c r="L42" s="289" t="s">
        <v>3</v>
      </c>
      <c r="P42" s="326"/>
      <c r="Q42" s="287" t="s">
        <v>199</v>
      </c>
      <c r="V42" s="287" t="s">
        <v>201</v>
      </c>
      <c r="AA42" s="287" t="s">
        <v>6</v>
      </c>
      <c r="AF42" s="287" t="s">
        <v>7</v>
      </c>
      <c r="AK42" s="287" t="s">
        <v>8</v>
      </c>
      <c r="AP42" s="287" t="s">
        <v>206</v>
      </c>
      <c r="AT42" s="326"/>
      <c r="AU42" s="287" t="s">
        <v>9</v>
      </c>
      <c r="AZ42" s="287" t="s">
        <v>10</v>
      </c>
      <c r="BE42" s="287" t="s">
        <v>11</v>
      </c>
      <c r="BJ42" s="287" t="s">
        <v>12</v>
      </c>
      <c r="BK42" s="284" t="s">
        <v>211</v>
      </c>
      <c r="BO42" s="301" t="s">
        <v>212</v>
      </c>
      <c r="CJ42" s="323"/>
      <c r="CL42" s="323"/>
      <c r="CM42" s="323"/>
      <c r="DD42" s="310" t="s">
        <v>235</v>
      </c>
      <c r="DE42" s="310" t="s">
        <v>236</v>
      </c>
      <c r="DF42" s="310" t="s">
        <v>309</v>
      </c>
      <c r="DG42" s="310" t="s">
        <v>238</v>
      </c>
      <c r="DH42" s="283" t="s">
        <v>310</v>
      </c>
      <c r="DI42" s="310" t="s">
        <v>311</v>
      </c>
      <c r="DJ42" s="310" t="s">
        <v>240</v>
      </c>
      <c r="DK42" s="324" t="s">
        <v>241</v>
      </c>
      <c r="DL42" s="324" t="s">
        <v>241</v>
      </c>
      <c r="DM42" s="324" t="s">
        <v>241</v>
      </c>
      <c r="DN42" s="324" t="s">
        <v>241</v>
      </c>
      <c r="DO42" s="324" t="s">
        <v>241</v>
      </c>
      <c r="DP42" s="323">
        <f>$D236</f>
        <v>0</v>
      </c>
      <c r="DQ42" s="323">
        <f>$H236</f>
        <v>-5150.1866666666674</v>
      </c>
    </row>
    <row r="43" spans="1:122">
      <c r="A43" s="283" t="s">
        <v>1</v>
      </c>
      <c r="C43" s="304" t="s">
        <v>216</v>
      </c>
      <c r="E43" s="286" t="s">
        <v>217</v>
      </c>
      <c r="G43" s="303" t="s">
        <v>218</v>
      </c>
      <c r="H43" s="304" t="s">
        <v>216</v>
      </c>
      <c r="J43" s="286" t="s">
        <v>217</v>
      </c>
      <c r="L43" s="301" t="s">
        <v>218</v>
      </c>
      <c r="M43" s="307" t="s">
        <v>216</v>
      </c>
      <c r="O43" s="286" t="s">
        <v>217</v>
      </c>
      <c r="P43" s="326"/>
      <c r="Q43" s="303" t="s">
        <v>218</v>
      </c>
      <c r="R43" s="304" t="s">
        <v>216</v>
      </c>
      <c r="T43" s="286" t="s">
        <v>217</v>
      </c>
      <c r="V43" s="303" t="s">
        <v>218</v>
      </c>
      <c r="W43" s="304" t="s">
        <v>216</v>
      </c>
      <c r="Y43" s="286" t="s">
        <v>217</v>
      </c>
      <c r="AA43" s="303" t="s">
        <v>218</v>
      </c>
      <c r="AB43" s="304" t="s">
        <v>216</v>
      </c>
      <c r="AD43" s="286" t="s">
        <v>217</v>
      </c>
      <c r="AF43" s="303" t="s">
        <v>218</v>
      </c>
      <c r="AG43" s="304" t="s">
        <v>216</v>
      </c>
      <c r="AI43" s="286" t="s">
        <v>217</v>
      </c>
      <c r="AK43" s="303" t="s">
        <v>218</v>
      </c>
      <c r="AL43" s="304" t="s">
        <v>216</v>
      </c>
      <c r="AN43" s="286" t="s">
        <v>217</v>
      </c>
      <c r="AP43" s="303" t="s">
        <v>218</v>
      </c>
      <c r="AQ43" s="304" t="s">
        <v>216</v>
      </c>
      <c r="AS43" s="286" t="s">
        <v>217</v>
      </c>
      <c r="AT43" s="326"/>
      <c r="AU43" s="303" t="s">
        <v>218</v>
      </c>
      <c r="AV43" s="304" t="s">
        <v>216</v>
      </c>
      <c r="AX43" s="286" t="s">
        <v>217</v>
      </c>
      <c r="AZ43" s="303" t="s">
        <v>218</v>
      </c>
      <c r="BA43" s="304" t="s">
        <v>216</v>
      </c>
      <c r="BC43" s="286" t="s">
        <v>217</v>
      </c>
      <c r="BE43" s="303" t="s">
        <v>218</v>
      </c>
      <c r="BF43" s="304" t="s">
        <v>216</v>
      </c>
      <c r="BH43" s="286" t="s">
        <v>217</v>
      </c>
      <c r="BJ43" s="303" t="s">
        <v>218</v>
      </c>
      <c r="BK43" s="304" t="s">
        <v>216</v>
      </c>
      <c r="BM43" s="286" t="s">
        <v>217</v>
      </c>
      <c r="BO43" s="301" t="s">
        <v>218</v>
      </c>
      <c r="CJ43" s="323"/>
      <c r="CL43" s="323"/>
      <c r="CM43" s="323"/>
      <c r="DJ43" s="310" t="s">
        <v>244</v>
      </c>
      <c r="DK43" s="324" t="s">
        <v>241</v>
      </c>
      <c r="DL43" s="324" t="s">
        <v>241</v>
      </c>
      <c r="DM43" s="324" t="s">
        <v>241</v>
      </c>
      <c r="DN43" s="324" t="s">
        <v>241</v>
      </c>
      <c r="DO43" s="324" t="s">
        <v>241</v>
      </c>
      <c r="DP43" s="323">
        <f>$C236</f>
        <v>0</v>
      </c>
      <c r="DQ43" s="323">
        <f>$G236</f>
        <v>0</v>
      </c>
    </row>
    <row r="44" spans="1:122">
      <c r="A44" s="283" t="s">
        <v>1</v>
      </c>
      <c r="C44" s="304" t="s">
        <v>230</v>
      </c>
      <c r="D44" s="305" t="s">
        <v>218</v>
      </c>
      <c r="E44" s="306" t="s">
        <v>230</v>
      </c>
      <c r="F44" s="306" t="s">
        <v>218</v>
      </c>
      <c r="G44" s="303" t="s">
        <v>55</v>
      </c>
      <c r="H44" s="304" t="s">
        <v>230</v>
      </c>
      <c r="I44" s="305" t="s">
        <v>218</v>
      </c>
      <c r="J44" s="306" t="s">
        <v>230</v>
      </c>
      <c r="K44" s="306" t="s">
        <v>218</v>
      </c>
      <c r="L44" s="301" t="s">
        <v>55</v>
      </c>
      <c r="M44" s="307" t="s">
        <v>230</v>
      </c>
      <c r="N44" s="305" t="s">
        <v>218</v>
      </c>
      <c r="O44" s="306" t="s">
        <v>230</v>
      </c>
      <c r="P44" s="306" t="s">
        <v>218</v>
      </c>
      <c r="Q44" s="303" t="s">
        <v>55</v>
      </c>
      <c r="R44" s="304" t="s">
        <v>230</v>
      </c>
      <c r="S44" s="305" t="s">
        <v>218</v>
      </c>
      <c r="T44" s="306" t="s">
        <v>230</v>
      </c>
      <c r="U44" s="306" t="s">
        <v>218</v>
      </c>
      <c r="V44" s="303" t="s">
        <v>55</v>
      </c>
      <c r="W44" s="304" t="s">
        <v>230</v>
      </c>
      <c r="X44" s="305" t="s">
        <v>218</v>
      </c>
      <c r="Y44" s="306" t="s">
        <v>230</v>
      </c>
      <c r="Z44" s="306" t="s">
        <v>218</v>
      </c>
      <c r="AA44" s="303" t="s">
        <v>55</v>
      </c>
      <c r="AB44" s="304" t="s">
        <v>230</v>
      </c>
      <c r="AC44" s="305" t="s">
        <v>218</v>
      </c>
      <c r="AD44" s="306" t="s">
        <v>230</v>
      </c>
      <c r="AE44" s="306" t="s">
        <v>218</v>
      </c>
      <c r="AF44" s="303" t="s">
        <v>55</v>
      </c>
      <c r="AG44" s="304" t="s">
        <v>230</v>
      </c>
      <c r="AH44" s="305" t="s">
        <v>218</v>
      </c>
      <c r="AI44" s="306" t="s">
        <v>230</v>
      </c>
      <c r="AJ44" s="306" t="s">
        <v>218</v>
      </c>
      <c r="AK44" s="303" t="s">
        <v>55</v>
      </c>
      <c r="AL44" s="304" t="s">
        <v>230</v>
      </c>
      <c r="AM44" s="305" t="s">
        <v>218</v>
      </c>
      <c r="AN44" s="306" t="s">
        <v>230</v>
      </c>
      <c r="AO44" s="306" t="s">
        <v>218</v>
      </c>
      <c r="AP44" s="303" t="s">
        <v>55</v>
      </c>
      <c r="AQ44" s="304" t="s">
        <v>230</v>
      </c>
      <c r="AR44" s="305" t="s">
        <v>218</v>
      </c>
      <c r="AS44" s="306" t="s">
        <v>230</v>
      </c>
      <c r="AT44" s="306" t="s">
        <v>218</v>
      </c>
      <c r="AU44" s="303" t="s">
        <v>55</v>
      </c>
      <c r="AV44" s="304" t="s">
        <v>230</v>
      </c>
      <c r="AW44" s="305" t="s">
        <v>218</v>
      </c>
      <c r="AX44" s="306" t="s">
        <v>230</v>
      </c>
      <c r="AY44" s="306" t="s">
        <v>218</v>
      </c>
      <c r="AZ44" s="303" t="s">
        <v>55</v>
      </c>
      <c r="BA44" s="304" t="s">
        <v>230</v>
      </c>
      <c r="BB44" s="305" t="s">
        <v>218</v>
      </c>
      <c r="BC44" s="306" t="s">
        <v>230</v>
      </c>
      <c r="BD44" s="306" t="s">
        <v>218</v>
      </c>
      <c r="BE44" s="303" t="s">
        <v>55</v>
      </c>
      <c r="BF44" s="304" t="s">
        <v>230</v>
      </c>
      <c r="BG44" s="305" t="s">
        <v>218</v>
      </c>
      <c r="BH44" s="306" t="s">
        <v>230</v>
      </c>
      <c r="BI44" s="306" t="s">
        <v>218</v>
      </c>
      <c r="BJ44" s="303" t="s">
        <v>55</v>
      </c>
      <c r="BK44" s="304" t="s">
        <v>230</v>
      </c>
      <c r="BL44" s="305" t="s">
        <v>218</v>
      </c>
      <c r="BM44" s="306" t="s">
        <v>230</v>
      </c>
      <c r="BN44" s="306" t="s">
        <v>218</v>
      </c>
      <c r="BO44" s="301" t="s">
        <v>55</v>
      </c>
      <c r="CJ44" s="323"/>
      <c r="CL44" s="323"/>
      <c r="CM44" s="323"/>
      <c r="DD44" s="310" t="s">
        <v>235</v>
      </c>
      <c r="DE44" s="310" t="s">
        <v>236</v>
      </c>
      <c r="DF44" s="310" t="s">
        <v>312</v>
      </c>
      <c r="DG44" s="310" t="s">
        <v>238</v>
      </c>
      <c r="DH44" s="283" t="s">
        <v>313</v>
      </c>
      <c r="DJ44" s="310" t="s">
        <v>240</v>
      </c>
      <c r="DK44" s="324" t="s">
        <v>241</v>
      </c>
      <c r="DL44" s="324" t="s">
        <v>241</v>
      </c>
      <c r="DM44" s="324" t="s">
        <v>241</v>
      </c>
      <c r="DN44" s="324" t="s">
        <v>241</v>
      </c>
      <c r="DO44" s="324" t="s">
        <v>241</v>
      </c>
      <c r="DP44" s="323">
        <f>$D237</f>
        <v>3152.3333333333335</v>
      </c>
      <c r="DQ44" s="323">
        <f>$H237</f>
        <v>520.84333333333336</v>
      </c>
    </row>
    <row r="45" spans="1:122">
      <c r="A45" s="283" t="s">
        <v>1</v>
      </c>
      <c r="B45" s="315" t="s">
        <v>283</v>
      </c>
      <c r="C45" s="317">
        <v>0</v>
      </c>
      <c r="D45" s="317">
        <v>0</v>
      </c>
      <c r="E45" s="317">
        <v>0</v>
      </c>
      <c r="F45" s="317">
        <v>0</v>
      </c>
      <c r="G45" s="317">
        <v>0</v>
      </c>
      <c r="H45" s="317">
        <v>0</v>
      </c>
      <c r="I45" s="317">
        <v>0</v>
      </c>
      <c r="J45" s="317">
        <v>0</v>
      </c>
      <c r="K45" s="317">
        <v>0</v>
      </c>
      <c r="L45" s="317">
        <v>0</v>
      </c>
      <c r="M45" s="317">
        <v>0</v>
      </c>
      <c r="N45" s="317">
        <v>0</v>
      </c>
      <c r="O45" s="317">
        <v>0</v>
      </c>
      <c r="P45" s="317">
        <v>0</v>
      </c>
      <c r="Q45" s="317">
        <v>0</v>
      </c>
      <c r="R45" s="317">
        <v>0</v>
      </c>
      <c r="S45" s="317">
        <v>0</v>
      </c>
      <c r="T45" s="317">
        <v>0</v>
      </c>
      <c r="U45" s="317">
        <v>0</v>
      </c>
      <c r="V45" s="317">
        <v>0</v>
      </c>
      <c r="W45" s="317">
        <v>0</v>
      </c>
      <c r="X45" s="317">
        <v>0</v>
      </c>
      <c r="Y45" s="317">
        <v>0</v>
      </c>
      <c r="Z45" s="317">
        <v>0</v>
      </c>
      <c r="AA45" s="317">
        <v>0</v>
      </c>
      <c r="AB45" s="317">
        <v>0</v>
      </c>
      <c r="AC45" s="317">
        <v>0</v>
      </c>
      <c r="AD45" s="317">
        <v>0</v>
      </c>
      <c r="AE45" s="317">
        <v>0</v>
      </c>
      <c r="AF45" s="317">
        <v>0</v>
      </c>
      <c r="AG45" s="317">
        <v>0</v>
      </c>
      <c r="AH45" s="317">
        <v>0</v>
      </c>
      <c r="AI45" s="317">
        <v>0</v>
      </c>
      <c r="AJ45" s="317">
        <v>0</v>
      </c>
      <c r="AK45" s="317">
        <v>0</v>
      </c>
      <c r="AL45" s="317">
        <v>0</v>
      </c>
      <c r="AM45" s="317">
        <v>0</v>
      </c>
      <c r="AN45" s="317">
        <v>0</v>
      </c>
      <c r="AO45" s="317">
        <v>0</v>
      </c>
      <c r="AP45" s="317">
        <v>0</v>
      </c>
      <c r="AQ45" s="317">
        <v>0</v>
      </c>
      <c r="AR45" s="317">
        <v>0</v>
      </c>
      <c r="AS45" s="317">
        <v>0</v>
      </c>
      <c r="AT45" s="317">
        <v>0</v>
      </c>
      <c r="AU45" s="317">
        <v>0</v>
      </c>
      <c r="AV45" s="317">
        <v>0</v>
      </c>
      <c r="AW45" s="317">
        <v>0</v>
      </c>
      <c r="AX45" s="317">
        <v>0</v>
      </c>
      <c r="AY45" s="317">
        <v>0</v>
      </c>
      <c r="AZ45" s="317">
        <v>0</v>
      </c>
      <c r="BA45" s="317">
        <v>0</v>
      </c>
      <c r="BB45" s="317">
        <v>0</v>
      </c>
      <c r="BC45" s="317">
        <v>0</v>
      </c>
      <c r="BD45" s="317">
        <v>0</v>
      </c>
      <c r="BE45" s="317">
        <v>0</v>
      </c>
      <c r="BF45" s="317">
        <v>0</v>
      </c>
      <c r="BG45" s="317">
        <v>0</v>
      </c>
      <c r="BH45" s="317">
        <v>0</v>
      </c>
      <c r="BI45" s="317">
        <v>0</v>
      </c>
      <c r="BJ45" s="317">
        <v>0</v>
      </c>
      <c r="BK45" s="317">
        <v>0</v>
      </c>
      <c r="BL45" s="317">
        <v>0</v>
      </c>
      <c r="BM45" s="317">
        <v>0</v>
      </c>
      <c r="BN45" s="317">
        <v>0</v>
      </c>
      <c r="BO45" s="317">
        <v>0</v>
      </c>
      <c r="BP45" s="317">
        <v>0</v>
      </c>
      <c r="CJ45" s="323"/>
      <c r="CL45" s="323"/>
      <c r="CM45" s="323"/>
      <c r="DJ45" s="310" t="s">
        <v>244</v>
      </c>
      <c r="DK45" s="324" t="s">
        <v>241</v>
      </c>
      <c r="DL45" s="324" t="s">
        <v>241</v>
      </c>
      <c r="DM45" s="324" t="s">
        <v>241</v>
      </c>
      <c r="DN45" s="324" t="s">
        <v>241</v>
      </c>
      <c r="DO45" s="324" t="s">
        <v>241</v>
      </c>
      <c r="DP45" s="323">
        <f>$C237</f>
        <v>3005.1728368252529</v>
      </c>
      <c r="DQ45" s="323">
        <f>$G237</f>
        <v>482.74096983045155</v>
      </c>
    </row>
    <row r="46" spans="1:122" s="316" customFormat="1">
      <c r="A46" s="316" t="s">
        <v>1</v>
      </c>
      <c r="B46" s="316" t="s">
        <v>127</v>
      </c>
      <c r="C46" s="317">
        <f>AVERAGE([8]A!C48,[5]A!C48,'[6]2009'!C48,'[7]2010'!C48)</f>
        <v>0</v>
      </c>
      <c r="D46" s="317">
        <f>AVERAGE([8]A!D48,[5]A!D48,'[6]2009'!D48,'[7]2010'!D48)</f>
        <v>0</v>
      </c>
      <c r="E46" s="317">
        <f>AVERAGE([8]A!E48,[5]A!E48,'[6]2009'!E48,'[7]2010'!E48)</f>
        <v>0</v>
      </c>
      <c r="F46" s="317">
        <f>AVERAGE([8]A!F48,[5]A!F48,'[6]2009'!F48,'[7]2010'!F48)</f>
        <v>0</v>
      </c>
      <c r="G46" s="317">
        <f>AVERAGE([8]A!G48,[5]A!G48,'[6]2009'!G48,'[7]2010'!G48)</f>
        <v>0</v>
      </c>
      <c r="H46" s="317">
        <f>AVERAGE([8]A!H48,[5]A!H48,'[6]2009'!H48,'[7]2010'!H48)</f>
        <v>0</v>
      </c>
      <c r="I46" s="317">
        <f>AVERAGE([8]A!I48,[5]A!I48,'[6]2009'!I48,'[7]2010'!I48)</f>
        <v>0</v>
      </c>
      <c r="J46" s="317">
        <f>AVERAGE([8]A!J48,[5]A!J48,'[6]2009'!J48,'[7]2010'!J48)</f>
        <v>0</v>
      </c>
      <c r="K46" s="317">
        <f>AVERAGE([8]A!K48,[5]A!K48,'[6]2009'!K48,'[7]2010'!K48)</f>
        <v>0</v>
      </c>
      <c r="L46" s="317">
        <f>AVERAGE([8]A!L48,[5]A!L48,'[6]2009'!L48,'[7]2010'!L48)</f>
        <v>0</v>
      </c>
      <c r="M46" s="317">
        <f>AVERAGE([8]A!M48,[5]A!M48,'[6]2009'!M48,'[7]2010'!M48)</f>
        <v>0</v>
      </c>
      <c r="N46" s="317">
        <f>AVERAGE([8]A!N48,[5]A!N48,'[6]2009'!N48,'[7]2010'!N48)</f>
        <v>0</v>
      </c>
      <c r="O46" s="317">
        <f>AVERAGE([8]A!O48,[5]A!O48,'[6]2009'!O48,'[7]2010'!O48)</f>
        <v>0</v>
      </c>
      <c r="P46" s="317">
        <f>AVERAGE([8]A!P48,[5]A!P48,'[6]2009'!P48,'[7]2010'!P48)</f>
        <v>0</v>
      </c>
      <c r="Q46" s="317">
        <f>AVERAGE([8]A!Q48,[5]A!Q48,'[6]2009'!Q48,'[7]2010'!Q48)</f>
        <v>0</v>
      </c>
      <c r="R46" s="317">
        <f>AVERAGE([8]A!R48,[5]A!R48,'[6]2009'!R48,'[7]2010'!R48)</f>
        <v>0</v>
      </c>
      <c r="S46" s="317">
        <f>AVERAGE([8]A!S48,[5]A!S48,'[6]2009'!S48,'[7]2010'!S48)</f>
        <v>0</v>
      </c>
      <c r="T46" s="317">
        <f>AVERAGE([8]A!T48,[5]A!T48,'[6]2009'!T48,'[7]2010'!T48)</f>
        <v>0</v>
      </c>
      <c r="U46" s="317">
        <f>AVERAGE([8]A!U48,[5]A!U48,'[6]2009'!U48,'[7]2010'!U48)</f>
        <v>0</v>
      </c>
      <c r="V46" s="317">
        <f>AVERAGE([8]A!V48,[5]A!V48,'[6]2009'!V48,'[7]2010'!V48)</f>
        <v>0</v>
      </c>
      <c r="W46" s="317">
        <f>AVERAGE([8]A!W48,[5]A!W48,'[6]2009'!W48,'[7]2010'!W48)</f>
        <v>0</v>
      </c>
      <c r="X46" s="317">
        <f>AVERAGE([8]A!X48,[5]A!X48,'[6]2009'!X48,'[7]2010'!X48)</f>
        <v>0</v>
      </c>
      <c r="Y46" s="317">
        <f>AVERAGE([8]A!Y48,[5]A!Y48,'[6]2009'!Y48,'[7]2010'!Y48)</f>
        <v>0</v>
      </c>
      <c r="Z46" s="317">
        <f>AVERAGE([8]A!Z48,[5]A!Z48,'[6]2009'!Z48,'[7]2010'!Z48)</f>
        <v>0</v>
      </c>
      <c r="AA46" s="317">
        <f>AVERAGE([8]A!AA48,[5]A!AA48,'[6]2009'!AA48,'[7]2010'!AA48)</f>
        <v>0</v>
      </c>
      <c r="AB46" s="317">
        <f>AVERAGE([8]A!AB48,[5]A!AB48,'[6]2009'!AB48,'[7]2010'!AB48)</f>
        <v>0</v>
      </c>
      <c r="AC46" s="317">
        <f>AVERAGE([8]A!AC48,[5]A!AC48,'[6]2009'!AC48,'[7]2010'!AC48)</f>
        <v>0</v>
      </c>
      <c r="AD46" s="317">
        <f>AVERAGE([8]A!AD48,[5]A!AD48,'[6]2009'!AD48,'[7]2010'!AD48)</f>
        <v>0</v>
      </c>
      <c r="AE46" s="317">
        <f>AVERAGE([8]A!AE48,[5]A!AE48,'[6]2009'!AE48,'[7]2010'!AE48)</f>
        <v>0</v>
      </c>
      <c r="AF46" s="317">
        <f>AVERAGE([8]A!AF48,[5]A!AF48,'[6]2009'!AF48,'[7]2010'!AF48)</f>
        <v>0</v>
      </c>
      <c r="AG46" s="317">
        <f>AVERAGE([8]A!AG48,[5]A!AG48,'[6]2009'!AG48,'[7]2010'!AG48)</f>
        <v>0</v>
      </c>
      <c r="AH46" s="317">
        <f>AVERAGE([8]A!AH48,[5]A!AH48,'[6]2009'!AH48,'[7]2010'!AH48)</f>
        <v>0</v>
      </c>
      <c r="AI46" s="317">
        <f>AVERAGE([8]A!AI48,[5]A!AI48,'[6]2009'!AI48,'[7]2010'!AI48)</f>
        <v>0</v>
      </c>
      <c r="AJ46" s="317">
        <f>AVERAGE([8]A!AJ48,[5]A!AJ48,'[6]2009'!AJ48,'[7]2010'!AJ48)</f>
        <v>0</v>
      </c>
      <c r="AK46" s="317">
        <f>AVERAGE([8]A!AK48,[5]A!AK48,'[6]2009'!AK48,'[7]2010'!AK48)</f>
        <v>0</v>
      </c>
      <c r="AL46" s="317">
        <f>AVERAGE([8]A!AL48,[5]A!AL48,'[6]2009'!AL48,'[7]2010'!AL48)</f>
        <v>0</v>
      </c>
      <c r="AM46" s="317">
        <f>AVERAGE([8]A!AM48,[5]A!AM48,'[6]2009'!AM48,'[7]2010'!AM48)</f>
        <v>0</v>
      </c>
      <c r="AN46" s="317">
        <f>AVERAGE([8]A!AN48,[5]A!AN48,'[6]2009'!AN48,'[7]2010'!AN48)</f>
        <v>0</v>
      </c>
      <c r="AO46" s="317">
        <f>AVERAGE([8]A!AO48,[5]A!AO48,'[6]2009'!AO48,'[7]2010'!AO48)</f>
        <v>0</v>
      </c>
      <c r="AP46" s="317">
        <f>AVERAGE([8]A!AP48,[5]A!AP48,'[6]2009'!AP48,'[7]2010'!AP48)</f>
        <v>0</v>
      </c>
      <c r="AQ46" s="317">
        <f>AVERAGE([8]A!AQ48,[5]A!AQ48,'[6]2009'!AQ48,'[7]2010'!AQ48)</f>
        <v>0</v>
      </c>
      <c r="AR46" s="317">
        <f>AVERAGE([8]A!AR48,[5]A!AR48,'[6]2009'!AR48,'[7]2010'!AR48)</f>
        <v>0</v>
      </c>
      <c r="AS46" s="317">
        <f>AVERAGE([8]A!AS48,[5]A!AS48,'[6]2009'!AS48,'[7]2010'!AS48)</f>
        <v>0</v>
      </c>
      <c r="AT46" s="317">
        <f>AVERAGE([8]A!AT48,[5]A!AT48,'[6]2009'!AT48,'[7]2010'!AT48)</f>
        <v>0</v>
      </c>
      <c r="AU46" s="317">
        <f>AVERAGE([8]A!AU48,[5]A!AU48,'[6]2009'!AU48,'[7]2010'!AU48)</f>
        <v>0</v>
      </c>
      <c r="AV46" s="317">
        <f>AVERAGE([8]A!AV48,[5]A!AV48,'[6]2009'!AV48,'[7]2010'!AV48)</f>
        <v>0</v>
      </c>
      <c r="AW46" s="317">
        <f>AVERAGE([8]A!AW48,[5]A!AW48,'[6]2009'!AW48,'[7]2010'!AW48)</f>
        <v>0</v>
      </c>
      <c r="AX46" s="317">
        <f>AVERAGE([8]A!AX48,[5]A!AX48,'[6]2009'!AX48,'[7]2010'!AX48)</f>
        <v>0</v>
      </c>
      <c r="AY46" s="317">
        <f>AVERAGE([8]A!AY48,[5]A!AY48,'[6]2009'!AY48,'[7]2010'!AY48)</f>
        <v>0</v>
      </c>
      <c r="AZ46" s="317">
        <f>AVERAGE([8]A!AZ48,[5]A!AZ48,'[6]2009'!AZ48,'[7]2010'!AZ48)</f>
        <v>0</v>
      </c>
      <c r="BA46" s="317">
        <f>AVERAGE([8]A!BA48,[5]A!BA48,'[6]2009'!BA48,'[7]2010'!BA48)</f>
        <v>0</v>
      </c>
      <c r="BB46" s="317">
        <f>AVERAGE([8]A!BB48,[5]A!BB48,'[6]2009'!BB48,'[7]2010'!BB48)</f>
        <v>0</v>
      </c>
      <c r="BC46" s="317">
        <f>AVERAGE([8]A!BC48,[5]A!BC48,'[6]2009'!BC48,'[7]2010'!BC48)</f>
        <v>0</v>
      </c>
      <c r="BD46" s="317">
        <f>AVERAGE([8]A!BD48,[5]A!BD48,'[6]2009'!BD48,'[7]2010'!BD48)</f>
        <v>0</v>
      </c>
      <c r="BE46" s="317">
        <f>AVERAGE([8]A!BE48,[5]A!BE48,'[6]2009'!BE48,'[7]2010'!BE48)</f>
        <v>0</v>
      </c>
      <c r="BF46" s="317">
        <f>AVERAGE([8]A!BF48,[5]A!BF48,'[6]2009'!BF48,'[7]2010'!BF48)</f>
        <v>0</v>
      </c>
      <c r="BG46" s="317">
        <f>AVERAGE([8]A!BG48,[5]A!BG48,'[6]2009'!BG48,'[7]2010'!BG48)</f>
        <v>0</v>
      </c>
      <c r="BH46" s="317">
        <f>AVERAGE([8]A!BH48,[5]A!BH48,'[6]2009'!BH48,'[7]2010'!BH48)</f>
        <v>0</v>
      </c>
      <c r="BI46" s="317">
        <f>AVERAGE([8]A!BI48,[5]A!BI48,'[6]2009'!BI48,'[7]2010'!BI48)</f>
        <v>0</v>
      </c>
      <c r="BJ46" s="317">
        <f>AVERAGE([8]A!BJ48,[5]A!BJ48,'[6]2009'!BJ48,'[7]2010'!BJ48)</f>
        <v>0</v>
      </c>
      <c r="BK46" s="317">
        <f>AVERAGE([8]A!BK48,[5]A!BK48,'[6]2009'!BK48,'[7]2010'!BK48)</f>
        <v>0</v>
      </c>
      <c r="BL46" s="317">
        <f>AVERAGE([8]A!BL48,[5]A!BL48,'[6]2009'!BL48,'[7]2010'!BL48)</f>
        <v>0</v>
      </c>
      <c r="BM46" s="317">
        <f>AVERAGE([8]A!BM48,[5]A!BM48,'[6]2009'!BM48,'[7]2010'!BM48)</f>
        <v>0</v>
      </c>
      <c r="BN46" s="317">
        <f>AVERAGE([8]A!BN48,[5]A!BN48,'[6]2009'!BN48,'[7]2010'!BN48)</f>
        <v>0</v>
      </c>
      <c r="BO46" s="317">
        <f>AVERAGE([8]A!BO48,[5]A!BO48,'[6]2009'!BO48,'[7]2010'!BO48)</f>
        <v>0</v>
      </c>
      <c r="CJ46" s="319"/>
      <c r="CL46" s="319"/>
      <c r="CM46" s="319"/>
      <c r="DD46" s="321" t="s">
        <v>235</v>
      </c>
      <c r="DE46" s="321" t="s">
        <v>236</v>
      </c>
      <c r="DF46" s="321" t="s">
        <v>314</v>
      </c>
      <c r="DG46" s="321" t="s">
        <v>238</v>
      </c>
      <c r="DH46" s="316" t="s">
        <v>315</v>
      </c>
      <c r="DI46" s="321" t="s">
        <v>316</v>
      </c>
      <c r="DJ46" s="321" t="s">
        <v>240</v>
      </c>
      <c r="DK46" s="322" t="s">
        <v>241</v>
      </c>
      <c r="DL46" s="322" t="s">
        <v>241</v>
      </c>
      <c r="DM46" s="322" t="s">
        <v>241</v>
      </c>
      <c r="DN46" s="322" t="s">
        <v>241</v>
      </c>
      <c r="DO46" s="322" t="s">
        <v>241</v>
      </c>
      <c r="DP46" s="319">
        <f>$D242</f>
        <v>10211.666666666666</v>
      </c>
      <c r="DQ46" s="319">
        <f>$H242</f>
        <v>1055.0766666666666</v>
      </c>
    </row>
    <row r="47" spans="1:122">
      <c r="A47" s="283" t="s">
        <v>1</v>
      </c>
      <c r="B47" s="283" t="s">
        <v>63</v>
      </c>
      <c r="C47" s="317">
        <f>AVERAGE([5]A!C49,'[6]2009'!C49,'[7]2010'!C49)</f>
        <v>22808.508591010312</v>
      </c>
      <c r="D47" s="317">
        <f>AVERAGE([5]A!D49,'[6]2009'!D49,'[7]2010'!D49)</f>
        <v>23845.333333333332</v>
      </c>
      <c r="E47" s="317">
        <f>AVERAGE([5]A!E49,'[6]2009'!E49,'[7]2010'!E49)</f>
        <v>18009.159692847014</v>
      </c>
      <c r="F47" s="317">
        <f>AVERAGE([5]A!F49,'[6]2009'!F49,'[7]2010'!F49)</f>
        <v>10582.140000000001</v>
      </c>
      <c r="G47" s="317">
        <f>AVERAGE([5]A!G49,'[6]2009'!G49,'[7]2010'!G49)</f>
        <v>28.779920012908935</v>
      </c>
      <c r="H47" s="317">
        <f>AVERAGE([5]A!H49,'[6]2009'!H49,'[7]2010'!H49)</f>
        <v>20840.482097519765</v>
      </c>
      <c r="I47" s="317">
        <f>AVERAGE([5]A!I49,'[6]2009'!I49,'[7]2010'!I49)</f>
        <v>24204</v>
      </c>
      <c r="J47" s="317">
        <f>AVERAGE([5]A!J49,'[6]2009'!J49,'[7]2010'!J49)</f>
        <v>15749.458972988303</v>
      </c>
      <c r="K47" s="317">
        <f>AVERAGE([5]A!K49,'[6]2009'!K49,'[7]2010'!K49)</f>
        <v>13554.793333333335</v>
      </c>
      <c r="L47" s="317">
        <f>AVERAGE([5]A!L49,'[6]2009'!L49,'[7]2010'!L49)</f>
        <v>32.655870124533756</v>
      </c>
      <c r="M47" s="317">
        <f>AVERAGE([5]A!M49,'[6]2009'!M49,'[7]2010'!M49)</f>
        <v>22336.151177475607</v>
      </c>
      <c r="N47" s="317">
        <f>AVERAGE([5]A!N49,'[6]2009'!N49,'[7]2010'!N49)</f>
        <v>20970.666666666668</v>
      </c>
      <c r="O47" s="317">
        <f>AVERAGE([5]A!O49,'[6]2009'!O49,'[7]2010'!O49)</f>
        <v>17557.694956405554</v>
      </c>
      <c r="P47" s="317">
        <f>AVERAGE([5]A!P49,'[6]2009'!P49,'[7]2010'!P49)</f>
        <v>12819.053333333335</v>
      </c>
      <c r="Q47" s="317">
        <f>AVERAGE([5]A!Q49,'[6]2009'!Q49,'[7]2010'!Q49)</f>
        <v>28.346288169594974</v>
      </c>
      <c r="R47" s="317">
        <f>AVERAGE([5]A!R49,'[6]2009'!R49,'[7]2010'!R49)</f>
        <v>23282.07889355694</v>
      </c>
      <c r="S47" s="317">
        <f>AVERAGE([5]A!S49,'[6]2009'!S49,'[7]2010'!S49)</f>
        <v>21157</v>
      </c>
      <c r="T47" s="317">
        <f>AVERAGE([5]A!T49,'[6]2009'!T49,'[7]2010'!T49)</f>
        <v>16784.277470269953</v>
      </c>
      <c r="U47" s="317">
        <f>AVERAGE([5]A!U49,'[6]2009'!U49,'[7]2010'!U49)</f>
        <v>12545.49</v>
      </c>
      <c r="V47" s="317">
        <f>AVERAGE([5]A!V49,'[6]2009'!V49,'[7]2010'!V49)</f>
        <v>26.742500335520305</v>
      </c>
      <c r="W47" s="317">
        <f>AVERAGE([5]A!W49,'[6]2009'!W49,'[7]2010'!W49)</f>
        <v>25931.70426751615</v>
      </c>
      <c r="X47" s="317">
        <f>AVERAGE([5]A!X49,'[6]2009'!X49,'[7]2010'!X49)</f>
        <v>27855.333333333332</v>
      </c>
      <c r="Y47" s="317">
        <f>AVERAGE([5]A!Y49,'[6]2009'!Y49,'[7]2010'!Y49)</f>
        <v>20189.533639711794</v>
      </c>
      <c r="Z47" s="317">
        <f>AVERAGE([5]A!Z49,'[6]2009'!Z49,'[7]2010'!Z49)</f>
        <v>18381.650000000001</v>
      </c>
      <c r="AA47" s="317">
        <f>AVERAGE([5]A!AA49,'[6]2009'!AA49,'[7]2010'!AA49)</f>
        <v>31.76643793089475</v>
      </c>
      <c r="AB47" s="317">
        <f>AVERAGE([5]A!AB49,'[6]2009'!AB49,'[7]2010'!AB49)</f>
        <v>28481.799266374754</v>
      </c>
      <c r="AC47" s="317">
        <f>AVERAGE([5]A!AC49,'[6]2009'!AC49,'[7]2010'!AC49)</f>
        <v>28678.666666666668</v>
      </c>
      <c r="AD47" s="317">
        <f>AVERAGE([5]A!AD49,'[6]2009'!AD49,'[7]2010'!AD49)</f>
        <v>22503.794649150295</v>
      </c>
      <c r="AE47" s="317">
        <f>AVERAGE([5]A!AE49,'[6]2009'!AE49,'[7]2010'!AE49)</f>
        <v>19088.103333333333</v>
      </c>
      <c r="AF47" s="317">
        <f>AVERAGE([5]A!AF49,'[6]2009'!AF49,'[7]2010'!AF49)</f>
        <v>30.413914205752164</v>
      </c>
      <c r="AG47" s="317">
        <f>AVERAGE([5]A!AG49,'[6]2009'!AG49,'[7]2010'!AG49)</f>
        <v>30831.51092490647</v>
      </c>
      <c r="AH47" s="317">
        <f>AVERAGE([5]A!AH49,'[6]2009'!AH49,'[7]2010'!AH49)</f>
        <v>31574.333333333332</v>
      </c>
      <c r="AI47" s="317">
        <f>AVERAGE([5]A!AI49,'[6]2009'!AI49,'[7]2010'!AI49)</f>
        <v>23155.837867022234</v>
      </c>
      <c r="AJ47" s="317">
        <f>AVERAGE([5]A!AJ49,'[6]2009'!AJ49,'[7]2010'!AJ49)</f>
        <v>16165.159999999998</v>
      </c>
      <c r="AK47" s="317">
        <f>AVERAGE([5]A!AK49,'[6]2009'!AK49,'[7]2010'!AK49)</f>
        <v>29.982792113610227</v>
      </c>
      <c r="AL47" s="317">
        <f>AVERAGE([5]A!AL49,'[6]2009'!AL49,'[7]2010'!AL49)</f>
        <v>30849.251773592357</v>
      </c>
      <c r="AM47" s="317">
        <f>AVERAGE([5]A!AM49,'[6]2009'!AM49,'[7]2010'!AM49)</f>
        <v>30307</v>
      </c>
      <c r="AN47" s="317">
        <f>AVERAGE([5]A!AN49,'[6]2009'!AN49,'[7]2010'!AN49)</f>
        <v>22900.644493559827</v>
      </c>
      <c r="AO47" s="317">
        <f>AVERAGE([5]A!AO49,'[6]2009'!AO49,'[7]2010'!AO49)</f>
        <v>15859.710000000001</v>
      </c>
      <c r="AP47" s="317">
        <f>AVERAGE([5]A!AP49,'[6]2009'!AP49,'[7]2010'!AP49)</f>
        <v>27.893493472951093</v>
      </c>
      <c r="AQ47" s="317">
        <f>AVERAGE([5]A!AQ49,'[6]2009'!AQ49,'[7]2010'!AQ49)</f>
        <v>30539.322097479755</v>
      </c>
      <c r="AR47" s="317">
        <f>AVERAGE([5]A!AR49,'[6]2009'!AR49,'[7]2010'!AR49)</f>
        <v>30894.666666666668</v>
      </c>
      <c r="AS47" s="317">
        <f>AVERAGE([5]A!AS49,'[6]2009'!AS49,'[7]2010'!AS49)</f>
        <v>22598.13710307682</v>
      </c>
      <c r="AT47" s="317">
        <f>AVERAGE([5]A!AT49,'[6]2009'!AT49,'[7]2010'!AT49)</f>
        <v>13728.643333333333</v>
      </c>
      <c r="AU47" s="317">
        <f>AVERAGE([5]A!AU49,'[6]2009'!AU49,'[7]2010'!AU49)</f>
        <v>30.614148854714301</v>
      </c>
      <c r="AV47" s="317">
        <f>AVERAGE([5]A!AV49,'[6]2009'!AV49,'[7]2010'!AV49)</f>
        <v>28919.597558717272</v>
      </c>
      <c r="AW47" s="317">
        <f>AVERAGE([5]A!AW49,'[6]2009'!AW49,'[7]2010'!AW49)</f>
        <v>25367.333333333332</v>
      </c>
      <c r="AX47" s="317">
        <f>AVERAGE([5]A!AX49,'[6]2009'!AX49,'[7]2010'!AX49)</f>
        <v>20936.715187887956</v>
      </c>
      <c r="AY47" s="317">
        <f>AVERAGE([5]A!AY49,'[6]2009'!AY49,'[7]2010'!AY49)</f>
        <v>10706.083333333334</v>
      </c>
      <c r="AZ47" s="317">
        <f>AVERAGE([5]A!AZ49,'[6]2009'!AZ49,'[7]2010'!AZ49)</f>
        <v>29.891333362392192</v>
      </c>
      <c r="BA47" s="317">
        <f>AVERAGE([5]A!BA49,'[6]2009'!BA49,'[7]2010'!BA49)</f>
        <v>25001.865048643511</v>
      </c>
      <c r="BB47" s="317">
        <f>AVERAGE([5]A!BB49,'[6]2009'!BB49,'[7]2010'!BB49)</f>
        <v>24623.333333333332</v>
      </c>
      <c r="BC47" s="317">
        <f>AVERAGE([5]A!BC49,'[6]2009'!BC49,'[7]2010'!BC49)</f>
        <v>18028.970168910917</v>
      </c>
      <c r="BD47" s="317">
        <f>AVERAGE([5]A!BD49,'[6]2009'!BD49,'[7]2010'!BD49)</f>
        <v>11174.393333333333</v>
      </c>
      <c r="BE47" s="317">
        <f>AVERAGE([5]A!BE49,'[6]2009'!BE49,'[7]2010'!BE49)</f>
        <v>35.329460877521711</v>
      </c>
      <c r="BF47" s="317">
        <f>AVERAGE([5]A!BF49,'[6]2009'!BF49,'[7]2010'!BF49)</f>
        <v>22721.349938577536</v>
      </c>
      <c r="BG47" s="317">
        <f>AVERAGE([5]A!BG49,'[6]2009'!BG49,'[7]2010'!BG49)</f>
        <v>24743.333333333332</v>
      </c>
      <c r="BH47" s="317">
        <f>AVERAGE([5]A!BH49,'[6]2009'!BH49,'[7]2010'!BH49)</f>
        <v>16431.084603533334</v>
      </c>
      <c r="BI47" s="317">
        <f>AVERAGE([5]A!BI49,'[6]2009'!BI49,'[7]2010'!BI49)</f>
        <v>11124.06</v>
      </c>
      <c r="BJ47" s="317">
        <f>AVERAGE([5]A!BJ49,'[6]2009'!BJ49,'[7]2010'!BJ49)</f>
        <v>35.930838551270632</v>
      </c>
      <c r="BK47" s="317">
        <f>AVERAGE([5]A!BK49,'[6]2009'!BK49,'[7]2010'!BK49)</f>
        <v>312543.62163537048</v>
      </c>
      <c r="BL47" s="317">
        <f>AVERAGE([5]A!BL49,'[6]2009'!BL49,'[7]2010'!BL49)</f>
        <v>314221</v>
      </c>
      <c r="BM47" s="317">
        <f>AVERAGE([5]A!BM49,'[6]2009'!BM49,'[7]2010'!BM49)</f>
        <v>234845.30880536398</v>
      </c>
      <c r="BN47" s="317">
        <f>AVERAGE([5]A!BN49,'[6]2009'!BN49,'[7]2010'!BN49)</f>
        <v>165729.28</v>
      </c>
      <c r="BO47" s="317">
        <f>AVERAGE([8]A!BO49,[5]A!BO49,'[6]2009'!BO49,'[7]2010'!BO49)</f>
        <v>34.43837662724826</v>
      </c>
      <c r="CJ47" s="323"/>
      <c r="CL47" s="323"/>
      <c r="CM47" s="323"/>
      <c r="DJ47" s="310" t="s">
        <v>244</v>
      </c>
      <c r="DK47" s="324" t="s">
        <v>241</v>
      </c>
      <c r="DL47" s="324" t="s">
        <v>241</v>
      </c>
      <c r="DM47" s="324" t="s">
        <v>241</v>
      </c>
      <c r="DN47" s="324" t="s">
        <v>241</v>
      </c>
      <c r="DO47" s="324" t="s">
        <v>241</v>
      </c>
      <c r="DP47" s="323">
        <f>$C242</f>
        <v>14129.572373903045</v>
      </c>
      <c r="DQ47" s="323">
        <f>$G242</f>
        <v>2383.1501948719829</v>
      </c>
    </row>
    <row r="48" spans="1:122" s="316" customFormat="1">
      <c r="A48" s="316" t="s">
        <v>1</v>
      </c>
      <c r="B48" s="316" t="s">
        <v>61</v>
      </c>
      <c r="C48" s="317">
        <f>AVERAGE([5]A!C50,'[6]2009'!C50,'[7]2010'!C50)</f>
        <v>41985.985545476804</v>
      </c>
      <c r="D48" s="317">
        <f>AVERAGE([5]A!D50,'[6]2009'!D50,'[7]2010'!D50)</f>
        <v>38835</v>
      </c>
      <c r="E48" s="317">
        <f>AVERAGE([5]A!E50,'[6]2009'!E50,'[7]2010'!E50)</f>
        <v>9448.2518496068078</v>
      </c>
      <c r="F48" s="317">
        <f>AVERAGE([5]A!F50,'[6]2009'!F50,'[7]2010'!F50)</f>
        <v>8096.7966666666662</v>
      </c>
      <c r="G48" s="317">
        <f>AVERAGE([5]A!G50,'[6]2009'!G50,'[7]2010'!G50)</f>
        <v>46.97188537683229</v>
      </c>
      <c r="H48" s="317">
        <f>AVERAGE([5]A!H50,'[6]2009'!H50,'[7]2010'!H50)</f>
        <v>33631.767925900327</v>
      </c>
      <c r="I48" s="317">
        <f>AVERAGE([5]A!I50,'[6]2009'!I50,'[7]2010'!I50)</f>
        <v>34302</v>
      </c>
      <c r="J48" s="317">
        <f>AVERAGE([5]A!J50,'[6]2009'!J50,'[7]2010'!J50)</f>
        <v>7654.5296708747119</v>
      </c>
      <c r="K48" s="317">
        <f>AVERAGE([5]A!K50,'[6]2009'!K50,'[7]2010'!K50)</f>
        <v>7151.583333333333</v>
      </c>
      <c r="L48" s="317">
        <f>AVERAGE([5]A!L50,'[6]2009'!L50,'[7]2010'!L50)</f>
        <v>46.85367060500721</v>
      </c>
      <c r="M48" s="317">
        <f>AVERAGE([5]A!M50,'[6]2009'!M50,'[7]2010'!M50)</f>
        <v>37054.938926968927</v>
      </c>
      <c r="N48" s="317">
        <f>AVERAGE([5]A!N50,'[6]2009'!N50,'[7]2010'!N50)</f>
        <v>34440.666666666664</v>
      </c>
      <c r="O48" s="317">
        <f>AVERAGE([5]A!O50,'[6]2009'!O50,'[7]2010'!O50)</f>
        <v>8396.9111449105494</v>
      </c>
      <c r="P48" s="317">
        <f>AVERAGE([5]A!P50,'[6]2009'!P50,'[7]2010'!P50)</f>
        <v>7207.6133333333337</v>
      </c>
      <c r="Q48" s="317">
        <f>AVERAGE([5]A!Q50,'[6]2009'!Q50,'[7]2010'!Q50)</f>
        <v>46.759877152927025</v>
      </c>
      <c r="R48" s="317">
        <f>AVERAGE([5]A!R50,'[6]2009'!R50,'[7]2010'!R50)</f>
        <v>36935.033550536697</v>
      </c>
      <c r="S48" s="317">
        <f>AVERAGE([5]A!S50,'[6]2009'!S50,'[7]2010'!S50)</f>
        <v>37463.666666666664</v>
      </c>
      <c r="T48" s="317">
        <f>AVERAGE([5]A!T50,'[6]2009'!T50,'[7]2010'!T50)</f>
        <v>8414.3491275953838</v>
      </c>
      <c r="U48" s="317">
        <f>AVERAGE([5]A!U50,'[6]2009'!U50,'[7]2010'!U50)</f>
        <v>7869.3999999999987</v>
      </c>
      <c r="V48" s="317">
        <f>AVERAGE([5]A!V50,'[6]2009'!V50,'[7]2010'!V50)</f>
        <v>47.49189460971013</v>
      </c>
      <c r="W48" s="317">
        <f>AVERAGE([5]A!W50,'[6]2009'!W50,'[7]2010'!W50)</f>
        <v>45421.765005005269</v>
      </c>
      <c r="X48" s="317">
        <f>AVERAGE([5]A!X50,'[6]2009'!X50,'[7]2010'!X50)</f>
        <v>45263.333333333336</v>
      </c>
      <c r="Y48" s="317">
        <f>AVERAGE([5]A!Y50,'[6]2009'!Y50,'[7]2010'!Y50)</f>
        <v>10345.807779326213</v>
      </c>
      <c r="Z48" s="317">
        <f>AVERAGE([5]A!Z50,'[6]2009'!Z50,'[7]2010'!Z50)</f>
        <v>9499.9866666666658</v>
      </c>
      <c r="AA48" s="317">
        <f>AVERAGE([5]A!AA50,'[6]2009'!AA50,'[7]2010'!AA50)</f>
        <v>51.50046675677023</v>
      </c>
      <c r="AB48" s="317">
        <f>AVERAGE([5]A!AB50,'[6]2009'!AB50,'[7]2010'!AB50)</f>
        <v>56648.42796129288</v>
      </c>
      <c r="AC48" s="317">
        <f>AVERAGE([5]A!AC50,'[6]2009'!AC50,'[7]2010'!AC50)</f>
        <v>54591.333333333336</v>
      </c>
      <c r="AD48" s="317">
        <f>AVERAGE([5]A!AD50,'[6]2009'!AD50,'[7]2010'!AD50)</f>
        <v>12740.792692010882</v>
      </c>
      <c r="AE48" s="317">
        <f>AVERAGE([5]A!AE50,'[6]2009'!AE50,'[7]2010'!AE50)</f>
        <v>11513.69</v>
      </c>
      <c r="AF48" s="317">
        <f>AVERAGE([5]A!AF50,'[6]2009'!AF50,'[7]2010'!AF50)</f>
        <v>57.726762657377435</v>
      </c>
      <c r="AG48" s="317">
        <f>AVERAGE([5]A!AG50,'[6]2009'!AG50,'[7]2010'!AG50)</f>
        <v>69400.570551090525</v>
      </c>
      <c r="AH48" s="317">
        <f>AVERAGE([5]A!AH50,'[6]2009'!AH50,'[7]2010'!AH50)</f>
        <v>64537.666666666664</v>
      </c>
      <c r="AI48" s="317">
        <f>AVERAGE([5]A!AI50,'[6]2009'!AI50,'[7]2010'!AI50)</f>
        <v>15676.013096938021</v>
      </c>
      <c r="AJ48" s="317">
        <f>AVERAGE([5]A!AJ50,'[6]2009'!AJ50,'[7]2010'!AJ50)</f>
        <v>13620.413333333336</v>
      </c>
      <c r="AK48" s="317">
        <f>AVERAGE([5]A!AK50,'[6]2009'!AK50,'[7]2010'!AK50)</f>
        <v>61.33579383668183</v>
      </c>
      <c r="AL48" s="317">
        <f>AVERAGE([5]A!AL50,'[6]2009'!AL50,'[7]2010'!AL50)</f>
        <v>76443.484800792532</v>
      </c>
      <c r="AM48" s="317">
        <f>AVERAGE([5]A!AM50,'[6]2009'!AM50,'[7]2010'!AM50)</f>
        <v>66471.666666666672</v>
      </c>
      <c r="AN48" s="317">
        <f>AVERAGE([5]A!AN50,'[6]2009'!AN50,'[7]2010'!AN50)</f>
        <v>17331.476518244908</v>
      </c>
      <c r="AO48" s="317">
        <f>AVERAGE([5]A!AO50,'[6]2009'!AO50,'[7]2010'!AO50)</f>
        <v>13990.826666666668</v>
      </c>
      <c r="AP48" s="317">
        <f>AVERAGE([5]A!AP50,'[6]2009'!AP50,'[7]2010'!AP50)</f>
        <v>61.034575290286021</v>
      </c>
      <c r="AQ48" s="317">
        <f>AVERAGE([5]A!AQ50,'[6]2009'!AQ50,'[7]2010'!AQ50)</f>
        <v>66427.567394801634</v>
      </c>
      <c r="AR48" s="317">
        <f>AVERAGE([5]A!AR50,'[6]2009'!AR50,'[7]2010'!AR50)</f>
        <v>60160</v>
      </c>
      <c r="AS48" s="317">
        <f>AVERAGE([5]A!AS50,'[6]2009'!AS50,'[7]2010'!AS50)</f>
        <v>15100.184844361347</v>
      </c>
      <c r="AT48" s="317">
        <f>AVERAGE([5]A!AT50,'[6]2009'!AT50,'[7]2010'!AT50)</f>
        <v>12607.789999999999</v>
      </c>
      <c r="AU48" s="317">
        <f>AVERAGE([5]A!AU50,'[6]2009'!AU50,'[7]2010'!AU50)</f>
        <v>59.142982808848565</v>
      </c>
      <c r="AV48" s="317">
        <f>AVERAGE([5]A!AV50,'[6]2009'!AV50,'[7]2010'!AV50)</f>
        <v>57017.29348194378</v>
      </c>
      <c r="AW48" s="317">
        <f>AVERAGE([5]A!AW50,'[6]2009'!AW50,'[7]2010'!AW50)</f>
        <v>48210</v>
      </c>
      <c r="AX48" s="317">
        <f>AVERAGE([5]A!AX50,'[6]2009'!AX50,'[7]2010'!AX50)</f>
        <v>12898.874525563013</v>
      </c>
      <c r="AY48" s="317">
        <f>AVERAGE([5]A!AY50,'[6]2009'!AY50,'[7]2010'!AY50)</f>
        <v>9812.57</v>
      </c>
      <c r="AZ48" s="317">
        <f>AVERAGE([5]A!AZ50,'[6]2009'!AZ50,'[7]2010'!AZ50)</f>
        <v>56.702922651106206</v>
      </c>
      <c r="BA48" s="317">
        <f>AVERAGE([5]A!BA50,'[6]2009'!BA50,'[7]2010'!BA50)</f>
        <v>45005.263824267524</v>
      </c>
      <c r="BB48" s="317">
        <f>AVERAGE([5]A!BB50,'[6]2009'!BB50,'[7]2010'!BB50)</f>
        <v>37548.666666666664</v>
      </c>
      <c r="BC48" s="317">
        <f>AVERAGE([5]A!BC50,'[6]2009'!BC50,'[7]2010'!BC50)</f>
        <v>10119.458277446511</v>
      </c>
      <c r="BD48" s="317">
        <f>AVERAGE([5]A!BD50,'[6]2009'!BD50,'[7]2010'!BD50)</f>
        <v>7759.753333333334</v>
      </c>
      <c r="BE48" s="317">
        <f>AVERAGE([5]A!BE50,'[6]2009'!BE50,'[7]2010'!BE50)</f>
        <v>54.084130064683364</v>
      </c>
      <c r="BF48" s="317">
        <f>AVERAGE([5]A!BF50,'[6]2009'!BF50,'[7]2010'!BF50)</f>
        <v>35880.795682208314</v>
      </c>
      <c r="BG48" s="317">
        <f>AVERAGE([5]A!BG50,'[6]2009'!BG50,'[7]2010'!BG50)</f>
        <v>34152.333333333336</v>
      </c>
      <c r="BH48" s="317">
        <f>AVERAGE([5]A!BH50,'[6]2009'!BH50,'[7]2010'!BH50)</f>
        <v>8058.8366296552413</v>
      </c>
      <c r="BI48" s="317">
        <f>AVERAGE([5]A!BI50,'[6]2009'!BI50,'[7]2010'!BI50)</f>
        <v>7107.29</v>
      </c>
      <c r="BJ48" s="317">
        <f>AVERAGE([5]A!BJ50,'[6]2009'!BJ50,'[7]2010'!BJ50)</f>
        <v>49.999276188674109</v>
      </c>
      <c r="BK48" s="317">
        <f>AVERAGE([5]A!BK50,'[6]2009'!BK50,'[7]2010'!BK50)</f>
        <v>601852.89465028525</v>
      </c>
      <c r="BL48" s="317">
        <f>AVERAGE([5]A!BL50,'[6]2009'!BL50,'[7]2010'!BL50)</f>
        <v>555976.33333333337</v>
      </c>
      <c r="BM48" s="317">
        <f>AVERAGE([5]A!BM50,'[6]2009'!BM50,'[7]2010'!BM50)</f>
        <v>136185.48615653359</v>
      </c>
      <c r="BN48" s="317">
        <f>AVERAGE([5]A!BN50,'[6]2009'!BN50,'[7]2010'!BN50)</f>
        <v>116237.71333333333</v>
      </c>
      <c r="BO48" s="317">
        <f>AVERAGE([8]A!BO50,[5]A!BO50,'[6]2009'!BO50,'[7]2010'!BO50)</f>
        <v>60.953864901897063</v>
      </c>
      <c r="BP48" s="316">
        <f>BL48/365</f>
        <v>1523.2228310502285</v>
      </c>
      <c r="DD48" s="321" t="s">
        <v>235</v>
      </c>
      <c r="DE48" s="321" t="s">
        <v>236</v>
      </c>
      <c r="DF48" s="321" t="s">
        <v>317</v>
      </c>
      <c r="DG48" s="321" t="s">
        <v>238</v>
      </c>
      <c r="DH48" s="316" t="s">
        <v>318</v>
      </c>
      <c r="DJ48" s="321" t="s">
        <v>240</v>
      </c>
      <c r="DK48" s="322" t="s">
        <v>241</v>
      </c>
      <c r="DL48" s="322" t="s">
        <v>241</v>
      </c>
      <c r="DM48" s="322" t="s">
        <v>241</v>
      </c>
      <c r="DN48" s="322" t="s">
        <v>241</v>
      </c>
      <c r="DO48" s="322" t="s">
        <v>241</v>
      </c>
      <c r="DP48" s="319">
        <f>$D243</f>
        <v>281713.33333333331</v>
      </c>
      <c r="DQ48" s="319">
        <f>$H243</f>
        <v>40251.67</v>
      </c>
    </row>
    <row r="49" spans="1:121">
      <c r="A49" s="283" t="s">
        <v>1</v>
      </c>
      <c r="B49" s="283" t="s">
        <v>66</v>
      </c>
      <c r="C49" s="317">
        <f>AVERAGE([5]A!C51,'[6]2009'!C51,'[7]2010'!C51)</f>
        <v>31268.758882908587</v>
      </c>
      <c r="D49" s="317">
        <f>AVERAGE([5]A!D51,'[6]2009'!D51,'[7]2010'!D51)</f>
        <v>33930.666666666664</v>
      </c>
      <c r="E49" s="317">
        <f>AVERAGE([5]A!E51,'[6]2009'!E51,'[7]2010'!E51)</f>
        <v>8609.0620067385298</v>
      </c>
      <c r="F49" s="317">
        <f>AVERAGE([5]A!F51,'[6]2009'!F51,'[7]2010'!F51)</f>
        <v>8227.8000000000011</v>
      </c>
      <c r="G49" s="317">
        <f>AVERAGE([5]A!G51,'[6]2009'!G51,'[7]2010'!G51)</f>
        <v>41.099376183039134</v>
      </c>
      <c r="H49" s="317">
        <f>AVERAGE([5]A!H51,'[6]2009'!H51,'[7]2010'!H51)</f>
        <v>27801.432314916816</v>
      </c>
      <c r="I49" s="317">
        <f>AVERAGE([5]A!I51,'[6]2009'!I51,'[7]2010'!I51)</f>
        <v>31261.666666666668</v>
      </c>
      <c r="J49" s="317">
        <f>AVERAGE([5]A!J51,'[6]2009'!J51,'[7]2010'!J51)</f>
        <v>7569.7035907461077</v>
      </c>
      <c r="K49" s="317">
        <f>AVERAGE([5]A!K51,'[6]2009'!K51,'[7]2010'!K51)</f>
        <v>8050.6333333333341</v>
      </c>
      <c r="L49" s="317">
        <f>AVERAGE([5]A!L51,'[6]2009'!L51,'[7]2010'!L51)</f>
        <v>43.180371720053444</v>
      </c>
      <c r="M49" s="317">
        <f>AVERAGE([5]A!M51,'[6]2009'!M51,'[7]2010'!M51)</f>
        <v>30434.637087668667</v>
      </c>
      <c r="N49" s="317">
        <f>AVERAGE([5]A!N51,'[6]2009'!N51,'[7]2010'!N51)</f>
        <v>29463.666666666668</v>
      </c>
      <c r="O49" s="317">
        <f>AVERAGE([5]A!O51,'[6]2009'!O51,'[7]2010'!O51)</f>
        <v>8421.6946016212751</v>
      </c>
      <c r="P49" s="317">
        <f>AVERAGE([5]A!P51,'[6]2009'!P51,'[7]2010'!P51)</f>
        <v>7838.8466666666673</v>
      </c>
      <c r="Q49" s="317">
        <f>AVERAGE([5]A!Q51,'[6]2009'!Q51,'[7]2010'!Q51)</f>
        <v>40.130000790969348</v>
      </c>
      <c r="R49" s="317">
        <f>AVERAGE([5]A!R51,'[6]2009'!R51,'[7]2010'!R51)</f>
        <v>29247.463320989005</v>
      </c>
      <c r="S49" s="317">
        <f>AVERAGE([5]A!S51,'[6]2009'!S51,'[7]2010'!S51)</f>
        <v>33158</v>
      </c>
      <c r="T49" s="317">
        <f>AVERAGE([5]A!T51,'[6]2009'!T51,'[7]2010'!T51)</f>
        <v>7969.5641159337683</v>
      </c>
      <c r="U49" s="317">
        <f>AVERAGE([5]A!U51,'[6]2009'!U51,'[7]2010'!U51)</f>
        <v>9046.8799999999992</v>
      </c>
      <c r="V49" s="317">
        <f>AVERAGE([5]A!V51,'[6]2009'!V51,'[7]2010'!V51)</f>
        <v>42.082267096698445</v>
      </c>
      <c r="W49" s="317">
        <f>AVERAGE([5]A!W51,'[6]2009'!W51,'[7]2010'!W51)</f>
        <v>35717.216328607457</v>
      </c>
      <c r="X49" s="317">
        <f>AVERAGE([5]A!X51,'[6]2009'!X51,'[7]2010'!X51)</f>
        <v>37343.333333333336</v>
      </c>
      <c r="Y49" s="317">
        <f>AVERAGE([5]A!Y51,'[6]2009'!Y51,'[7]2010'!Y51)</f>
        <v>9868.3709685649101</v>
      </c>
      <c r="Z49" s="317">
        <f>AVERAGE([5]A!Z51,'[6]2009'!Z51,'[7]2010'!Z51)</f>
        <v>10098.480000000001</v>
      </c>
      <c r="AA49" s="317">
        <f>AVERAGE([5]A!AA51,'[6]2009'!AA51,'[7]2010'!AA51)</f>
        <v>42.540602747443735</v>
      </c>
      <c r="AB49" s="317">
        <f>AVERAGE([5]A!AB51,'[6]2009'!AB51,'[7]2010'!AB51)</f>
        <v>38840.450676533343</v>
      </c>
      <c r="AC49" s="317">
        <f>AVERAGE([5]A!AC51,'[6]2009'!AC51,'[7]2010'!AC51)</f>
        <v>38486.543333333335</v>
      </c>
      <c r="AD49" s="317">
        <f>AVERAGE([5]A!AD51,'[6]2009'!AD51,'[7]2010'!AD51)</f>
        <v>10659.550900693495</v>
      </c>
      <c r="AE49" s="317">
        <f>AVERAGE([5]A!AE51,'[6]2009'!AE51,'[7]2010'!AE51)</f>
        <v>11864.026666666667</v>
      </c>
      <c r="AF49" s="317">
        <f>AVERAGE([5]A!AF51,'[6]2009'!AF51,'[7]2010'!AF51)</f>
        <v>41.247955575213034</v>
      </c>
      <c r="AG49" s="317">
        <f>AVERAGE([5]A!AG51,'[6]2009'!AG51,'[7]2010'!AG51)</f>
        <v>43412.506207685932</v>
      </c>
      <c r="AH49" s="317">
        <f>AVERAGE([5]A!AH51,'[6]2009'!AH51,'[7]2010'!AH51)</f>
        <v>46995</v>
      </c>
      <c r="AI49" s="317">
        <f>AVERAGE([5]A!AI51,'[6]2009'!AI51,'[7]2010'!AI51)</f>
        <v>11753.213273876157</v>
      </c>
      <c r="AJ49" s="317">
        <f>AVERAGE([5]A!AJ51,'[6]2009'!AJ51,'[7]2010'!AJ51)</f>
        <v>12706</v>
      </c>
      <c r="AK49" s="317">
        <f>AVERAGE([5]A!AK51,'[6]2009'!AK51,'[7]2010'!AK51)</f>
        <v>44.772104372719298</v>
      </c>
      <c r="AL49" s="317">
        <f>AVERAGE([5]A!AL51,'[6]2009'!AL51,'[7]2010'!AL51)</f>
        <v>44272.998660355021</v>
      </c>
      <c r="AM49" s="317">
        <f>AVERAGE([5]A!AM51,'[6]2009'!AM51,'[7]2010'!AM51)</f>
        <v>47622</v>
      </c>
      <c r="AN49" s="317">
        <f>AVERAGE([5]A!AN51,'[6]2009'!AN51,'[7]2010'!AN51)</f>
        <v>12027.246930818736</v>
      </c>
      <c r="AO49" s="317">
        <f>AVERAGE([5]A!AO51,'[6]2009'!AO51,'[7]2010'!AO51)</f>
        <v>12827.016666666665</v>
      </c>
      <c r="AP49" s="317">
        <f>AVERAGE([5]A!AP51,'[6]2009'!AP51,'[7]2010'!AP51)</f>
        <v>43.835782400019177</v>
      </c>
      <c r="AQ49" s="317">
        <f>AVERAGE([5]A!AQ51,'[6]2009'!AQ51,'[7]2010'!AQ51)</f>
        <v>37891.852870948271</v>
      </c>
      <c r="AR49" s="317">
        <f>AVERAGE([5]A!AR51,'[6]2009'!AR51,'[7]2010'!AR51)</f>
        <v>43841.666666666664</v>
      </c>
      <c r="AS49" s="317">
        <f>AVERAGE([5]A!AS51,'[6]2009'!AS51,'[7]2010'!AS51)</f>
        <v>10001.770415795678</v>
      </c>
      <c r="AT49" s="317">
        <f>AVERAGE([5]A!AT51,'[6]2009'!AT51,'[7]2010'!AT51)</f>
        <v>11961.423333333334</v>
      </c>
      <c r="AU49" s="317">
        <f>AVERAGE([5]A!AU51,'[6]2009'!AU51,'[7]2010'!AU51)</f>
        <v>43.200503781334724</v>
      </c>
      <c r="AV49" s="317">
        <f>AVERAGE([5]A!AV51,'[6]2009'!AV51,'[7]2010'!AV51)</f>
        <v>37845.043807341572</v>
      </c>
      <c r="AW49" s="317">
        <f>AVERAGE([5]A!AW51,'[6]2009'!AW51,'[7]2010'!AW51)</f>
        <v>31315.666666666668</v>
      </c>
      <c r="AX49" s="317">
        <f>AVERAGE([5]A!AX51,'[6]2009'!AX51,'[7]2010'!AX51)</f>
        <v>10029.30099993218</v>
      </c>
      <c r="AY49" s="317">
        <f>AVERAGE([5]A!AY51,'[6]2009'!AY51,'[7]2010'!AY51)</f>
        <v>8254.0233333333326</v>
      </c>
      <c r="AZ49" s="317">
        <f>AVERAGE([5]A!AZ51,'[6]2009'!AZ51,'[7]2010'!AZ51)</f>
        <v>36.918558222739193</v>
      </c>
      <c r="BA49" s="317">
        <f>AVERAGE([5]A!BA51,'[6]2009'!BA51,'[7]2010'!BA51)</f>
        <v>31618.141515663981</v>
      </c>
      <c r="BB49" s="317">
        <f>AVERAGE([5]A!BB51,'[6]2009'!BB51,'[7]2010'!BB51)</f>
        <v>29838.666666666668</v>
      </c>
      <c r="BC49" s="317">
        <f>AVERAGE([5]A!BC51,'[6]2009'!BC51,'[7]2010'!BC51)</f>
        <v>8305.8515692495057</v>
      </c>
      <c r="BD49" s="317">
        <f>AVERAGE([5]A!BD51,'[6]2009'!BD51,'[7]2010'!BD51)</f>
        <v>8055.8833333333341</v>
      </c>
      <c r="BE49" s="317">
        <f>AVERAGE([5]A!BE51,'[6]2009'!BE51,'[7]2010'!BE51)</f>
        <v>42.998846243043182</v>
      </c>
      <c r="BF49" s="317">
        <f>AVERAGE([5]A!BF51,'[6]2009'!BF51,'[7]2010'!BF51)</f>
        <v>28030.383633237554</v>
      </c>
      <c r="BG49" s="317">
        <f>AVERAGE([5]A!BG51,'[6]2009'!BG51,'[7]2010'!BG51)</f>
        <v>29852</v>
      </c>
      <c r="BH49" s="317">
        <f>AVERAGE([5]A!BH51,'[6]2009'!BH51,'[7]2010'!BH51)</f>
        <v>7340.4003343092263</v>
      </c>
      <c r="BI49" s="317">
        <f>AVERAGE([5]A!BI51,'[6]2009'!BI51,'[7]2010'!BI51)</f>
        <v>8149.55</v>
      </c>
      <c r="BJ49" s="317">
        <f>AVERAGE([5]A!BJ51,'[6]2009'!BJ51,'[7]2010'!BJ51)</f>
        <v>43.849081040502824</v>
      </c>
      <c r="BK49" s="317">
        <f>AVERAGE([5]A!BK51,'[6]2009'!BK51,'[7]2010'!BK51)</f>
        <v>416380.88530685619</v>
      </c>
      <c r="BL49" s="317">
        <f>AVERAGE([5]A!BL51,'[6]2009'!BL51,'[7]2010'!BL51)</f>
        <v>433108.87666666665</v>
      </c>
      <c r="BM49" s="317">
        <f>AVERAGE([5]A!BM51,'[6]2009'!BM51,'[7]2010'!BM51)</f>
        <v>112555.72970827956</v>
      </c>
      <c r="BN49" s="317">
        <f>AVERAGE([5]A!BN51,'[6]2009'!BN51,'[7]2010'!BN51)</f>
        <v>117080.56333333334</v>
      </c>
      <c r="BO49" s="317">
        <f>AVERAGE([8]A!BO51,[5]A!BO51,'[6]2009'!BO51,'[7]2010'!BO51)</f>
        <v>45.645150834119974</v>
      </c>
      <c r="DJ49" s="310" t="s">
        <v>244</v>
      </c>
      <c r="DK49" s="324" t="s">
        <v>241</v>
      </c>
      <c r="DL49" s="324" t="s">
        <v>241</v>
      </c>
      <c r="DM49" s="324" t="s">
        <v>241</v>
      </c>
      <c r="DN49" s="324" t="s">
        <v>241</v>
      </c>
      <c r="DO49" s="324" t="s">
        <v>241</v>
      </c>
      <c r="DP49" s="323">
        <f>$C243</f>
        <v>202856.52246687832</v>
      </c>
      <c r="DQ49" s="323">
        <f>$G243</f>
        <v>29388.765104914502</v>
      </c>
    </row>
    <row r="50" spans="1:121" s="316" customFormat="1">
      <c r="A50" s="316" t="s">
        <v>1</v>
      </c>
      <c r="B50" s="316" t="s">
        <v>257</v>
      </c>
      <c r="C50" s="317">
        <f>AVERAGE([5]A!C52,'[6]2009'!C52,'[7]2010'!C52)</f>
        <v>332.85651216865512</v>
      </c>
      <c r="D50" s="317">
        <f>AVERAGE([5]A!D52,'[6]2009'!D52,'[7]2010'!D52)</f>
        <v>160</v>
      </c>
      <c r="E50" s="317">
        <f>AVERAGE([5]A!E52,'[6]2009'!E52,'[7]2010'!E52)</f>
        <v>215.02530686095122</v>
      </c>
      <c r="F50" s="317">
        <f>AVERAGE([5]A!F52,'[6]2009'!F52,'[7]2010'!F52)</f>
        <v>113.26333333333334</v>
      </c>
      <c r="G50" s="317">
        <f>AVERAGE([5]A!G52,'[6]2009'!G52,'[7]2010'!G52)</f>
        <v>0.19337076669091857</v>
      </c>
      <c r="H50" s="317">
        <f>AVERAGE([5]A!H52,'[6]2009'!H52,'[7]2010'!H52)</f>
        <v>19.063974670157538</v>
      </c>
      <c r="I50" s="317">
        <f>AVERAGE([5]A!I52,'[6]2009'!I52,'[7]2010'!I52)</f>
        <v>0</v>
      </c>
      <c r="J50" s="317">
        <f>AVERAGE([5]A!J52,'[6]2009'!J52,'[7]2010'!J52)</f>
        <v>12.31532763692177</v>
      </c>
      <c r="K50" s="317">
        <f>AVERAGE([5]A!K52,'[6]2009'!K52,'[7]2010'!K52)</f>
        <v>0</v>
      </c>
      <c r="L50" s="317">
        <f>AVERAGE([5]A!L52,'[6]2009'!L52,'[7]2010'!L52)</f>
        <v>0</v>
      </c>
      <c r="M50" s="317">
        <f>AVERAGE([5]A!M52,'[6]2009'!M52,'[7]2010'!M52)</f>
        <v>0</v>
      </c>
      <c r="N50" s="317">
        <f>AVERAGE([5]A!N52,'[6]2009'!N52,'[7]2010'!N52)</f>
        <v>0</v>
      </c>
      <c r="O50" s="317">
        <f>AVERAGE([5]A!O52,'[6]2009'!O52,'[7]2010'!O52)</f>
        <v>0</v>
      </c>
      <c r="P50" s="317">
        <f>AVERAGE([5]A!P52,'[6]2009'!P52,'[7]2010'!P52)</f>
        <v>0</v>
      </c>
      <c r="Q50" s="317">
        <f>AVERAGE([5]A!Q52,'[6]2009'!Q52,'[7]2010'!Q52)</f>
        <v>0</v>
      </c>
      <c r="R50" s="317">
        <f>AVERAGE([5]A!R52,'[6]2009'!R52,'[7]2010'!R52)</f>
        <v>0</v>
      </c>
      <c r="S50" s="317">
        <f>AVERAGE([5]A!S52,'[6]2009'!S52,'[7]2010'!S52)</f>
        <v>0</v>
      </c>
      <c r="T50" s="317">
        <f>AVERAGE([5]A!T52,'[6]2009'!T52,'[7]2010'!T52)</f>
        <v>0</v>
      </c>
      <c r="U50" s="317">
        <f>AVERAGE([5]A!U52,'[6]2009'!U52,'[7]2010'!U52)</f>
        <v>0</v>
      </c>
      <c r="V50" s="317">
        <f>AVERAGE([5]A!V52,'[6]2009'!V52,'[7]2010'!V52)</f>
        <v>0</v>
      </c>
      <c r="W50" s="317">
        <f>AVERAGE([5]A!W52,'[6]2009'!W52,'[7]2010'!W52)</f>
        <v>3.9184033061038908</v>
      </c>
      <c r="X50" s="317">
        <f>AVERAGE([5]A!X52,'[6]2009'!X52,'[7]2010'!X52)</f>
        <v>0</v>
      </c>
      <c r="Y50" s="317">
        <f>AVERAGE([5]A!Y52,'[6]2009'!Y52,'[7]2010'!Y52)</f>
        <v>2.5312885357431134</v>
      </c>
      <c r="Z50" s="317">
        <f>AVERAGE([5]A!Z52,'[6]2009'!Z52,'[7]2010'!Z52)</f>
        <v>0</v>
      </c>
      <c r="AA50" s="317">
        <f>AVERAGE([5]A!AA52,'[6]2009'!AA52,'[7]2010'!AA52)</f>
        <v>0</v>
      </c>
      <c r="AB50" s="317">
        <f>AVERAGE([5]A!AB52,'[6]2009'!AB52,'[7]2010'!AB52)</f>
        <v>1261.8957565964024</v>
      </c>
      <c r="AC50" s="317">
        <f>AVERAGE([5]A!AC52,'[6]2009'!AC52,'[7]2010'!AC52)</f>
        <v>0</v>
      </c>
      <c r="AD50" s="317">
        <f>AVERAGE([5]A!AD52,'[6]2009'!AD52,'[7]2010'!AD52)</f>
        <v>815.18465876127595</v>
      </c>
      <c r="AE50" s="317">
        <f>AVERAGE([5]A!AE52,'[6]2009'!AE52,'[7]2010'!AE52)</f>
        <v>0</v>
      </c>
      <c r="AF50" s="317">
        <f>AVERAGE([5]A!AF52,'[6]2009'!AF52,'[7]2010'!AF52)</f>
        <v>0</v>
      </c>
      <c r="AG50" s="317">
        <f>AVERAGE([5]A!AG52,'[6]2009'!AG52,'[7]2010'!AG52)</f>
        <v>1274.4685817727918</v>
      </c>
      <c r="AH50" s="317">
        <f>AVERAGE([5]A!AH52,'[6]2009'!AH52,'[7]2010'!AH52)</f>
        <v>0</v>
      </c>
      <c r="AI50" s="317">
        <f>AVERAGE([5]A!AI52,'[6]2009'!AI52,'[7]2010'!AI52)</f>
        <v>823.30670382522351</v>
      </c>
      <c r="AJ50" s="317">
        <f>AVERAGE([5]A!AJ52,'[6]2009'!AJ52,'[7]2010'!AJ52)</f>
        <v>0</v>
      </c>
      <c r="AK50" s="317">
        <f>AVERAGE([5]A!AK52,'[6]2009'!AK52,'[7]2010'!AK52)</f>
        <v>0</v>
      </c>
      <c r="AL50" s="317">
        <f>AVERAGE([5]A!AL52,'[6]2009'!AL52,'[7]2010'!AL52)</f>
        <v>1844.7883333333332</v>
      </c>
      <c r="AM50" s="317">
        <f>AVERAGE([5]A!AM52,'[6]2009'!AM52,'[7]2010'!AM52)</f>
        <v>0</v>
      </c>
      <c r="AN50" s="317">
        <f>AVERAGE([5]A!AN52,'[6]2009'!AN52,'[7]2010'!AN52)</f>
        <v>1254.4560666666669</v>
      </c>
      <c r="AO50" s="317">
        <f>AVERAGE([5]A!AO52,'[6]2009'!AO52,'[7]2010'!AO52)</f>
        <v>0</v>
      </c>
      <c r="AP50" s="317">
        <f>AVERAGE([5]A!AP52,'[6]2009'!AP52,'[7]2010'!AP52)</f>
        <v>0</v>
      </c>
      <c r="AQ50" s="317">
        <f>AVERAGE([5]A!AQ52,'[6]2009'!AQ52,'[7]2010'!AQ52)</f>
        <v>10664.015379327449</v>
      </c>
      <c r="AR50" s="317">
        <f>AVERAGE([5]A!AR52,'[6]2009'!AR52,'[7]2010'!AR52)</f>
        <v>5760</v>
      </c>
      <c r="AS50" s="317">
        <f>AVERAGE([5]A!AS52,'[6]2009'!AS52,'[7]2010'!AS52)</f>
        <v>7207.9205150455336</v>
      </c>
      <c r="AT50" s="317">
        <f>AVERAGE([5]A!AT52,'[6]2009'!AT52,'[7]2010'!AT52)</f>
        <v>4077.5033333333336</v>
      </c>
      <c r="AU50" s="317">
        <f>AVERAGE([5]A!AU52,'[6]2009'!AU52,'[7]2010'!AU52)</f>
        <v>4.8468202839428889</v>
      </c>
      <c r="AV50" s="317">
        <f>AVERAGE([5]A!AV52,'[6]2009'!AV52,'[7]2010'!AV52)</f>
        <v>8304.4355318295293</v>
      </c>
      <c r="AW50" s="317">
        <f>AVERAGE([5]A!AW52,'[6]2009'!AW52,'[7]2010'!AW52)</f>
        <v>3800</v>
      </c>
      <c r="AX50" s="317">
        <f>AVERAGE([5]A!AX52,'[6]2009'!AX52,'[7]2010'!AX52)</f>
        <v>5523.8326135618763</v>
      </c>
      <c r="AY50" s="317">
        <f>AVERAGE([5]A!AY52,'[6]2009'!AY52,'[7]2010'!AY52)</f>
        <v>2690.02</v>
      </c>
      <c r="AZ50" s="317">
        <f>AVERAGE([5]A!AZ52,'[6]2009'!AZ52,'[7]2010'!AZ52)</f>
        <v>3.7646984228885736</v>
      </c>
      <c r="BA50" s="317">
        <f>AVERAGE([5]A!BA52,'[6]2009'!BA52,'[7]2010'!BA52)</f>
        <v>0</v>
      </c>
      <c r="BB50" s="317">
        <f>AVERAGE([5]A!BB52,'[6]2009'!BB52,'[7]2010'!BB52)</f>
        <v>0</v>
      </c>
      <c r="BC50" s="317">
        <f>AVERAGE([5]A!BC52,'[6]2009'!BC52,'[7]2010'!BC52)</f>
        <v>0</v>
      </c>
      <c r="BD50" s="317">
        <f>AVERAGE([5]A!BD52,'[6]2009'!BD52,'[7]2010'!BD52)</f>
        <v>0</v>
      </c>
      <c r="BE50" s="317">
        <f>AVERAGE([5]A!BE52,'[6]2009'!BE52,'[7]2010'!BE52)</f>
        <v>0</v>
      </c>
      <c r="BF50" s="317">
        <f>AVERAGE([5]A!BF52,'[6]2009'!BF52,'[7]2010'!BF52)</f>
        <v>0</v>
      </c>
      <c r="BG50" s="317">
        <f>AVERAGE([5]A!BG52,'[6]2009'!BG52,'[7]2010'!BG52)</f>
        <v>0</v>
      </c>
      <c r="BH50" s="317">
        <f>AVERAGE([5]A!BH52,'[6]2009'!BH52,'[7]2010'!BH52)</f>
        <v>0</v>
      </c>
      <c r="BI50" s="317">
        <f>AVERAGE([5]A!BI52,'[6]2009'!BI52,'[7]2010'!BI52)</f>
        <v>0</v>
      </c>
      <c r="BJ50" s="317">
        <f>AVERAGE([5]A!BJ52,'[6]2009'!BJ52,'[7]2010'!BJ52)</f>
        <v>0</v>
      </c>
      <c r="BK50" s="317">
        <f>AVERAGE([5]A!BK52,'[6]2009'!BK52,'[7]2010'!BK52)</f>
        <v>23705.442473004423</v>
      </c>
      <c r="BL50" s="317">
        <f>AVERAGE([5]A!BL52,'[6]2009'!BL52,'[7]2010'!BL52)</f>
        <v>9720</v>
      </c>
      <c r="BM50" s="317">
        <f>AVERAGE([5]A!BM52,'[6]2009'!BM52,'[7]2010'!BM52)</f>
        <v>15854.57248089419</v>
      </c>
      <c r="BN50" s="317">
        <f>AVERAGE([5]A!BN52,'[6]2009'!BN52,'[7]2010'!BN52)</f>
        <v>6880.7866666666669</v>
      </c>
      <c r="BO50" s="317">
        <f>AVERAGE([8]A!BO52,[5]A!BO52,'[6]2009'!BO52,'[7]2010'!BO52)</f>
        <v>1.8161112832337303</v>
      </c>
      <c r="BP50" s="316">
        <f>BL50/26</f>
        <v>373.84615384615387</v>
      </c>
    </row>
    <row r="51" spans="1:121" hidden="1">
      <c r="A51" s="283" t="s">
        <v>1</v>
      </c>
      <c r="B51" s="283" t="s">
        <v>62</v>
      </c>
      <c r="C51" s="317">
        <f>AVERAGE([5]A!C53,'[6]2009'!C53,'[7]2010'!C53)</f>
        <v>0</v>
      </c>
      <c r="D51" s="317">
        <f>AVERAGE([5]A!D53,'[6]2009'!D53,'[7]2010'!D53)</f>
        <v>0</v>
      </c>
      <c r="E51" s="317">
        <f>AVERAGE([5]A!E53,'[6]2009'!E53,'[7]2010'!E53)</f>
        <v>0</v>
      </c>
      <c r="F51" s="317">
        <f>AVERAGE([5]A!F53,'[6]2009'!F53,'[7]2010'!F53)</f>
        <v>0</v>
      </c>
      <c r="G51" s="317">
        <f>AVERAGE([5]A!G53,'[6]2009'!G53,'[7]2010'!G53)</f>
        <v>0</v>
      </c>
      <c r="H51" s="317">
        <f>AVERAGE([5]A!H53,'[6]2009'!H53,'[7]2010'!H53)</f>
        <v>0</v>
      </c>
      <c r="I51" s="317">
        <f>AVERAGE([5]A!I53,'[6]2009'!I53,'[7]2010'!I53)</f>
        <v>0</v>
      </c>
      <c r="J51" s="317">
        <f>AVERAGE([5]A!J53,'[6]2009'!J53,'[7]2010'!J53)</f>
        <v>0</v>
      </c>
      <c r="K51" s="317">
        <f>AVERAGE([5]A!K53,'[6]2009'!K53,'[7]2010'!K53)</f>
        <v>0</v>
      </c>
      <c r="L51" s="317">
        <f>AVERAGE([5]A!L53,'[6]2009'!L53,'[7]2010'!L53)</f>
        <v>0</v>
      </c>
      <c r="M51" s="317">
        <f>AVERAGE([5]A!M53,'[6]2009'!M53,'[7]2010'!M53)</f>
        <v>0</v>
      </c>
      <c r="N51" s="317">
        <f>AVERAGE([5]A!N53,'[6]2009'!N53,'[7]2010'!N53)</f>
        <v>0</v>
      </c>
      <c r="O51" s="317">
        <f>AVERAGE([5]A!O53,'[6]2009'!O53,'[7]2010'!O53)</f>
        <v>0</v>
      </c>
      <c r="P51" s="317">
        <f>AVERAGE([5]A!P53,'[6]2009'!P53,'[7]2010'!P53)</f>
        <v>0</v>
      </c>
      <c r="Q51" s="317">
        <f>AVERAGE([5]A!Q53,'[6]2009'!Q53,'[7]2010'!Q53)</f>
        <v>0</v>
      </c>
      <c r="R51" s="317">
        <f>AVERAGE([5]A!R53,'[6]2009'!R53,'[7]2010'!R53)</f>
        <v>0</v>
      </c>
      <c r="S51" s="317">
        <f>AVERAGE([5]A!S53,'[6]2009'!S53,'[7]2010'!S53)</f>
        <v>0</v>
      </c>
      <c r="T51" s="317">
        <f>AVERAGE([5]A!T53,'[6]2009'!T53,'[7]2010'!T53)</f>
        <v>0</v>
      </c>
      <c r="U51" s="317">
        <f>AVERAGE([5]A!U53,'[6]2009'!U53,'[7]2010'!U53)</f>
        <v>0</v>
      </c>
      <c r="V51" s="317">
        <f>AVERAGE([5]A!V53,'[6]2009'!V53,'[7]2010'!V53)</f>
        <v>0</v>
      </c>
      <c r="W51" s="317">
        <f>AVERAGE([5]A!W53,'[6]2009'!W53,'[7]2010'!W53)</f>
        <v>0</v>
      </c>
      <c r="X51" s="317">
        <f>AVERAGE([5]A!X53,'[6]2009'!X53,'[7]2010'!X53)</f>
        <v>0</v>
      </c>
      <c r="Y51" s="317">
        <f>AVERAGE([5]A!Y53,'[6]2009'!Y53,'[7]2010'!Y53)</f>
        <v>0</v>
      </c>
      <c r="Z51" s="317">
        <f>AVERAGE([5]A!Z53,'[6]2009'!Z53,'[7]2010'!Z53)</f>
        <v>0</v>
      </c>
      <c r="AA51" s="317">
        <f>AVERAGE([5]A!AA53,'[6]2009'!AA53,'[7]2010'!AA53)</f>
        <v>0</v>
      </c>
      <c r="AB51" s="317">
        <f>AVERAGE([5]A!AB53,'[6]2009'!AB53,'[7]2010'!AB53)</f>
        <v>0</v>
      </c>
      <c r="AC51" s="317">
        <f>AVERAGE([5]A!AC53,'[6]2009'!AC53,'[7]2010'!AC53)</f>
        <v>0</v>
      </c>
      <c r="AD51" s="317">
        <f>AVERAGE([5]A!AD53,'[6]2009'!AD53,'[7]2010'!AD53)</f>
        <v>0</v>
      </c>
      <c r="AE51" s="317">
        <f>AVERAGE([5]A!AE53,'[6]2009'!AE53,'[7]2010'!AE53)</f>
        <v>0</v>
      </c>
      <c r="AF51" s="317">
        <f>AVERAGE([5]A!AF53,'[6]2009'!AF53,'[7]2010'!AF53)</f>
        <v>0</v>
      </c>
      <c r="AG51" s="317">
        <f>AVERAGE([5]A!AG53,'[6]2009'!AG53,'[7]2010'!AG53)</f>
        <v>0</v>
      </c>
      <c r="AH51" s="317">
        <f>AVERAGE([5]A!AH53,'[6]2009'!AH53,'[7]2010'!AH53)</f>
        <v>0</v>
      </c>
      <c r="AI51" s="317">
        <f>AVERAGE([5]A!AI53,'[6]2009'!AI53,'[7]2010'!AI53)</f>
        <v>0</v>
      </c>
      <c r="AJ51" s="317">
        <f>AVERAGE([5]A!AJ53,'[6]2009'!AJ53,'[7]2010'!AJ53)</f>
        <v>0</v>
      </c>
      <c r="AK51" s="317">
        <f>AVERAGE([5]A!AK53,'[6]2009'!AK53,'[7]2010'!AK53)</f>
        <v>0</v>
      </c>
      <c r="AL51" s="317">
        <f>AVERAGE([5]A!AL53,'[6]2009'!AL53,'[7]2010'!AL53)</f>
        <v>0</v>
      </c>
      <c r="AM51" s="317">
        <f>AVERAGE([5]A!AM53,'[6]2009'!AM53,'[7]2010'!AM53)</f>
        <v>0</v>
      </c>
      <c r="AN51" s="317">
        <f>AVERAGE([5]A!AN53,'[6]2009'!AN53,'[7]2010'!AN53)</f>
        <v>0</v>
      </c>
      <c r="AO51" s="317">
        <f>AVERAGE([5]A!AO53,'[6]2009'!AO53,'[7]2010'!AO53)</f>
        <v>0</v>
      </c>
      <c r="AP51" s="317">
        <f>AVERAGE([5]A!AP53,'[6]2009'!AP53,'[7]2010'!AP53)</f>
        <v>0</v>
      </c>
      <c r="AQ51" s="317">
        <f>AVERAGE([5]A!AQ53,'[6]2009'!AQ53,'[7]2010'!AQ53)</f>
        <v>0</v>
      </c>
      <c r="AR51" s="317">
        <f>AVERAGE([5]A!AR53,'[6]2009'!AR53,'[7]2010'!AR53)</f>
        <v>0</v>
      </c>
      <c r="AS51" s="317">
        <f>AVERAGE([5]A!AS53,'[6]2009'!AS53,'[7]2010'!AS53)</f>
        <v>0</v>
      </c>
      <c r="AT51" s="317">
        <f>AVERAGE([5]A!AT53,'[6]2009'!AT53,'[7]2010'!AT53)</f>
        <v>0</v>
      </c>
      <c r="AU51" s="317">
        <f>AVERAGE([5]A!AU53,'[6]2009'!AU53,'[7]2010'!AU53)</f>
        <v>0</v>
      </c>
      <c r="AV51" s="317">
        <f>AVERAGE([5]A!AV53,'[6]2009'!AV53,'[7]2010'!AV53)</f>
        <v>0</v>
      </c>
      <c r="AW51" s="317">
        <f>AVERAGE([5]A!AW53,'[6]2009'!AW53,'[7]2010'!AW53)</f>
        <v>0</v>
      </c>
      <c r="AX51" s="317">
        <f>AVERAGE([5]A!AX53,'[6]2009'!AX53,'[7]2010'!AX53)</f>
        <v>0</v>
      </c>
      <c r="AY51" s="317">
        <f>AVERAGE([5]A!AY53,'[6]2009'!AY53,'[7]2010'!AY53)</f>
        <v>0</v>
      </c>
      <c r="AZ51" s="317">
        <f>AVERAGE([5]A!AZ53,'[6]2009'!AZ53,'[7]2010'!AZ53)</f>
        <v>0</v>
      </c>
      <c r="BA51" s="317">
        <f>AVERAGE([5]A!BA53,'[6]2009'!BA53,'[7]2010'!BA53)</f>
        <v>0</v>
      </c>
      <c r="BB51" s="317">
        <f>AVERAGE([5]A!BB53,'[6]2009'!BB53,'[7]2010'!BB53)</f>
        <v>0</v>
      </c>
      <c r="BC51" s="317">
        <f>AVERAGE([5]A!BC53,'[6]2009'!BC53,'[7]2010'!BC53)</f>
        <v>0</v>
      </c>
      <c r="BD51" s="317">
        <f>AVERAGE([5]A!BD53,'[6]2009'!BD53,'[7]2010'!BD53)</f>
        <v>0</v>
      </c>
      <c r="BE51" s="317">
        <f>AVERAGE([5]A!BE53,'[6]2009'!BE53,'[7]2010'!BE53)</f>
        <v>0</v>
      </c>
      <c r="BF51" s="317">
        <f>AVERAGE([5]A!BF53,'[6]2009'!BF53,'[7]2010'!BF53)</f>
        <v>0</v>
      </c>
      <c r="BG51" s="317">
        <f>AVERAGE([5]A!BG53,'[6]2009'!BG53,'[7]2010'!BG53)</f>
        <v>0</v>
      </c>
      <c r="BH51" s="317">
        <f>AVERAGE([5]A!BH53,'[6]2009'!BH53,'[7]2010'!BH53)</f>
        <v>0</v>
      </c>
      <c r="BI51" s="317">
        <f>AVERAGE([5]A!BI53,'[6]2009'!BI53,'[7]2010'!BI53)</f>
        <v>0</v>
      </c>
      <c r="BJ51" s="317">
        <f>AVERAGE([5]A!BJ53,'[6]2009'!BJ53,'[7]2010'!BJ53)</f>
        <v>0</v>
      </c>
      <c r="BK51" s="317">
        <f>AVERAGE([5]A!BK53,'[6]2009'!BK53,'[7]2010'!BK53)</f>
        <v>0</v>
      </c>
      <c r="BL51" s="317">
        <f>AVERAGE([5]A!BL53,'[6]2009'!BL53,'[7]2010'!BL53)</f>
        <v>0</v>
      </c>
      <c r="BM51" s="317">
        <f>AVERAGE([5]A!BM53,'[6]2009'!BM53,'[7]2010'!BM53)</f>
        <v>0</v>
      </c>
      <c r="BN51" s="317">
        <f>AVERAGE([5]A!BN53,'[6]2009'!BN53,'[7]2010'!BN53)</f>
        <v>0</v>
      </c>
      <c r="BO51" s="317">
        <f>AVERAGE([8]A!BO53,[5]A!BO53,'[6]2009'!BO53,'[7]2010'!BO53)</f>
        <v>0</v>
      </c>
      <c r="DD51" s="283" t="s">
        <v>319</v>
      </c>
      <c r="DF51" s="282" t="s">
        <v>320</v>
      </c>
      <c r="DG51" s="282" t="s">
        <v>320</v>
      </c>
      <c r="DH51" s="283" t="s">
        <v>321</v>
      </c>
      <c r="DI51" s="282" t="s">
        <v>320</v>
      </c>
      <c r="DK51" s="283" t="s">
        <v>322</v>
      </c>
      <c r="DL51" s="282" t="s">
        <v>320</v>
      </c>
      <c r="DM51" s="282" t="s">
        <v>320</v>
      </c>
      <c r="DN51" s="282" t="s">
        <v>320</v>
      </c>
      <c r="DP51" s="283" t="s">
        <v>323</v>
      </c>
      <c r="DQ51" s="282" t="s">
        <v>320</v>
      </c>
    </row>
    <row r="52" spans="1:121">
      <c r="A52" s="283" t="s">
        <v>1</v>
      </c>
      <c r="B52" s="283" t="s">
        <v>262</v>
      </c>
      <c r="C52" s="317">
        <f>AVERAGE([5]A!C54,'[6]2009'!C54,'[7]2010'!C54)</f>
        <v>14465.147759409265</v>
      </c>
      <c r="D52" s="317">
        <f>AVERAGE([5]A!D54,'[6]2009'!D54,'[7]2010'!D54)</f>
        <v>17760</v>
      </c>
      <c r="E52" s="317">
        <f>AVERAGE([5]A!E54,'[6]2009'!E54,'[7]2010'!E54)</f>
        <v>4869.7237712830329</v>
      </c>
      <c r="F52" s="317">
        <f>AVERAGE([5]A!F54,'[6]2009'!F54,'[7]2010'!F54)</f>
        <v>4960.4733333333334</v>
      </c>
      <c r="G52" s="317">
        <f>AVERAGE([5]A!G54,'[6]2009'!G54,'[7]2010'!G54)</f>
        <v>21.686522994542695</v>
      </c>
      <c r="H52" s="317">
        <f>AVERAGE([5]A!H54,'[6]2009'!H54,'[7]2010'!H54)</f>
        <v>13515.304826454221</v>
      </c>
      <c r="I52" s="317">
        <f>AVERAGE([5]A!I54,'[6]2009'!I54,'[7]2010'!I54)</f>
        <v>15710</v>
      </c>
      <c r="J52" s="317">
        <f>AVERAGE([5]A!J54,'[6]2009'!J54,'[7]2010'!J54)</f>
        <v>4469.1093991386815</v>
      </c>
      <c r="K52" s="317">
        <f>AVERAGE([5]A!K54,'[6]2009'!K54,'[7]2010'!K54)</f>
        <v>4411.12</v>
      </c>
      <c r="L52" s="317">
        <f>AVERAGE([5]A!L54,'[6]2009'!L54,'[7]2010'!L54)</f>
        <v>21.807086684925295</v>
      </c>
      <c r="M52" s="317">
        <f>AVERAGE([5]A!M54,'[6]2009'!M54,'[7]2010'!M54)</f>
        <v>16118.013901495671</v>
      </c>
      <c r="N52" s="317">
        <f>AVERAGE([5]A!N54,'[6]2009'!N54,'[7]2010'!N54)</f>
        <v>15236.666666666666</v>
      </c>
      <c r="O52" s="317">
        <f>AVERAGE([5]A!O54,'[6]2009'!O54,'[7]2010'!O54)</f>
        <v>5415.1045297847622</v>
      </c>
      <c r="P52" s="317">
        <f>AVERAGE([5]A!P54,'[6]2009'!P54,'[7]2010'!P54)</f>
        <v>4306.7833333333338</v>
      </c>
      <c r="Q52" s="317">
        <f>AVERAGE([5]A!Q54,'[6]2009'!Q54,'[7]2010'!Q54)</f>
        <v>20.834862856866387</v>
      </c>
      <c r="R52" s="317">
        <f>AVERAGE([5]A!R54,'[6]2009'!R54,'[7]2010'!R54)</f>
        <v>15257.40038596697</v>
      </c>
      <c r="S52" s="317">
        <f>AVERAGE([5]A!S54,'[6]2009'!S54,'[7]2010'!S54)</f>
        <v>15045</v>
      </c>
      <c r="T52" s="317">
        <f>AVERAGE([5]A!T54,'[6]2009'!T54,'[7]2010'!T54)</f>
        <v>5080.4374348650026</v>
      </c>
      <c r="U52" s="317">
        <f>AVERAGE([5]A!U54,'[6]2009'!U54,'[7]2010'!U54)</f>
        <v>4255.413333333333</v>
      </c>
      <c r="V52" s="317">
        <f>AVERAGE([5]A!V54,'[6]2009'!V54,'[7]2010'!V54)</f>
        <v>19.145570756260508</v>
      </c>
      <c r="W52" s="317">
        <f>AVERAGE([5]A!W54,'[6]2009'!W54,'[7]2010'!W54)</f>
        <v>17409.523742837435</v>
      </c>
      <c r="X52" s="317">
        <f>AVERAGE([5]A!X54,'[6]2009'!X54,'[7]2010'!X54)</f>
        <v>18083.666666666668</v>
      </c>
      <c r="Y52" s="317">
        <f>AVERAGE([5]A!Y54,'[6]2009'!Y54,'[7]2010'!Y54)</f>
        <v>5797.1452756032631</v>
      </c>
      <c r="Z52" s="317">
        <f>AVERAGE([5]A!Z54,'[6]2009'!Z54,'[7]2010'!Z54)</f>
        <v>5037.79</v>
      </c>
      <c r="AA52" s="317">
        <f>AVERAGE([5]A!AA54,'[6]2009'!AA54,'[7]2010'!AA54)</f>
        <v>20.663610691036475</v>
      </c>
      <c r="AB52" s="317">
        <f>AVERAGE([5]A!AB54,'[6]2009'!AB54,'[7]2010'!AB54)</f>
        <v>18187.612421896712</v>
      </c>
      <c r="AC52" s="317">
        <f>AVERAGE([5]A!AC54,'[6]2009'!AC54,'[7]2010'!AC54)</f>
        <v>17257.333333333332</v>
      </c>
      <c r="AD52" s="317">
        <f>AVERAGE([5]A!AD54,'[6]2009'!AD54,'[7]2010'!AD54)</f>
        <v>6165.8625343079293</v>
      </c>
      <c r="AE52" s="317">
        <f>AVERAGE([5]A!AE54,'[6]2009'!AE54,'[7]2010'!AE54)</f>
        <v>4897.7033333333338</v>
      </c>
      <c r="AF52" s="317">
        <f>AVERAGE([5]A!AF54,'[6]2009'!AF54,'[7]2010'!AF54)</f>
        <v>18.489067899914648</v>
      </c>
      <c r="AG52" s="317">
        <f>AVERAGE([5]A!AG54,'[6]2009'!AG54,'[7]2010'!AG54)</f>
        <v>23032.740722300976</v>
      </c>
      <c r="AH52" s="317">
        <f>AVERAGE([5]A!AH54,'[6]2009'!AH54,'[7]2010'!AH54)</f>
        <v>20710.666666666668</v>
      </c>
      <c r="AI52" s="317">
        <f>AVERAGE([5]A!AI54,'[6]2009'!AI54,'[7]2010'!AI54)</f>
        <v>7792.6228785202593</v>
      </c>
      <c r="AJ52" s="317">
        <f>AVERAGE([5]A!AJ54,'[6]2009'!AJ54,'[7]2010'!AJ54)</f>
        <v>5908.0066666666671</v>
      </c>
      <c r="AK52" s="317">
        <f>AVERAGE([5]A!AK54,'[6]2009'!AK54,'[7]2010'!AK54)</f>
        <v>19.947687734901454</v>
      </c>
      <c r="AL52" s="317">
        <f>AVERAGE([5]A!AL54,'[6]2009'!AL54,'[7]2010'!AL54)</f>
        <v>23465.233277211624</v>
      </c>
      <c r="AM52" s="317">
        <f>AVERAGE([5]A!AM54,'[6]2009'!AM54,'[7]2010'!AM54)</f>
        <v>23171</v>
      </c>
      <c r="AN52" s="317">
        <f>AVERAGE([5]A!AN54,'[6]2009'!AN54,'[7]2010'!AN54)</f>
        <v>7820.8779065710251</v>
      </c>
      <c r="AO52" s="317">
        <f>AVERAGE([5]A!AO54,'[6]2009'!AO54,'[7]2010'!AO54)</f>
        <v>6731.2733333333335</v>
      </c>
      <c r="AP52" s="317">
        <f>AVERAGE([5]A!AP54,'[6]2009'!AP54,'[7]2010'!AP54)</f>
        <v>21.434640661168</v>
      </c>
      <c r="AQ52" s="317">
        <f>AVERAGE([5]A!AQ54,'[6]2009'!AQ54,'[7]2010'!AQ54)</f>
        <v>22157.315916920121</v>
      </c>
      <c r="AR52" s="317">
        <f>AVERAGE([5]A!AR54,'[6]2009'!AR54,'[7]2010'!AR54)</f>
        <v>19704.666666666668</v>
      </c>
      <c r="AS52" s="317">
        <f>AVERAGE([5]A!AS54,'[6]2009'!AS54,'[7]2010'!AS54)</f>
        <v>7371.2180293610336</v>
      </c>
      <c r="AT52" s="317">
        <f>AVERAGE([5]A!AT54,'[6]2009'!AT54,'[7]2010'!AT54)</f>
        <v>5695.6033333333326</v>
      </c>
      <c r="AU52" s="317">
        <f>AVERAGE([5]A!AU54,'[6]2009'!AU54,'[7]2010'!AU54)</f>
        <v>19.55176023303466</v>
      </c>
      <c r="AV52" s="317">
        <f>AVERAGE([5]A!AV54,'[6]2009'!AV54,'[7]2010'!AV54)</f>
        <v>18699.970882574442</v>
      </c>
      <c r="AW52" s="317">
        <f>AVERAGE([5]A!AW54,'[6]2009'!AW54,'[7]2010'!AW54)</f>
        <v>16358.333333333334</v>
      </c>
      <c r="AX52" s="317">
        <f>AVERAGE([5]A!AX54,'[6]2009'!AX54,'[7]2010'!AX54)</f>
        <v>6220.0766327256088</v>
      </c>
      <c r="AY52" s="317">
        <f>AVERAGE([5]A!AY54,'[6]2009'!AY54,'[7]2010'!AY54)</f>
        <v>4752.6600000000008</v>
      </c>
      <c r="AZ52" s="317">
        <f>AVERAGE([5]A!AZ54,'[6]2009'!AZ54,'[7]2010'!AZ54)</f>
        <v>19.646295842380194</v>
      </c>
      <c r="BA52" s="317">
        <f>AVERAGE([5]A!BA54,'[6]2009'!BA54,'[7]2010'!BA54)</f>
        <v>16547.856628118756</v>
      </c>
      <c r="BB52" s="317">
        <f>AVERAGE([5]A!BB54,'[6]2009'!BB54,'[7]2010'!BB54)</f>
        <v>14505.333333333334</v>
      </c>
      <c r="BC52" s="317">
        <f>AVERAGE([5]A!BC54,'[6]2009'!BC54,'[7]2010'!BC54)</f>
        <v>5569.22500758355</v>
      </c>
      <c r="BD52" s="317">
        <f>AVERAGE([5]A!BD54,'[6]2009'!BD54,'[7]2010'!BD54)</f>
        <v>4219.8300000000008</v>
      </c>
      <c r="BE52" s="317">
        <f>AVERAGE([5]A!BE54,'[6]2009'!BE54,'[7]2010'!BE54)</f>
        <v>21.043953200564037</v>
      </c>
      <c r="BF52" s="317">
        <f>AVERAGE([5]A!BF54,'[6]2009'!BF54,'[7]2010'!BF54)</f>
        <v>13124.921739803489</v>
      </c>
      <c r="BG52" s="317">
        <f>AVERAGE([5]A!BG54,'[6]2009'!BG54,'[7]2010'!BG54)</f>
        <v>15126.333333333334</v>
      </c>
      <c r="BH52" s="317">
        <f>AVERAGE([5]A!BH54,'[6]2009'!BH54,'[7]2010'!BH54)</f>
        <v>4361.7909545061148</v>
      </c>
      <c r="BI52" s="317">
        <f>AVERAGE([5]A!BI54,'[6]2009'!BI54,'[7]2010'!BI54)</f>
        <v>4391.7566666666662</v>
      </c>
      <c r="BJ52" s="317">
        <f>AVERAGE([5]A!BJ54,'[6]2009'!BJ54,'[7]2010'!BJ54)</f>
        <v>22.321553940260724</v>
      </c>
      <c r="BK52" s="317">
        <f>AVERAGE([5]A!BK54,'[6]2009'!BK54,'[7]2010'!BK54)</f>
        <v>211981.0422049897</v>
      </c>
      <c r="BL52" s="317">
        <f>AVERAGE([5]A!BL54,'[6]2009'!BL54,'[7]2010'!BL54)</f>
        <v>208669</v>
      </c>
      <c r="BM52" s="317">
        <f>AVERAGE([5]A!BM54,'[6]2009'!BM54,'[7]2010'!BM54)</f>
        <v>70933.194354250256</v>
      </c>
      <c r="BN52" s="317">
        <f>AVERAGE([5]A!BN54,'[6]2009'!BN54,'[7]2010'!BN54)</f>
        <v>59568.41333333333</v>
      </c>
      <c r="BO52" s="317">
        <f>AVERAGE([8]A!BO54,[5]A!BO54,'[6]2009'!BO54,'[7]2010'!BO54)</f>
        <v>22.288461651841548</v>
      </c>
      <c r="BP52" s="283">
        <f>BL52/365</f>
        <v>571.6958904109589</v>
      </c>
      <c r="DG52" s="283" t="s">
        <v>324</v>
      </c>
      <c r="DM52" s="283" t="s">
        <v>325</v>
      </c>
    </row>
    <row r="53" spans="1:121" hidden="1">
      <c r="A53" s="283" t="s">
        <v>1</v>
      </c>
      <c r="B53" s="283" t="s">
        <v>326</v>
      </c>
      <c r="C53" s="317">
        <f>AVERAGE([5]A!C55,'[6]2009'!C55,'[7]2010'!C55)</f>
        <v>0</v>
      </c>
      <c r="D53" s="317">
        <f>AVERAGE([5]A!D55,'[6]2009'!D55,'[7]2010'!D55)</f>
        <v>-1497.0900000000001</v>
      </c>
      <c r="E53" s="317">
        <f>AVERAGE([5]A!E55,'[6]2009'!E55,'[7]2010'!E55)</f>
        <v>0</v>
      </c>
      <c r="F53" s="317">
        <f>AVERAGE([5]A!F55,'[6]2009'!F55,'[7]2010'!F55)</f>
        <v>-1184.72</v>
      </c>
      <c r="G53" s="317">
        <f>AVERAGE([5]A!G55,'[6]2009'!G55,'[7]2010'!G55)</f>
        <v>0</v>
      </c>
      <c r="H53" s="317">
        <f>AVERAGE([5]A!H55,'[6]2009'!H55,'[7]2010'!H55)</f>
        <v>0</v>
      </c>
      <c r="I53" s="317">
        <f>AVERAGE([5]A!I55,'[6]2009'!I55,'[7]2010'!I55)</f>
        <v>0</v>
      </c>
      <c r="J53" s="317">
        <f>AVERAGE([5]A!J55,'[6]2009'!J55,'[7]2010'!J55)</f>
        <v>0</v>
      </c>
      <c r="K53" s="317">
        <f>AVERAGE([5]A!K55,'[6]2009'!K55,'[7]2010'!K55)</f>
        <v>437.91333333333336</v>
      </c>
      <c r="L53" s="317">
        <f>AVERAGE([5]A!L55,'[6]2009'!L55,'[7]2010'!L55)</f>
        <v>0</v>
      </c>
      <c r="M53" s="317">
        <f>AVERAGE([5]A!M55,'[6]2009'!M55,'[7]2010'!M55)</f>
        <v>0</v>
      </c>
      <c r="N53" s="317">
        <f>AVERAGE([5]A!N55,'[6]2009'!N55,'[7]2010'!N55)</f>
        <v>46.5</v>
      </c>
      <c r="O53" s="317">
        <f>AVERAGE([5]A!O55,'[6]2009'!O55,'[7]2010'!O55)</f>
        <v>0</v>
      </c>
      <c r="P53" s="317">
        <f>AVERAGE([5]A!P55,'[6]2009'!P55,'[7]2010'!P55)</f>
        <v>-229.63666666666666</v>
      </c>
      <c r="Q53" s="317">
        <f>AVERAGE([5]A!Q55,'[6]2009'!Q55,'[7]2010'!Q55)</f>
        <v>0.12648930961318752</v>
      </c>
      <c r="R53" s="317">
        <f>AVERAGE([5]A!R55,'[6]2009'!R55,'[7]2010'!R55)</f>
        <v>0</v>
      </c>
      <c r="S53" s="317">
        <f>AVERAGE([5]A!S55,'[6]2009'!S55,'[7]2010'!S55)</f>
        <v>0</v>
      </c>
      <c r="T53" s="317">
        <f>AVERAGE([5]A!T55,'[6]2009'!T55,'[7]2010'!T55)</f>
        <v>0</v>
      </c>
      <c r="U53" s="317">
        <f>AVERAGE([5]A!U55,'[6]2009'!U55,'[7]2010'!U55)</f>
        <v>4.7866666666666671</v>
      </c>
      <c r="V53" s="317">
        <f>AVERAGE([5]A!V55,'[6]2009'!V55,'[7]2010'!V55)</f>
        <v>0</v>
      </c>
      <c r="W53" s="317">
        <f>AVERAGE([5]A!W55,'[6]2009'!W55,'[7]2010'!W55)</f>
        <v>0</v>
      </c>
      <c r="X53" s="317">
        <f>AVERAGE([5]A!X55,'[6]2009'!X55,'[7]2010'!X55)</f>
        <v>0</v>
      </c>
      <c r="Y53" s="317">
        <f>AVERAGE([5]A!Y55,'[6]2009'!Y55,'[7]2010'!Y55)</f>
        <v>0</v>
      </c>
      <c r="Z53" s="317">
        <f>AVERAGE([5]A!Z55,'[6]2009'!Z55,'[7]2010'!Z55)</f>
        <v>26.11</v>
      </c>
      <c r="AA53" s="317">
        <f>AVERAGE([5]A!AA55,'[6]2009'!AA55,'[7]2010'!AA55)</f>
        <v>0</v>
      </c>
      <c r="AB53" s="317">
        <f>AVERAGE([5]A!AB55,'[6]2009'!AB55,'[7]2010'!AB55)</f>
        <v>0</v>
      </c>
      <c r="AC53" s="317">
        <f>AVERAGE([5]A!AC55,'[6]2009'!AC55,'[7]2010'!AC55)</f>
        <v>-8.6</v>
      </c>
      <c r="AD53" s="317">
        <f>AVERAGE([5]A!AD55,'[6]2009'!AD55,'[7]2010'!AD55)</f>
        <v>0</v>
      </c>
      <c r="AE53" s="317">
        <f>AVERAGE([5]A!AE55,'[6]2009'!AE55,'[7]2010'!AE55)</f>
        <v>0.77333333333333343</v>
      </c>
      <c r="AF53" s="317">
        <f>AVERAGE([5]A!AF55,'[6]2009'!AF55,'[7]2010'!AF55)</f>
        <v>-9.6662230694529363E-3</v>
      </c>
      <c r="AG53" s="317">
        <f>AVERAGE([5]A!AG55,'[6]2009'!AG55,'[7]2010'!AG55)</f>
        <v>0</v>
      </c>
      <c r="AH53" s="317">
        <f>AVERAGE([5]A!AH55,'[6]2009'!AH55,'[7]2010'!AH55)</f>
        <v>0</v>
      </c>
      <c r="AI53" s="317">
        <f>AVERAGE([5]A!AI55,'[6]2009'!AI55,'[7]2010'!AI55)</f>
        <v>0</v>
      </c>
      <c r="AJ53" s="317">
        <f>AVERAGE([5]A!AJ55,'[6]2009'!AJ55,'[7]2010'!AJ55)</f>
        <v>-6461.0999999999995</v>
      </c>
      <c r="AK53" s="317">
        <f>AVERAGE([5]A!AK55,'[6]2009'!AK55,'[7]2010'!AK55)</f>
        <v>0</v>
      </c>
      <c r="AL53" s="317">
        <f>AVERAGE([5]A!AL55,'[6]2009'!AL55,'[7]2010'!AL55)</f>
        <v>0</v>
      </c>
      <c r="AM53" s="317">
        <f>AVERAGE([5]A!AM55,'[6]2009'!AM55,'[7]2010'!AM55)</f>
        <v>0</v>
      </c>
      <c r="AN53" s="317">
        <f>AVERAGE([5]A!AN55,'[6]2009'!AN55,'[7]2010'!AN55)</f>
        <v>0</v>
      </c>
      <c r="AO53" s="317">
        <f>AVERAGE([5]A!AO55,'[6]2009'!AO55,'[7]2010'!AO55)</f>
        <v>-17510.343333333334</v>
      </c>
      <c r="AP53" s="317">
        <f>AVERAGE([5]A!AP55,'[6]2009'!AP55,'[7]2010'!AP55)</f>
        <v>0</v>
      </c>
      <c r="AQ53" s="317">
        <f>AVERAGE([5]A!AQ55,'[6]2009'!AQ55,'[7]2010'!AQ55)</f>
        <v>0</v>
      </c>
      <c r="AR53" s="317">
        <f>AVERAGE([5]A!AR55,'[6]2009'!AR55,'[7]2010'!AR55)</f>
        <v>4394.1633333333348</v>
      </c>
      <c r="AS53" s="317">
        <f>AVERAGE([5]A!AS55,'[6]2009'!AS55,'[7]2010'!AS55)</f>
        <v>0</v>
      </c>
      <c r="AT53" s="317">
        <f>AVERAGE([5]A!AT55,'[6]2009'!AT55,'[7]2010'!AT55)</f>
        <v>9886.1533333333336</v>
      </c>
      <c r="AU53" s="317">
        <f>AVERAGE([5]A!AU55,'[6]2009'!AU55,'[7]2010'!AU55)</f>
        <v>4.7517876215162707</v>
      </c>
      <c r="AV53" s="317">
        <f>AVERAGE([5]A!AV55,'[6]2009'!AV55,'[7]2010'!AV55)</f>
        <v>0</v>
      </c>
      <c r="AW53" s="317">
        <f>AVERAGE([5]A!AW55,'[6]2009'!AW55,'[7]2010'!AW55)</f>
        <v>0</v>
      </c>
      <c r="AX53" s="317">
        <f>AVERAGE([5]A!AX55,'[6]2009'!AX55,'[7]2010'!AX55)</f>
        <v>0</v>
      </c>
      <c r="AY53" s="317">
        <f>AVERAGE([5]A!AY55,'[6]2009'!AY55,'[7]2010'!AY55)</f>
        <v>8614.8833333333332</v>
      </c>
      <c r="AZ53" s="317">
        <f>AVERAGE([5]A!AZ55,'[6]2009'!AZ55,'[7]2010'!AZ55)</f>
        <v>0</v>
      </c>
      <c r="BA53" s="317">
        <f>AVERAGE([5]A!BA55,'[6]2009'!BA55,'[7]2010'!BA55)</f>
        <v>0</v>
      </c>
      <c r="BB53" s="317">
        <f>AVERAGE([5]A!BB55,'[6]2009'!BB55,'[7]2010'!BB55)</f>
        <v>0</v>
      </c>
      <c r="BC53" s="317">
        <f>AVERAGE([5]A!BC55,'[6]2009'!BC55,'[7]2010'!BC55)</f>
        <v>0</v>
      </c>
      <c r="BD53" s="317">
        <f>AVERAGE([5]A!BD55,'[6]2009'!BD55,'[7]2010'!BD55)</f>
        <v>709.25</v>
      </c>
      <c r="BE53" s="317">
        <f>AVERAGE([5]A!BE55,'[6]2009'!BE55,'[7]2010'!BE55)</f>
        <v>0</v>
      </c>
      <c r="BF53" s="317">
        <f>AVERAGE([5]A!BF55,'[6]2009'!BF55,'[7]2010'!BF55)</f>
        <v>0</v>
      </c>
      <c r="BG53" s="317">
        <f>AVERAGE([5]A!BG55,'[6]2009'!BG55,'[7]2010'!BG55)</f>
        <v>0</v>
      </c>
      <c r="BH53" s="317">
        <f>AVERAGE([5]A!BH55,'[6]2009'!BH55,'[7]2010'!BH55)</f>
        <v>0</v>
      </c>
      <c r="BI53" s="317">
        <f>AVERAGE([5]A!BI55,'[6]2009'!BI55,'[7]2010'!BI55)</f>
        <v>-5150.1866666666674</v>
      </c>
      <c r="BJ53" s="317">
        <f>AVERAGE([5]A!BJ55,'[6]2009'!BJ55,'[7]2010'!BJ55)</f>
        <v>0</v>
      </c>
      <c r="BK53" s="317">
        <f>AVERAGE([5]A!BK55,'[6]2009'!BK55,'[7]2010'!BK55)</f>
        <v>0</v>
      </c>
      <c r="BL53" s="317">
        <f>AVERAGE([5]A!BL55,'[6]2009'!BL55,'[7]2010'!BL55)</f>
        <v>2934.9733333333352</v>
      </c>
      <c r="BM53" s="317">
        <f>AVERAGE([5]A!BM55,'[6]2009'!BM55,'[7]2010'!BM55)</f>
        <v>0</v>
      </c>
      <c r="BN53" s="317">
        <f>AVERAGE([5]A!BN55,'[6]2009'!BN55,'[7]2010'!BN55)</f>
        <v>-10856.116666666667</v>
      </c>
      <c r="BO53" s="317">
        <f>AVERAGE([8]A!BO55,[5]A!BO55,'[6]2009'!BO55,'[7]2010'!BO55)</f>
        <v>0.22709988042237444</v>
      </c>
      <c r="DD53" s="323" t="s">
        <v>327</v>
      </c>
    </row>
    <row r="54" spans="1:121" s="316" customFormat="1">
      <c r="A54" s="316" t="s">
        <v>1</v>
      </c>
      <c r="B54" s="316" t="s">
        <v>72</v>
      </c>
      <c r="C54" s="317">
        <f>AVERAGE([5]A!C56,'[6]2009'!C56,'[7]2010'!C56)</f>
        <v>3302.1171298860704</v>
      </c>
      <c r="D54" s="317">
        <f>AVERAGE([5]A!D56,'[6]2009'!D56,'[7]2010'!D56)</f>
        <v>2907</v>
      </c>
      <c r="E54" s="317">
        <f>AVERAGE([5]A!E56,'[6]2009'!E56,'[7]2010'!E56)</f>
        <v>538.06805741051801</v>
      </c>
      <c r="F54" s="317">
        <f>AVERAGE([5]A!F56,'[6]2009'!F56,'[7]2010'!F56)</f>
        <v>447.12666666666672</v>
      </c>
      <c r="G54" s="317">
        <f>AVERAGE([5]A!G56,'[6]2009'!G56,'[7]2010'!G56)</f>
        <v>3.5388777415893351</v>
      </c>
      <c r="H54" s="317">
        <f>AVERAGE([5]A!H56,'[6]2009'!H56,'[7]2010'!H56)</f>
        <v>3151.3292461406932</v>
      </c>
      <c r="I54" s="317">
        <f>AVERAGE([5]A!I56,'[6]2009'!I56,'[7]2010'!I56)</f>
        <v>2714.6666666666665</v>
      </c>
      <c r="J54" s="317">
        <f>AVERAGE([5]A!J56,'[6]2009'!J56,'[7]2010'!J56)</f>
        <v>514.62876922339183</v>
      </c>
      <c r="K54" s="317">
        <f>AVERAGE([5]A!K56,'[6]2009'!K56,'[7]2010'!K56)</f>
        <v>453.14333333333337</v>
      </c>
      <c r="L54" s="317">
        <f>AVERAGE([5]A!L56,'[6]2009'!L56,'[7]2010'!L56)</f>
        <v>3.7288004456176633</v>
      </c>
      <c r="M54" s="317">
        <f>AVERAGE([5]A!M56,'[6]2009'!M56,'[7]2010'!M56)</f>
        <v>3502.9920642159686</v>
      </c>
      <c r="N54" s="317">
        <f>AVERAGE([5]A!N56,'[6]2009'!N56,'[7]2010'!N56)</f>
        <v>3611.6666666666665</v>
      </c>
      <c r="O54" s="317">
        <f>AVERAGE([5]A!O56,'[6]2009'!O56,'[7]2010'!O56)</f>
        <v>570.81855254759728</v>
      </c>
      <c r="P54" s="317">
        <f>AVERAGE([5]A!P56,'[6]2009'!P56,'[7]2010'!P56)</f>
        <v>610.77333333333331</v>
      </c>
      <c r="Q54" s="317">
        <f>AVERAGE([5]A!Q56,'[6]2009'!Q56,'[7]2010'!Q56)</f>
        <v>4.8798625640950455</v>
      </c>
      <c r="R54" s="317">
        <f>AVERAGE([5]A!R56,'[6]2009'!R56,'[7]2010'!R56)</f>
        <v>1507.4957384899462</v>
      </c>
      <c r="S54" s="317">
        <f>AVERAGE([5]A!S56,'[6]2009'!S56,'[7]2010'!S56)</f>
        <v>2933.3333333333335</v>
      </c>
      <c r="T54" s="317">
        <f>AVERAGE([5]A!T56,'[6]2009'!T56,'[7]2010'!T56)</f>
        <v>244.52879851511412</v>
      </c>
      <c r="U54" s="317">
        <f>AVERAGE([5]A!U56,'[6]2009'!U56,'[7]2010'!U56)</f>
        <v>506.26333333333332</v>
      </c>
      <c r="V54" s="317">
        <f>AVERAGE([5]A!V56,'[6]2009'!V56,'[7]2010'!V56)</f>
        <v>3.7692146593345552</v>
      </c>
      <c r="W54" s="317">
        <f>AVERAGE([5]A!W56,'[6]2009'!W56,'[7]2010'!W56)</f>
        <v>2124.45204059854</v>
      </c>
      <c r="X54" s="317">
        <f>AVERAGE([5]A!X56,'[6]2009'!X56,'[7]2010'!X56)</f>
        <v>1430</v>
      </c>
      <c r="Y54" s="317">
        <f>AVERAGE([5]A!Y56,'[6]2009'!Y56,'[7]2010'!Y56)</f>
        <v>339.36763120901702</v>
      </c>
      <c r="Z54" s="317">
        <f>AVERAGE([5]A!Z56,'[6]2009'!Z56,'[7]2010'!Z56)</f>
        <v>205.58666666666667</v>
      </c>
      <c r="AA54" s="317">
        <f>AVERAGE([5]A!AA56,'[6]2009'!AA56,'[7]2010'!AA56)</f>
        <v>1.5788610873326538</v>
      </c>
      <c r="AB54" s="317">
        <f>AVERAGE([5]A!AB56,'[6]2009'!AB56,'[7]2010'!AB56)</f>
        <v>4541.6569087198632</v>
      </c>
      <c r="AC54" s="317">
        <f>AVERAGE([5]A!AC56,'[6]2009'!AC56,'[7]2010'!AC56)</f>
        <v>2668.6666666666665</v>
      </c>
      <c r="AD54" s="317">
        <f>AVERAGE([5]A!AD56,'[6]2009'!AD56,'[7]2010'!AD56)</f>
        <v>750.24540972442992</v>
      </c>
      <c r="AE54" s="317">
        <f>AVERAGE([5]A!AE56,'[6]2009'!AE56,'[7]2010'!AE56)</f>
        <v>445.58</v>
      </c>
      <c r="AF54" s="317">
        <f>AVERAGE([5]A!AF56,'[6]2009'!AF56,'[7]2010'!AF56)</f>
        <v>2.795366069587049</v>
      </c>
      <c r="AG54" s="317">
        <f>AVERAGE([5]A!AG56,'[6]2009'!AG56,'[7]2010'!AG56)</f>
        <v>2718.9258811545128</v>
      </c>
      <c r="AH54" s="317">
        <f>AVERAGE([5]A!AH56,'[6]2009'!AH56,'[7]2010'!AH56)</f>
        <v>2844.6666666666665</v>
      </c>
      <c r="AI54" s="317">
        <f>AVERAGE([5]A!AI56,'[6]2009'!AI56,'[7]2010'!AI56)</f>
        <v>432.98468767742162</v>
      </c>
      <c r="AJ54" s="317">
        <f>AVERAGE([5]A!AJ56,'[6]2009'!AJ56,'[7]2010'!AJ56)</f>
        <v>473.29666666666668</v>
      </c>
      <c r="AK54" s="317">
        <f>AVERAGE([5]A!AK56,'[6]2009'!AK56,'[7]2010'!AK56)</f>
        <v>2.67955804522729</v>
      </c>
      <c r="AL54" s="317">
        <f>AVERAGE([5]A!AL56,'[6]2009'!AL56,'[7]2010'!AL56)</f>
        <v>3838.0812948982857</v>
      </c>
      <c r="AM54" s="317">
        <f>AVERAGE([5]A!AM56,'[6]2009'!AM56,'[7]2010'!AM56)</f>
        <v>3140</v>
      </c>
      <c r="AN54" s="317">
        <f>AVERAGE([5]A!AN56,'[6]2009'!AN56,'[7]2010'!AN56)</f>
        <v>606.85211559427353</v>
      </c>
      <c r="AO54" s="317">
        <f>AVERAGE([5]A!AO56,'[6]2009'!AO56,'[7]2010'!AO56)</f>
        <v>515.14666666666665</v>
      </c>
      <c r="AP54" s="317">
        <f>AVERAGE([5]A!AP56,'[6]2009'!AP56,'[7]2010'!AP56)</f>
        <v>2.8366835703452327</v>
      </c>
      <c r="AQ54" s="317">
        <f>AVERAGE([5]A!AQ56,'[6]2009'!AQ56,'[7]2010'!AQ56)</f>
        <v>4014.1748102036622</v>
      </c>
      <c r="AR54" s="317">
        <f>AVERAGE([5]A!AR56,'[6]2009'!AR56,'[7]2010'!AR56)</f>
        <v>2923.3333333333335</v>
      </c>
      <c r="AS54" s="317">
        <f>AVERAGE([5]A!AS56,'[6]2009'!AS56,'[7]2010'!AS56)</f>
        <v>649.80976211149289</v>
      </c>
      <c r="AT54" s="317">
        <f>AVERAGE([5]A!AT56,'[6]2009'!AT56,'[7]2010'!AT56)</f>
        <v>488.45333333333338</v>
      </c>
      <c r="AU54" s="317">
        <f>AVERAGE([5]A!AU56,'[6]2009'!AU56,'[7]2010'!AU56)</f>
        <v>2.8363829191947989</v>
      </c>
      <c r="AV54" s="317">
        <f>AVERAGE([5]A!AV56,'[6]2009'!AV56,'[7]2010'!AV56)</f>
        <v>3541.0380119409751</v>
      </c>
      <c r="AW54" s="317">
        <f>AVERAGE([5]A!AW56,'[6]2009'!AW56,'[7]2010'!AW56)</f>
        <v>1836</v>
      </c>
      <c r="AX54" s="317">
        <f>AVERAGE([5]A!AX56,'[6]2009'!AX56,'[7]2010'!AX56)</f>
        <v>571.37475237524006</v>
      </c>
      <c r="AY54" s="317">
        <f>AVERAGE([5]A!AY56,'[6]2009'!AY56,'[7]2010'!AY56)</f>
        <v>291.95333333333332</v>
      </c>
      <c r="AZ54" s="317">
        <f>AVERAGE([5]A!AZ56,'[6]2009'!AZ56,'[7]2010'!AZ56)</f>
        <v>2.067876398031347</v>
      </c>
      <c r="BA54" s="317">
        <f>AVERAGE([5]A!BA56,'[6]2009'!BA56,'[7]2010'!BA56)</f>
        <v>3455.8862144102072</v>
      </c>
      <c r="BB54" s="317">
        <f>AVERAGE([5]A!BB56,'[6]2009'!BB56,'[7]2010'!BB56)</f>
        <v>2055</v>
      </c>
      <c r="BC54" s="317">
        <f>AVERAGE([5]A!BC56,'[6]2009'!BC56,'[7]2010'!BC56)</f>
        <v>535.6094711974788</v>
      </c>
      <c r="BD54" s="317">
        <f>AVERAGE([5]A!BD56,'[6]2009'!BD56,'[7]2010'!BD56)</f>
        <v>327.07333333333332</v>
      </c>
      <c r="BE54" s="317">
        <f>AVERAGE([5]A!BE56,'[6]2009'!BE56,'[7]2010'!BE56)</f>
        <v>2.9146684154002105</v>
      </c>
      <c r="BF54" s="317">
        <f>AVERAGE([5]A!BF56,'[6]2009'!BF56,'[7]2010'!BF56)</f>
        <v>3005.1728368252529</v>
      </c>
      <c r="BG54" s="317">
        <f>AVERAGE([5]A!BG56,'[6]2009'!BG56,'[7]2010'!BG56)</f>
        <v>3152.3333333333335</v>
      </c>
      <c r="BH54" s="317">
        <f>AVERAGE([5]A!BH56,'[6]2009'!BH56,'[7]2010'!BH56)</f>
        <v>482.74096983045155</v>
      </c>
      <c r="BI54" s="317">
        <f>AVERAGE([5]A!BI56,'[6]2009'!BI56,'[7]2010'!BI56)</f>
        <v>520.84333333333336</v>
      </c>
      <c r="BJ54" s="317">
        <f>AVERAGE([5]A!BJ56,'[6]2009'!BJ56,'[7]2010'!BJ56)</f>
        <v>4.6013749273266917</v>
      </c>
      <c r="BK54" s="317">
        <f>AVERAGE([5]A!BK56,'[6]2009'!BK56,'[7]2010'!BK56)</f>
        <v>38703.322177483984</v>
      </c>
      <c r="BL54" s="317">
        <f>AVERAGE([5]A!BL56,'[6]2009'!BL56,'[7]2010'!BL56)</f>
        <v>32216.666666666668</v>
      </c>
      <c r="BM54" s="317">
        <f>AVERAGE([5]A!BM56,'[6]2009'!BM56,'[7]2010'!BM56)</f>
        <v>6237.0289774164266</v>
      </c>
      <c r="BN54" s="317">
        <f>AVERAGE([5]A!BN56,'[6]2009'!BN56,'[7]2010'!BN56)</f>
        <v>5285.24</v>
      </c>
      <c r="BO54" s="317">
        <f>AVERAGE([8]A!BO56,[5]A!BO56,'[6]2009'!BO56,'[7]2010'!BO56)</f>
        <v>3.5789038347279352</v>
      </c>
      <c r="DI54" s="316" t="s">
        <v>172</v>
      </c>
      <c r="DP54" s="316" t="s">
        <v>328</v>
      </c>
      <c r="DQ54" s="319"/>
    </row>
    <row r="55" spans="1:121">
      <c r="A55" s="283" t="s">
        <v>1</v>
      </c>
      <c r="B55" s="283" t="s">
        <v>54</v>
      </c>
      <c r="C55" s="317">
        <f>AVERAGE([5]A!C57,'[6]2009'!C57,'[7]2010'!C57)</f>
        <v>7068.1412626223146</v>
      </c>
      <c r="D55" s="317">
        <f>AVERAGE([5]A!D57,'[6]2009'!D57,'[7]2010'!D57)</f>
        <v>7673</v>
      </c>
      <c r="E55" s="317">
        <f>AVERAGE([5]A!E57,'[6]2009'!E57,'[7]2010'!E57)</f>
        <v>4880.6549470614091</v>
      </c>
      <c r="F55" s="317">
        <f>AVERAGE([5]A!F57,'[6]2009'!F57,'[7]2010'!F57)</f>
        <v>2424.7333333333336</v>
      </c>
      <c r="G55" s="317">
        <f>AVERAGE([5]A!G57,'[6]2009'!G57,'[7]2010'!G57)</f>
        <v>9.2514980002934841</v>
      </c>
      <c r="H55" s="317">
        <f>AVERAGE([5]A!H57,'[6]2009'!H57,'[7]2010'!H57)</f>
        <v>5824.1763101566903</v>
      </c>
      <c r="I55" s="317">
        <f>AVERAGE([5]A!I57,'[6]2009'!I57,'[7]2010'!I57)</f>
        <v>6737.666666666667</v>
      </c>
      <c r="J55" s="317">
        <f>AVERAGE([5]A!J57,'[6]2009'!J57,'[7]2010'!J57)</f>
        <v>4075.5884104831525</v>
      </c>
      <c r="K55" s="317">
        <f>AVERAGE([5]A!K57,'[6]2009'!K57,'[7]2010'!K57)</f>
        <v>3217.08</v>
      </c>
      <c r="L55" s="317">
        <f>AVERAGE([5]A!L57,'[6]2009'!L57,'[7]2010'!L57)</f>
        <v>9.2459848473310711</v>
      </c>
      <c r="M55" s="317">
        <f>AVERAGE([5]A!M57,'[6]2009'!M57,'[7]2010'!M57)</f>
        <v>6448.9336194485404</v>
      </c>
      <c r="N55" s="317">
        <f>AVERAGE([5]A!N57,'[6]2009'!N57,'[7]2010'!N57)</f>
        <v>6870.333333333333</v>
      </c>
      <c r="O55" s="317">
        <f>AVERAGE([5]A!O57,'[6]2009'!O57,'[7]2010'!O57)</f>
        <v>4664.4669502151655</v>
      </c>
      <c r="P55" s="317">
        <f>AVERAGE([5]A!P57,'[6]2009'!P57,'[7]2010'!P57)</f>
        <v>3280.3333333333335</v>
      </c>
      <c r="Q55" s="317">
        <f>AVERAGE([5]A!Q57,'[6]2009'!Q57,'[7]2010'!Q57)</f>
        <v>9.3116228363712334</v>
      </c>
      <c r="R55" s="317">
        <f>AVERAGE([5]A!R57,'[6]2009'!R57,'[7]2010'!R57)</f>
        <v>4550.3089342859503</v>
      </c>
      <c r="S55" s="317">
        <f>AVERAGE([5]A!S57,'[6]2009'!S57,'[7]2010'!S57)</f>
        <v>4737.666666666667</v>
      </c>
      <c r="T55" s="317">
        <f>AVERAGE([5]A!T57,'[6]2009'!T57,'[7]2010'!T57)</f>
        <v>3446.2131211268775</v>
      </c>
      <c r="U55" s="317">
        <f>AVERAGE([5]A!U57,'[6]2009'!U57,'[7]2010'!U57)</f>
        <v>2065.08</v>
      </c>
      <c r="V55" s="317">
        <f>AVERAGE([5]A!V57,'[6]2009'!V57,'[7]2010'!V57)</f>
        <v>5.9649729444379673</v>
      </c>
      <c r="W55" s="317">
        <f>AVERAGE([5]A!W57,'[6]2009'!W57,'[7]2010'!W57)</f>
        <v>7187.6973667564844</v>
      </c>
      <c r="X55" s="317">
        <f>AVERAGE([5]A!X57,'[6]2009'!X57,'[7]2010'!X57)</f>
        <v>5410</v>
      </c>
      <c r="Y55" s="317">
        <f>AVERAGE([5]A!Y57,'[6]2009'!Y57,'[7]2010'!Y57)</f>
        <v>4956.8096422172439</v>
      </c>
      <c r="Z55" s="317">
        <f>AVERAGE([5]A!Z57,'[6]2009'!Z57,'[7]2010'!Z57)</f>
        <v>2793.9966666666664</v>
      </c>
      <c r="AA55" s="317">
        <f>AVERAGE([5]A!AA57,'[6]2009'!AA57,'[7]2010'!AA57)</f>
        <v>6.1781818682251144</v>
      </c>
      <c r="AB55" s="317">
        <f>AVERAGE([5]A!AB57,'[6]2009'!AB57,'[7]2010'!AB57)</f>
        <v>8909.3916082228734</v>
      </c>
      <c r="AC55" s="317">
        <f>AVERAGE([5]A!AC57,'[6]2009'!AC57,'[7]2010'!AC57)</f>
        <v>8647.3333333333339</v>
      </c>
      <c r="AD55" s="317">
        <f>AVERAGE([5]A!AD57,'[6]2009'!AD57,'[7]2010'!AD57)</f>
        <v>6051.4107778731823</v>
      </c>
      <c r="AE55" s="317">
        <f>AVERAGE([5]A!AE57,'[6]2009'!AE57,'[7]2010'!AE57)</f>
        <v>4047.67</v>
      </c>
      <c r="AF55" s="317">
        <f>AVERAGE([5]A!AF57,'[6]2009'!AF57,'[7]2010'!AF57)</f>
        <v>9.1288557219882502</v>
      </c>
      <c r="AG55" s="317">
        <f>AVERAGE([5]A!AG57,'[6]2009'!AG57,'[7]2010'!AG57)</f>
        <v>10968.51162939986</v>
      </c>
      <c r="AH55" s="317">
        <f>AVERAGE([5]A!AH57,'[6]2009'!AH57,'[7]2010'!AH57)</f>
        <v>9794</v>
      </c>
      <c r="AI55" s="317">
        <f>AVERAGE([5]A!AI57,'[6]2009'!AI57,'[7]2010'!AI57)</f>
        <v>7115.8072876096294</v>
      </c>
      <c r="AJ55" s="317">
        <f>AVERAGE([5]A!AJ57,'[6]2009'!AJ57,'[7]2010'!AJ57)</f>
        <v>4453.47</v>
      </c>
      <c r="AK55" s="317">
        <f>AVERAGE([5]A!AK57,'[6]2009'!AK57,'[7]2010'!AK57)</f>
        <v>9.2394427820532119</v>
      </c>
      <c r="AL55" s="317">
        <f>AVERAGE([5]A!AL57,'[6]2009'!AL57,'[7]2010'!AL57)</f>
        <v>11664.548332117634</v>
      </c>
      <c r="AM55" s="317">
        <f>AVERAGE([5]A!AM57,'[6]2009'!AM57,'[7]2010'!AM57)</f>
        <v>9946.6666666666661</v>
      </c>
      <c r="AN55" s="317">
        <f>AVERAGE([5]A!AN57,'[6]2009'!AN57,'[7]2010'!AN57)</f>
        <v>7704.6332921524736</v>
      </c>
      <c r="AO55" s="317">
        <f>AVERAGE([5]A!AO57,'[6]2009'!AO57,'[7]2010'!AO57)</f>
        <v>3852.5266666666666</v>
      </c>
      <c r="AP55" s="317">
        <f>AVERAGE([5]A!AP57,'[6]2009'!AP57,'[7]2010'!AP57)</f>
        <v>9.1161466655852248</v>
      </c>
      <c r="AQ55" s="317">
        <f>AVERAGE([5]A!AQ57,'[6]2009'!AQ57,'[7]2010'!AQ57)</f>
        <v>10501.490352478428</v>
      </c>
      <c r="AR55" s="317">
        <f>AVERAGE([5]A!AR57,'[6]2009'!AR57,'[7]2010'!AR57)</f>
        <v>8754.3333333333339</v>
      </c>
      <c r="AS55" s="317">
        <f>AVERAGE([5]A!AS57,'[6]2009'!AS57,'[7]2010'!AS57)</f>
        <v>6853.4864413981559</v>
      </c>
      <c r="AT55" s="317">
        <f>AVERAGE([5]A!AT57,'[6]2009'!AT57,'[7]2010'!AT57)</f>
        <v>3455.01</v>
      </c>
      <c r="AU55" s="317">
        <f>AVERAGE([5]A!AU57,'[6]2009'!AU57,'[7]2010'!AU57)</f>
        <v>8.5743731235848699</v>
      </c>
      <c r="AV55" s="317">
        <f>AVERAGE([5]A!AV57,'[6]2009'!AV57,'[7]2010'!AV57)</f>
        <v>8846.3686332370216</v>
      </c>
      <c r="AW55" s="317">
        <f>AVERAGE([5]A!AW57,'[6]2009'!AW57,'[7]2010'!AW57)</f>
        <v>7590</v>
      </c>
      <c r="AX55" s="317">
        <f>AVERAGE([5]A!AX57,'[6]2009'!AX57,'[7]2010'!AX57)</f>
        <v>5846.9063415547344</v>
      </c>
      <c r="AY55" s="317">
        <f>AVERAGE([5]A!AY57,'[6]2009'!AY57,'[7]2010'!AY57)</f>
        <v>2637.4533333333334</v>
      </c>
      <c r="AZ55" s="317">
        <f>AVERAGE([5]A!AZ57,'[6]2009'!AZ57,'[7]2010'!AZ57)</f>
        <v>8.9349966367117997</v>
      </c>
      <c r="BA55" s="317">
        <f>AVERAGE([5]A!BA57,'[6]2009'!BA57,'[7]2010'!BA57)</f>
        <v>8006.8768406004301</v>
      </c>
      <c r="BB55" s="317">
        <f>AVERAGE([5]A!BB57,'[6]2009'!BB57,'[7]2010'!BB57)</f>
        <v>9338.3333333333339</v>
      </c>
      <c r="BC55" s="317">
        <f>AVERAGE([5]A!BC57,'[6]2009'!BC57,'[7]2010'!BC57)</f>
        <v>5465.3351506561839</v>
      </c>
      <c r="BD55" s="317">
        <f>AVERAGE([5]A!BD57,'[6]2009'!BD57,'[7]2010'!BD57)</f>
        <v>3049.7400000000002</v>
      </c>
      <c r="BE55" s="317">
        <f>AVERAGE([5]A!BE57,'[6]2009'!BE57,'[7]2010'!BE57)</f>
        <v>13.26256569851131</v>
      </c>
      <c r="BF55" s="317">
        <f>AVERAGE([5]A!BF57,'[6]2009'!BF57,'[7]2010'!BF57)</f>
        <v>6035.347638411974</v>
      </c>
      <c r="BG55" s="317">
        <f>AVERAGE([5]A!BG57,'[6]2009'!BG57,'[7]2010'!BG57)</f>
        <v>6327.666666666667</v>
      </c>
      <c r="BH55" s="317">
        <f>AVERAGE([5]A!BH57,'[6]2009'!BH57,'[7]2010'!BH57)</f>
        <v>4062.7274649114165</v>
      </c>
      <c r="BI55" s="317">
        <f>AVERAGE([5]A!BI57,'[6]2009'!BI57,'[7]2010'!BI57)</f>
        <v>2210.2566666666667</v>
      </c>
      <c r="BJ55" s="317">
        <f>AVERAGE([5]A!BJ57,'[6]2009'!BJ57,'[7]2010'!BJ57)</f>
        <v>9.2773795801759036</v>
      </c>
      <c r="BK55" s="317">
        <f>AVERAGE([5]A!BK57,'[6]2009'!BK57,'[7]2010'!BK57)</f>
        <v>96011.792527738202</v>
      </c>
      <c r="BL55" s="317">
        <f>AVERAGE([5]A!BL57,'[6]2009'!BL57,'[7]2010'!BL57)</f>
        <v>91827</v>
      </c>
      <c r="BM55" s="317">
        <f>AVERAGE([5]A!BM57,'[6]2009'!BM57,'[7]2010'!BM57)</f>
        <v>65124.039827259629</v>
      </c>
      <c r="BN55" s="317">
        <f>AVERAGE([5]A!BN57,'[6]2009'!BN57,'[7]2010'!BN57)</f>
        <v>37487.35</v>
      </c>
      <c r="BO55" s="317">
        <f>AVERAGE([8]A!BO57,[5]A!BO57,'[6]2009'!BO57,'[7]2010'!BO57)</f>
        <v>9.9956445514314005</v>
      </c>
      <c r="BP55" s="283">
        <f>BL55/365</f>
        <v>251.58082191780821</v>
      </c>
      <c r="DQ55" s="323"/>
    </row>
    <row r="56" spans="1:121" s="316" customFormat="1">
      <c r="A56" s="316" t="s">
        <v>1</v>
      </c>
      <c r="B56" s="316" t="s">
        <v>269</v>
      </c>
      <c r="C56" s="317">
        <f>AVERAGE([5]A!C58,'[6]2009'!C58,'[7]2010'!C58)</f>
        <v>13467.976469268839</v>
      </c>
      <c r="D56" s="317">
        <f>AVERAGE([5]A!D58,'[6]2009'!D58,'[7]2010'!D58)</f>
        <v>16378.333333333334</v>
      </c>
      <c r="E56" s="317">
        <f>AVERAGE([5]A!E58,'[6]2009'!E58,'[7]2010'!E58)</f>
        <v>3037.6304798938168</v>
      </c>
      <c r="F56" s="317">
        <f>AVERAGE([5]A!F58,'[6]2009'!F58,'[7]2010'!F58)</f>
        <v>3135.58</v>
      </c>
      <c r="G56" s="317">
        <f>AVERAGE([5]A!G58,'[6]2009'!G58,'[7]2010'!G58)</f>
        <v>20.948390432905658</v>
      </c>
      <c r="H56" s="317">
        <f>AVERAGE([5]A!H58,'[6]2009'!H58,'[7]2010'!H58)</f>
        <v>9635.7146675323529</v>
      </c>
      <c r="I56" s="317">
        <f>AVERAGE([5]A!I58,'[6]2009'!I58,'[7]2010'!I58)</f>
        <v>24896.666666666668</v>
      </c>
      <c r="J56" s="317">
        <f>AVERAGE([5]A!J58,'[6]2009'!J58,'[7]2010'!J58)</f>
        <v>1474.2447217242625</v>
      </c>
      <c r="K56" s="317">
        <f>AVERAGE([5]A!K58,'[6]2009'!K58,'[7]2010'!K58)</f>
        <v>4304.24</v>
      </c>
      <c r="L56" s="317">
        <f>AVERAGE([5]A!L58,'[6]2009'!L58,'[7]2010'!L58)</f>
        <v>33.507556863249363</v>
      </c>
      <c r="M56" s="317">
        <f>AVERAGE([5]A!M58,'[6]2009'!M58,'[7]2010'!M58)</f>
        <v>10599.362942094607</v>
      </c>
      <c r="N56" s="317">
        <f>AVERAGE([5]A!N58,'[6]2009'!N58,'[7]2010'!N58)</f>
        <v>11934.333333333334</v>
      </c>
      <c r="O56" s="317">
        <f>AVERAGE([5]A!O58,'[6]2009'!O58,'[7]2010'!O58)</f>
        <v>1858.6396804669778</v>
      </c>
      <c r="P56" s="317">
        <f>AVERAGE([5]A!P58,'[6]2009'!P58,'[7]2010'!P58)</f>
        <v>2245.8866666666668</v>
      </c>
      <c r="Q56" s="317">
        <f>AVERAGE([5]A!Q58,'[6]2009'!Q58,'[7]2010'!Q58)</f>
        <v>15.878328212738404</v>
      </c>
      <c r="R56" s="317">
        <f>AVERAGE([5]A!R58,'[6]2009'!R58,'[7]2010'!R58)</f>
        <v>20940.188128089052</v>
      </c>
      <c r="S56" s="317">
        <f>AVERAGE([5]A!S58,'[6]2009'!S58,'[7]2010'!S58)</f>
        <v>21729</v>
      </c>
      <c r="T56" s="317">
        <f>AVERAGE([5]A!T58,'[6]2009'!T58,'[7]2010'!T58)</f>
        <v>4845.2827338209927</v>
      </c>
      <c r="U56" s="317">
        <f>AVERAGE([5]A!U58,'[6]2009'!U58,'[7]2010'!U58)</f>
        <v>3530.7333333333336</v>
      </c>
      <c r="V56" s="317">
        <f>AVERAGE([5]A!V58,'[6]2009'!V58,'[7]2010'!V58)</f>
        <v>27.578920026101486</v>
      </c>
      <c r="W56" s="317">
        <f>AVERAGE([5]A!W58,'[6]2009'!W58,'[7]2010'!W58)</f>
        <v>21834.325378816673</v>
      </c>
      <c r="X56" s="317">
        <f>AVERAGE([5]A!X58,'[6]2009'!X58,'[7]2010'!X58)</f>
        <v>38983.666666666664</v>
      </c>
      <c r="Y56" s="317">
        <f>AVERAGE([5]A!Y58,'[6]2009'!Y58,'[7]2010'!Y58)</f>
        <v>4057.5384469124624</v>
      </c>
      <c r="Z56" s="317">
        <f>AVERAGE([5]A!Z58,'[6]2009'!Z58,'[7]2010'!Z58)</f>
        <v>7625.1799999999994</v>
      </c>
      <c r="AA56" s="317">
        <f>AVERAGE([5]A!AA58,'[6]2009'!AA58,'[7]2010'!AA58)</f>
        <v>44.580987383091319</v>
      </c>
      <c r="AB56" s="317">
        <f>AVERAGE([5]A!AB58,'[6]2009'!AB58,'[7]2010'!AB58)</f>
        <v>31555.36955570904</v>
      </c>
      <c r="AC56" s="317">
        <f>AVERAGE([5]A!AC58,'[6]2009'!AC58,'[7]2010'!AC58)</f>
        <v>19212.666666666668</v>
      </c>
      <c r="AD56" s="317">
        <f>AVERAGE([5]A!AD58,'[6]2009'!AD58,'[7]2010'!AD58)</f>
        <v>6650.5642657808967</v>
      </c>
      <c r="AE56" s="317">
        <f>AVERAGE([5]A!AE58,'[6]2009'!AE58,'[7]2010'!AE58)</f>
        <v>3890.6366666666668</v>
      </c>
      <c r="AF56" s="317">
        <f>AVERAGE([5]A!AF58,'[6]2009'!AF58,'[7]2010'!AF58)</f>
        <v>20.851498093474735</v>
      </c>
      <c r="AG56" s="317">
        <f>AVERAGE([5]A!AG58,'[6]2009'!AG58,'[7]2010'!AG58)</f>
        <v>35280.022224284905</v>
      </c>
      <c r="AH56" s="317">
        <f>AVERAGE([5]A!AH58,'[6]2009'!AH58,'[7]2010'!AH58)</f>
        <v>19351.666666666668</v>
      </c>
      <c r="AI56" s="317">
        <f>AVERAGE([5]A!AI58,'[6]2009'!AI58,'[7]2010'!AI58)</f>
        <v>9804.4845235085522</v>
      </c>
      <c r="AJ56" s="317">
        <f>AVERAGE([5]A!AJ58,'[6]2009'!AJ58,'[7]2010'!AJ58)</f>
        <v>5278.7266666666665</v>
      </c>
      <c r="AK56" s="317">
        <f>AVERAGE([5]A!AK58,'[6]2009'!AK58,'[7]2010'!AK58)</f>
        <v>19.453551142481775</v>
      </c>
      <c r="AL56" s="317">
        <f>AVERAGE([5]A!AL58,'[6]2009'!AL58,'[7]2010'!AL58)</f>
        <v>70723.4073480847</v>
      </c>
      <c r="AM56" s="317">
        <f>AVERAGE([5]A!AM58,'[6]2009'!AM58,'[7]2010'!AM58)</f>
        <v>109395</v>
      </c>
      <c r="AN56" s="317">
        <f>AVERAGE([5]A!AN58,'[6]2009'!AN58,'[7]2010'!AN58)</f>
        <v>18792.378529912781</v>
      </c>
      <c r="AO56" s="317">
        <f>AVERAGE([5]A!AO58,'[6]2009'!AO58,'[7]2010'!AO58)</f>
        <v>16041.373333333331</v>
      </c>
      <c r="AP56" s="317">
        <f>AVERAGE([5]A!AP58,'[6]2009'!AP58,'[7]2010'!AP58)</f>
        <v>99.99797688536826</v>
      </c>
      <c r="AQ56" s="317">
        <f>AVERAGE([5]A!AQ58,'[6]2009'!AQ58,'[7]2010'!AQ58)</f>
        <v>68956.380125600335</v>
      </c>
      <c r="AR56" s="317">
        <f>AVERAGE([5]A!AR58,'[6]2009'!AR58,'[7]2010'!AR58)</f>
        <v>87228</v>
      </c>
      <c r="AS56" s="317">
        <f>AVERAGE([5]A!AS58,'[6]2009'!AS58,'[7]2010'!AS58)</f>
        <v>18210.168402396681</v>
      </c>
      <c r="AT56" s="317">
        <f>AVERAGE([5]A!AT58,'[6]2009'!AT58,'[7]2010'!AT58)</f>
        <v>10962.133333333333</v>
      </c>
      <c r="AU56" s="317">
        <f>AVERAGE([5]A!AU58,'[6]2009'!AU58,'[7]2010'!AU58)</f>
        <v>79.005007894683729</v>
      </c>
      <c r="AV56" s="317">
        <f>AVERAGE([5]A!AV58,'[6]2009'!AV58,'[7]2010'!AV58)</f>
        <v>62617.535376998181</v>
      </c>
      <c r="AW56" s="317">
        <f>AVERAGE([5]A!AW58,'[6]2009'!AW58,'[7]2010'!AW58)</f>
        <v>93647.666666666672</v>
      </c>
      <c r="AX56" s="317">
        <f>AVERAGE([5]A!AX58,'[6]2009'!AX58,'[7]2010'!AX58)</f>
        <v>17189.925158669732</v>
      </c>
      <c r="AY56" s="317">
        <f>AVERAGE([5]A!AY58,'[6]2009'!AY58,'[7]2010'!AY58)</f>
        <v>10236.620000000001</v>
      </c>
      <c r="AZ56" s="317">
        <f>AVERAGE([5]A!AZ58,'[6]2009'!AZ58,'[7]2010'!AZ58)</f>
        <v>108.53183751445984</v>
      </c>
      <c r="BA56" s="317">
        <f>AVERAGE([5]A!BA58,'[6]2009'!BA58,'[7]2010'!BA58)</f>
        <v>15768.791677053779</v>
      </c>
      <c r="BB56" s="317">
        <f>AVERAGE([5]A!BB58,'[6]2009'!BB58,'[7]2010'!BB58)</f>
        <v>34094</v>
      </c>
      <c r="BC56" s="317">
        <f>AVERAGE([5]A!BC58,'[6]2009'!BC58,'[7]2010'!BC58)</f>
        <v>4192.6805070975934</v>
      </c>
      <c r="BD56" s="317">
        <f>AVERAGE([5]A!BD58,'[6]2009'!BD58,'[7]2010'!BD58)</f>
        <v>3809.1200000000003</v>
      </c>
      <c r="BE56" s="317">
        <f>AVERAGE([5]A!BE58,'[6]2009'!BE58,'[7]2010'!BE58)</f>
        <v>49.422858867815286</v>
      </c>
      <c r="BF56" s="317">
        <f>AVERAGE([5]A!BF58,'[6]2009'!BF58,'[7]2010'!BF58)</f>
        <v>6376.1128769749384</v>
      </c>
      <c r="BG56" s="317">
        <f>AVERAGE([5]A!BG58,'[6]2009'!BG58,'[7]2010'!BG58)</f>
        <v>12008.666666666666</v>
      </c>
      <c r="BH56" s="317">
        <f>AVERAGE([5]A!BH58,'[6]2009'!BH58,'[7]2010'!BH58)</f>
        <v>1221.5765499783886</v>
      </c>
      <c r="BI56" s="317">
        <f>AVERAGE([5]A!BI58,'[6]2009'!BI58,'[7]2010'!BI58)</f>
        <v>1479.4133333333336</v>
      </c>
      <c r="BJ56" s="317">
        <f>AVERAGE([5]A!BJ58,'[6]2009'!BJ58,'[7]2010'!BJ58)</f>
        <v>17.197058945107795</v>
      </c>
      <c r="BK56" s="317">
        <f>AVERAGE([5]A!BK58,'[6]2009'!BK58,'[7]2010'!BK58)</f>
        <v>367755.18677050743</v>
      </c>
      <c r="BL56" s="317">
        <f>AVERAGE([5]A!BL58,'[6]2009'!BL58,'[7]2010'!BL58)</f>
        <v>488859.66666666669</v>
      </c>
      <c r="BM56" s="317">
        <f>AVERAGE([5]A!BM58,'[6]2009'!BM58,'[7]2010'!BM58)</f>
        <v>91335.114000163143</v>
      </c>
      <c r="BN56" s="317">
        <f>AVERAGE([5]A!BN58,'[6]2009'!BN58,'[7]2010'!BN58)</f>
        <v>72539.643333333326</v>
      </c>
      <c r="BO56" s="317">
        <f>AVERAGE([8]A!BO58,[5]A!BO58,'[6]2009'!BO58,'[7]2010'!BO58)</f>
        <v>48.405965712049962</v>
      </c>
      <c r="DQ56" s="319"/>
    </row>
    <row r="57" spans="1:121">
      <c r="A57" s="283" t="s">
        <v>1</v>
      </c>
      <c r="B57" s="283" t="s">
        <v>274</v>
      </c>
      <c r="C57" s="317">
        <f>AVERAGE([5]A!C59,'[6]2009'!C59,'[7]2010'!C59)</f>
        <v>0</v>
      </c>
      <c r="D57" s="317">
        <f>AVERAGE([5]A!D59,'[6]2009'!D59,'[7]2010'!D59)</f>
        <v>0</v>
      </c>
      <c r="E57" s="317">
        <f>AVERAGE([5]A!E59,'[6]2009'!E59,'[7]2010'!E59)</f>
        <v>0</v>
      </c>
      <c r="F57" s="317">
        <f>AVERAGE([5]A!F59,'[6]2009'!F59,'[7]2010'!F59)</f>
        <v>0</v>
      </c>
      <c r="G57" s="317">
        <f>AVERAGE([5]A!G59,'[6]2009'!G59,'[7]2010'!G59)</f>
        <v>0</v>
      </c>
      <c r="H57" s="317">
        <f>AVERAGE([5]A!H59,'[6]2009'!H59,'[7]2010'!H59)</f>
        <v>0</v>
      </c>
      <c r="I57" s="317">
        <f>AVERAGE([5]A!I59,'[6]2009'!I59,'[7]2010'!I59)</f>
        <v>0</v>
      </c>
      <c r="J57" s="317">
        <f>AVERAGE([5]A!J59,'[6]2009'!J59,'[7]2010'!J59)</f>
        <v>0</v>
      </c>
      <c r="K57" s="317">
        <f>AVERAGE([5]A!K59,'[6]2009'!K59,'[7]2010'!K59)</f>
        <v>0</v>
      </c>
      <c r="L57" s="317">
        <f>AVERAGE([5]A!L59,'[6]2009'!L59,'[7]2010'!L59)</f>
        <v>0</v>
      </c>
      <c r="M57" s="317">
        <f>AVERAGE([5]A!M59,'[6]2009'!M59,'[7]2010'!M59)</f>
        <v>0</v>
      </c>
      <c r="N57" s="317">
        <f>AVERAGE([5]A!N59,'[6]2009'!N59,'[7]2010'!N59)</f>
        <v>0</v>
      </c>
      <c r="O57" s="317">
        <f>AVERAGE([5]A!O59,'[6]2009'!O59,'[7]2010'!O59)</f>
        <v>0</v>
      </c>
      <c r="P57" s="317">
        <f>AVERAGE([5]A!P59,'[6]2009'!P59,'[7]2010'!P59)</f>
        <v>0</v>
      </c>
      <c r="Q57" s="317">
        <f>AVERAGE([5]A!Q59,'[6]2009'!Q59,'[7]2010'!Q59)</f>
        <v>0</v>
      </c>
      <c r="R57" s="317">
        <f>AVERAGE([5]A!R59,'[6]2009'!R59,'[7]2010'!R59)</f>
        <v>0</v>
      </c>
      <c r="S57" s="317">
        <f>AVERAGE([5]A!S59,'[6]2009'!S59,'[7]2010'!S59)</f>
        <v>0</v>
      </c>
      <c r="T57" s="317">
        <f>AVERAGE([5]A!T59,'[6]2009'!T59,'[7]2010'!T59)</f>
        <v>0</v>
      </c>
      <c r="U57" s="317">
        <f>AVERAGE([5]A!U59,'[6]2009'!U59,'[7]2010'!U59)</f>
        <v>0</v>
      </c>
      <c r="V57" s="317">
        <f>AVERAGE([5]A!V59,'[6]2009'!V59,'[7]2010'!V59)</f>
        <v>0</v>
      </c>
      <c r="W57" s="317">
        <f>AVERAGE([5]A!W59,'[6]2009'!W59,'[7]2010'!W59)</f>
        <v>0</v>
      </c>
      <c r="X57" s="317">
        <f>AVERAGE([5]A!X59,'[6]2009'!X59,'[7]2010'!X59)</f>
        <v>0</v>
      </c>
      <c r="Y57" s="317">
        <f>AVERAGE([5]A!Y59,'[6]2009'!Y59,'[7]2010'!Y59)</f>
        <v>0</v>
      </c>
      <c r="Z57" s="317">
        <f>AVERAGE([5]A!Z59,'[6]2009'!Z59,'[7]2010'!Z59)</f>
        <v>0</v>
      </c>
      <c r="AA57" s="317">
        <f>AVERAGE([5]A!AA59,'[6]2009'!AA59,'[7]2010'!AA59)</f>
        <v>0</v>
      </c>
      <c r="AB57" s="317">
        <f>AVERAGE([5]A!AB59,'[6]2009'!AB59,'[7]2010'!AB59)</f>
        <v>222.21240355524318</v>
      </c>
      <c r="AC57" s="317">
        <f>AVERAGE([5]A!AC59,'[6]2009'!AC59,'[7]2010'!AC59)</f>
        <v>910</v>
      </c>
      <c r="AD57" s="317">
        <f>AVERAGE([5]A!AD59,'[6]2009'!AD59,'[7]2010'!AD59)</f>
        <v>730.41217048608439</v>
      </c>
      <c r="AE57" s="317">
        <f>AVERAGE([5]A!AE59,'[6]2009'!AE59,'[7]2010'!AE59)</f>
        <v>891.80000000000007</v>
      </c>
      <c r="AF57" s="317">
        <f>AVERAGE([5]A!AF59,'[6]2009'!AF59,'[7]2010'!AF59)</f>
        <v>0.89173372634945769</v>
      </c>
      <c r="AG57" s="317">
        <f>AVERAGE([5]A!AG59,'[6]2009'!AG59,'[7]2010'!AG59)</f>
        <v>391.1393790324521</v>
      </c>
      <c r="AH57" s="317">
        <f>AVERAGE([5]A!AH59,'[6]2009'!AH59,'[7]2010'!AH59)</f>
        <v>198.66666666666666</v>
      </c>
      <c r="AI57" s="317">
        <f>AVERAGE([5]A!AI59,'[6]2009'!AI59,'[7]2010'!AI59)</f>
        <v>1285.6751388796699</v>
      </c>
      <c r="AJ57" s="317">
        <f>AVERAGE([5]A!AJ59,'[6]2009'!AJ59,'[7]2010'!AJ59)</f>
        <v>-194.69333333333336</v>
      </c>
      <c r="AK57" s="317">
        <f>AVERAGE([5]A!AK59,'[6]2009'!AK59,'[7]2010'!AK59)</f>
        <v>0.17057837804576137</v>
      </c>
      <c r="AL57" s="317">
        <f>AVERAGE([5]A!AL59,'[6]2009'!AL59,'[7]2010'!AL59)</f>
        <v>186.34799713498649</v>
      </c>
      <c r="AM57" s="317">
        <f>AVERAGE([5]A!AM59,'[6]2009'!AM59,'[7]2010'!AM59)</f>
        <v>983.33333333333337</v>
      </c>
      <c r="AN57" s="317">
        <f>AVERAGE([5]A!AN59,'[6]2009'!AN59,'[7]2010'!AN59)</f>
        <v>612.52586658270059</v>
      </c>
      <c r="AO57" s="317">
        <f>AVERAGE([5]A!AO59,'[6]2009'!AO59,'[7]2010'!AO59)</f>
        <v>1027.7733333333333</v>
      </c>
      <c r="AP57" s="317">
        <f>AVERAGE([5]A!AP59,'[6]2009'!AP59,'[7]2010'!AP59)</f>
        <v>0.79982864687971933</v>
      </c>
      <c r="AQ57" s="317">
        <f>AVERAGE([5]A!AQ59,'[6]2009'!AQ59,'[7]2010'!AQ59)</f>
        <v>337.83405544272171</v>
      </c>
      <c r="AR57" s="317">
        <f>AVERAGE([5]A!AR59,'[6]2009'!AR59,'[7]2010'!AR59)</f>
        <v>107.66666666666667</v>
      </c>
      <c r="AS57" s="317">
        <f>AVERAGE([5]A!AS59,'[6]2009'!AS59,'[7]2010'!AS59)</f>
        <v>1164.5597739068928</v>
      </c>
      <c r="AT57" s="317">
        <f>AVERAGE([5]A!AT59,'[6]2009'!AT59,'[7]2010'!AT59)</f>
        <v>199.45666666666668</v>
      </c>
      <c r="AU57" s="317">
        <f>AVERAGE([5]A!AU59,'[6]2009'!AU59,'[7]2010'!AU59)</f>
        <v>8.8438073866476216E-2</v>
      </c>
      <c r="AV57" s="317">
        <f>AVERAGE([5]A!AV59,'[6]2009'!AV59,'[7]2010'!AV59)</f>
        <v>1104.6506117765168</v>
      </c>
      <c r="AW57" s="317">
        <f>AVERAGE([5]A!AW59,'[6]2009'!AW59,'[7]2010'!AW59)</f>
        <v>75.666666666666671</v>
      </c>
      <c r="AX57" s="317">
        <f>AVERAGE([5]A!AX59,'[6]2009'!AX59,'[7]2010'!AX59)</f>
        <v>3684.978592242745</v>
      </c>
      <c r="AY57" s="317">
        <f>AVERAGE([5]A!AY59,'[6]2009'!AY59,'[7]2010'!AY59)</f>
        <v>140.29999999999998</v>
      </c>
      <c r="AZ57" s="317">
        <f>AVERAGE([5]A!AZ59,'[6]2009'!AZ59,'[7]2010'!AZ59)</f>
        <v>7.4963731754009319E-2</v>
      </c>
      <c r="BA57" s="317">
        <f>AVERAGE([5]A!BA59,'[6]2009'!BA59,'[7]2010'!BA59)</f>
        <v>210.06492838281875</v>
      </c>
      <c r="BB57" s="317">
        <f>AVERAGE([5]A!BB59,'[6]2009'!BB59,'[7]2010'!BB59)</f>
        <v>0</v>
      </c>
      <c r="BC57" s="317">
        <f>AVERAGE([5]A!BC59,'[6]2009'!BC59,'[7]2010'!BC59)</f>
        <v>713.59172159432535</v>
      </c>
      <c r="BD57" s="317">
        <f>AVERAGE([5]A!BD59,'[6]2009'!BD59,'[7]2010'!BD59)</f>
        <v>0</v>
      </c>
      <c r="BE57" s="317">
        <f>AVERAGE([5]A!BE59,'[6]2009'!BE59,'[7]2010'!BE59)</f>
        <v>0</v>
      </c>
      <c r="BF57" s="317">
        <f>AVERAGE([5]A!BF59,'[6]2009'!BF59,'[7]2010'!BF59)</f>
        <v>0</v>
      </c>
      <c r="BG57" s="317">
        <f>AVERAGE([5]A!BG59,'[6]2009'!BG59,'[7]2010'!BG59)</f>
        <v>0</v>
      </c>
      <c r="BH57" s="317">
        <f>AVERAGE([5]A!BH59,'[6]2009'!BH59,'[7]2010'!BH59)</f>
        <v>0</v>
      </c>
      <c r="BI57" s="317">
        <f>AVERAGE([5]A!BI59,'[6]2009'!BI59,'[7]2010'!BI59)</f>
        <v>0</v>
      </c>
      <c r="BJ57" s="317">
        <f>AVERAGE([5]A!BJ59,'[6]2009'!BJ59,'[7]2010'!BJ59)</f>
        <v>0</v>
      </c>
      <c r="BK57" s="317">
        <f>AVERAGE([5]A!BK59,'[6]2009'!BK59,'[7]2010'!BK59)</f>
        <v>2452.2493753247395</v>
      </c>
      <c r="BL57" s="317">
        <f>AVERAGE([5]A!BL59,'[6]2009'!BL59,'[7]2010'!BL59)</f>
        <v>2275.3333333333335</v>
      </c>
      <c r="BM57" s="317">
        <f>AVERAGE([5]A!BM59,'[6]2009'!BM59,'[7]2010'!BM59)</f>
        <v>8191.7432636924177</v>
      </c>
      <c r="BN57" s="317">
        <f>AVERAGE([5]A!BN59,'[6]2009'!BN59,'[7]2010'!BN59)</f>
        <v>2064.6366666666668</v>
      </c>
      <c r="BO57" s="317">
        <f>AVERAGE([8]A!BO59,[5]A!BO59,'[6]2009'!BO59,'[7]2010'!BO59)</f>
        <v>0.53630751865350879</v>
      </c>
      <c r="DE57" s="283" t="s">
        <v>179</v>
      </c>
      <c r="DP57" s="283" t="str">
        <f>D3</f>
        <v>3-year averages</v>
      </c>
      <c r="DQ57" s="323"/>
    </row>
    <row r="58" spans="1:121" s="316" customFormat="1">
      <c r="A58" s="316" t="s">
        <v>1</v>
      </c>
      <c r="B58" s="316" t="s">
        <v>279</v>
      </c>
      <c r="C58" s="317">
        <f>AVERAGE([5]A!C60,'[6]2009'!C60,'[7]2010'!C60)</f>
        <v>1577.1405366716501</v>
      </c>
      <c r="D58" s="317">
        <f>AVERAGE([5]A!D60,'[6]2009'!D60,'[7]2010'!D60)</f>
        <v>897.33333333333337</v>
      </c>
      <c r="E58" s="317">
        <f>AVERAGE([5]A!E60,'[6]2009'!E60,'[7]2010'!E60)</f>
        <v>1926.8294514717502</v>
      </c>
      <c r="F58" s="317">
        <f>AVERAGE([5]A!F60,'[6]2009'!F60,'[7]2010'!F60)</f>
        <v>801.25999999999988</v>
      </c>
      <c r="G58" s="317">
        <f>AVERAGE([5]A!G60,'[6]2009'!G60,'[7]2010'!G60)</f>
        <v>1.0520073633347873</v>
      </c>
      <c r="H58" s="317">
        <f>AVERAGE([5]A!H60,'[6]2009'!H60,'[7]2010'!H60)</f>
        <v>1257.5359577271449</v>
      </c>
      <c r="I58" s="317">
        <f>AVERAGE([5]A!I60,'[6]2009'!I60,'[7]2010'!I60)</f>
        <v>733</v>
      </c>
      <c r="J58" s="317">
        <f>AVERAGE([5]A!J60,'[6]2009'!J60,'[7]2010'!J60)</f>
        <v>1512.6228171080845</v>
      </c>
      <c r="K58" s="317">
        <f>AVERAGE([5]A!K60,'[6]2009'!K60,'[7]2010'!K60)</f>
        <v>641.25</v>
      </c>
      <c r="L58" s="317">
        <f>AVERAGE([5]A!L60,'[6]2009'!L60,'[7]2010'!L60)</f>
        <v>1.0049840886308778</v>
      </c>
      <c r="M58" s="317">
        <f>AVERAGE([5]A!M60,'[6]2009'!M60,'[7]2010'!M60)</f>
        <v>1439.4291484750649</v>
      </c>
      <c r="N58" s="317">
        <f>AVERAGE([5]A!N60,'[6]2009'!N60,'[7]2010'!N60)</f>
        <v>1002.6666666666666</v>
      </c>
      <c r="O58" s="317">
        <f>AVERAGE([5]A!O60,'[6]2009'!O60,'[7]2010'!O60)</f>
        <v>1755.8007730428089</v>
      </c>
      <c r="P58" s="317">
        <f>AVERAGE([5]A!P60,'[6]2009'!P60,'[7]2010'!P60)</f>
        <v>886.72666666666657</v>
      </c>
      <c r="Q58" s="317">
        <f>AVERAGE([5]A!Q60,'[6]2009'!Q60,'[7]2010'!Q60)</f>
        <v>1.3388457686485005</v>
      </c>
      <c r="R58" s="317">
        <f>AVERAGE([5]A!R60,'[6]2009'!R60,'[7]2010'!R60)</f>
        <v>1191.7267965251469</v>
      </c>
      <c r="S58" s="317">
        <f>AVERAGE([5]A!S60,'[6]2009'!S60,'[7]2010'!S60)</f>
        <v>554.33333333333337</v>
      </c>
      <c r="T58" s="317">
        <f>AVERAGE([5]A!T60,'[6]2009'!T60,'[7]2010'!T60)</f>
        <v>1420.1776756433112</v>
      </c>
      <c r="U58" s="317">
        <f>AVERAGE([5]A!U60,'[6]2009'!U60,'[7]2010'!U60)</f>
        <v>485.05999999999995</v>
      </c>
      <c r="V58" s="317">
        <f>AVERAGE([5]A!V60,'[6]2009'!V60,'[7]2010'!V60)</f>
        <v>0.68618223685047608</v>
      </c>
      <c r="W58" s="317">
        <f>AVERAGE([5]A!W60,'[6]2009'!W60,'[7]2010'!W60)</f>
        <v>1509.8752851817781</v>
      </c>
      <c r="X58" s="317">
        <f>AVERAGE([5]A!X60,'[6]2009'!X60,'[7]2010'!X60)</f>
        <v>891.66666666666663</v>
      </c>
      <c r="Y58" s="317">
        <f>AVERAGE([5]A!Y60,'[6]2009'!Y60,'[7]2010'!Y60)</f>
        <v>1824.502737195385</v>
      </c>
      <c r="Z58" s="317">
        <f>AVERAGE([5]A!Z60,'[6]2009'!Z60,'[7]2010'!Z60)</f>
        <v>838.09</v>
      </c>
      <c r="AA58" s="317">
        <f>AVERAGE([5]A!AA60,'[6]2009'!AA60,'[7]2010'!AA60)</f>
        <v>0.99555712996945189</v>
      </c>
      <c r="AB58" s="317">
        <f>AVERAGE([5]A!AB60,'[6]2009'!AB60,'[7]2010'!AB60)</f>
        <v>1450.1133890268291</v>
      </c>
      <c r="AC58" s="317">
        <f>AVERAGE([5]A!AC60,'[6]2009'!AC60,'[7]2010'!AC60)</f>
        <v>634.66666666666663</v>
      </c>
      <c r="AD58" s="317">
        <f>AVERAGE([5]A!AD60,'[6]2009'!AD60,'[7]2010'!AD60)</f>
        <v>1715.5752238035063</v>
      </c>
      <c r="AE58" s="317">
        <f>AVERAGE([5]A!AE60,'[6]2009'!AE60,'[7]2010'!AE60)</f>
        <v>595.79333333333329</v>
      </c>
      <c r="AF58" s="317">
        <f>AVERAGE([5]A!AF60,'[6]2009'!AF60,'[7]2010'!AF60)</f>
        <v>0.67052317668237682</v>
      </c>
      <c r="AG58" s="317">
        <f>AVERAGE([5]A!AG60,'[6]2009'!AG60,'[7]2010'!AG60)</f>
        <v>1552.514881458869</v>
      </c>
      <c r="AH58" s="317">
        <f>AVERAGE([5]A!AH60,'[6]2009'!AH60,'[7]2010'!AH60)</f>
        <v>348.66666666666669</v>
      </c>
      <c r="AI58" s="317">
        <f>AVERAGE([5]A!AI60,'[6]2009'!AI60,'[7]2010'!AI60)</f>
        <v>1806.7684742360377</v>
      </c>
      <c r="AJ58" s="317">
        <f>AVERAGE([5]A!AJ60,'[6]2009'!AJ60,'[7]2010'!AJ60)</f>
        <v>253.4</v>
      </c>
      <c r="AK58" s="317">
        <f>AVERAGE([5]A!AK60,'[6]2009'!AK60,'[7]2010'!AK60)</f>
        <v>0.34485563153534676</v>
      </c>
      <c r="AL58" s="317">
        <f>AVERAGE([5]A!AL60,'[6]2009'!AL60,'[7]2010'!AL60)</f>
        <v>1492.3832633358334</v>
      </c>
      <c r="AM58" s="317">
        <f>AVERAGE([5]A!AM60,'[6]2009'!AM60,'[7]2010'!AM60)</f>
        <v>1127.3333333333333</v>
      </c>
      <c r="AN58" s="317">
        <f>AVERAGE([5]A!AN60,'[6]2009'!AN60,'[7]2010'!AN60)</f>
        <v>1728.7169734550528</v>
      </c>
      <c r="AO58" s="317">
        <f>AVERAGE([5]A!AO60,'[6]2009'!AO60,'[7]2010'!AO60)</f>
        <v>957.2166666666667</v>
      </c>
      <c r="AP58" s="317">
        <f>AVERAGE([5]A!AP60,'[6]2009'!AP60,'[7]2010'!AP60)</f>
        <v>1.0766715909302296</v>
      </c>
      <c r="AQ58" s="317">
        <f>AVERAGE([5]A!AQ60,'[6]2009'!AQ60,'[7]2010'!AQ60)</f>
        <v>1656.2900775176422</v>
      </c>
      <c r="AR58" s="317">
        <f>AVERAGE([5]A!AR60,'[6]2009'!AR60,'[7]2010'!AR60)</f>
        <v>192.33333333333334</v>
      </c>
      <c r="AS58" s="317">
        <f>AVERAGE([5]A!AS60,'[6]2009'!AS60,'[7]2010'!AS60)</f>
        <v>1945.3516693143131</v>
      </c>
      <c r="AT58" s="317">
        <f>AVERAGE([5]A!AT60,'[6]2009'!AT60,'[7]2010'!AT60)</f>
        <v>154.06</v>
      </c>
      <c r="AU58" s="317">
        <f>AVERAGE([5]A!AU60,'[6]2009'!AU60,'[7]2010'!AU60)</f>
        <v>0.22662073859145662</v>
      </c>
      <c r="AV58" s="317">
        <f>AVERAGE([5]A!AV60,'[6]2009'!AV60,'[7]2010'!AV60)</f>
        <v>1515.4002455010552</v>
      </c>
      <c r="AW58" s="317">
        <f>AVERAGE([5]A!AW60,'[6]2009'!AW60,'[7]2010'!AW60)</f>
        <v>91</v>
      </c>
      <c r="AX58" s="317">
        <f>AVERAGE([5]A!AX60,'[6]2009'!AX60,'[7]2010'!AX60)</f>
        <v>1764.4005003645132</v>
      </c>
      <c r="AY58" s="317">
        <f>AVERAGE([5]A!AY60,'[6]2009'!AY60,'[7]2010'!AY60)</f>
        <v>85.5</v>
      </c>
      <c r="AZ58" s="317">
        <f>AVERAGE([5]A!AZ60,'[6]2009'!AZ60,'[7]2010'!AZ60)</f>
        <v>9.3707173593723436E-2</v>
      </c>
      <c r="BA58" s="317">
        <f>AVERAGE([5]A!BA60,'[6]2009'!BA60,'[7]2010'!BA60)</f>
        <v>1424.2314062031555</v>
      </c>
      <c r="BB58" s="317">
        <f>AVERAGE([5]A!BB60,'[6]2009'!BB60,'[7]2010'!BB60)</f>
        <v>698.66666666666663</v>
      </c>
      <c r="BC58" s="317">
        <f>AVERAGE([5]A!BC60,'[6]2009'!BC60,'[7]2010'!BC60)</f>
        <v>1675.3649948355076</v>
      </c>
      <c r="BD58" s="317">
        <f>AVERAGE([5]A!BD60,'[6]2009'!BD60,'[7]2010'!BD60)</f>
        <v>717.7166666666667</v>
      </c>
      <c r="BE58" s="317">
        <f>AVERAGE([5]A!BE60,'[6]2009'!BE60,'[7]2010'!BE60)</f>
        <v>0.99611614752427757</v>
      </c>
      <c r="BF58" s="317">
        <f>AVERAGE([5]A!BF60,'[6]2009'!BF60,'[7]2010'!BF60)</f>
        <v>1076.5074210244586</v>
      </c>
      <c r="BG58" s="317">
        <f>AVERAGE([5]A!BG60,'[6]2009'!BG60,'[7]2010'!BG60)</f>
        <v>910.66666666666663</v>
      </c>
      <c r="BH58" s="317">
        <f>AVERAGE([5]A!BH60,'[6]2009'!BH60,'[7]2010'!BH60)</f>
        <v>1237.7344859776292</v>
      </c>
      <c r="BI58" s="317">
        <f>AVERAGE([5]A!BI60,'[6]2009'!BI60,'[7]2010'!BI60)</f>
        <v>923.2600000000001</v>
      </c>
      <c r="BJ58" s="317">
        <f>AVERAGE([5]A!BJ60,'[6]2009'!BJ60,'[7]2010'!BJ60)</f>
        <v>1.3456342464452682</v>
      </c>
      <c r="BK58" s="317">
        <f>AVERAGE([5]A!BK60,'[6]2009'!BK60,'[7]2010'!BK60)</f>
        <v>17143.148408648627</v>
      </c>
      <c r="BL58" s="317">
        <f>AVERAGE([5]A!BL60,'[6]2009'!BL60,'[7]2010'!BL60)</f>
        <v>8082.333333333333</v>
      </c>
      <c r="BM58" s="317">
        <f>AVERAGE([5]A!BM60,'[6]2009'!BM60,'[7]2010'!BM60)</f>
        <v>20313.845776447899</v>
      </c>
      <c r="BN58" s="317">
        <f>AVERAGE([5]A!BN60,'[6]2009'!BN60,'[7]2010'!BN60)</f>
        <v>7339.333333333333</v>
      </c>
      <c r="BO58" s="317">
        <f>AVERAGE([8]A!BO60,[5]A!BO60,'[6]2009'!BO60,'[7]2010'!BO60)</f>
        <v>1.0241902436662864</v>
      </c>
      <c r="BP58" s="316">
        <f>BL58/346</f>
        <v>23.359344894026975</v>
      </c>
      <c r="DQ58" s="319"/>
    </row>
    <row r="59" spans="1:121">
      <c r="A59" s="283" t="s">
        <v>1</v>
      </c>
      <c r="B59" s="283" t="s">
        <v>65</v>
      </c>
      <c r="C59" s="317">
        <f>AVERAGE([5]A!C61,'[6]2009'!C61,'[7]2010'!C61)</f>
        <v>12523.654338745044</v>
      </c>
      <c r="D59" s="317">
        <f>AVERAGE([5]A!D61,'[6]2009'!D61,'[7]2010'!D61)</f>
        <v>2580</v>
      </c>
      <c r="E59" s="317">
        <f>AVERAGE([5]A!E61,'[6]2009'!E61,'[7]2010'!E61)</f>
        <v>2112.2896353900937</v>
      </c>
      <c r="F59" s="317">
        <f>AVERAGE([5]A!F61,'[6]2009'!F61,'[7]2010'!F61)</f>
        <v>244.84333333333333</v>
      </c>
      <c r="G59" s="317">
        <f>AVERAGE([5]A!G61,'[6]2009'!G61,'[7]2010'!G61)</f>
        <v>2.8893092199201074</v>
      </c>
      <c r="H59" s="317">
        <f>AVERAGE([5]A!H61,'[6]2009'!H61,'[7]2010'!H61)</f>
        <v>8275.2193370299192</v>
      </c>
      <c r="I59" s="317">
        <f>AVERAGE([5]A!I61,'[6]2009'!I61,'[7]2010'!I61)</f>
        <v>28448</v>
      </c>
      <c r="J59" s="317">
        <f>AVERAGE([5]A!J61,'[6]2009'!J61,'[7]2010'!J61)</f>
        <v>1395.7315942608141</v>
      </c>
      <c r="K59" s="317">
        <f>AVERAGE([5]A!K61,'[6]2009'!K61,'[7]2010'!K61)</f>
        <v>2699.7166666666667</v>
      </c>
      <c r="L59" s="317">
        <f>AVERAGE([5]A!L61,'[6]2009'!L61,'[7]2010'!L61)</f>
        <v>34.050906392325139</v>
      </c>
      <c r="M59" s="317">
        <f>AVERAGE([5]A!M61,'[6]2009'!M61,'[7]2010'!M61)</f>
        <v>1936.8882963019371</v>
      </c>
      <c r="N59" s="317">
        <f>AVERAGE([5]A!N61,'[6]2009'!N61,'[7]2010'!N61)</f>
        <v>0</v>
      </c>
      <c r="O59" s="317">
        <f>AVERAGE([5]A!O61,'[6]2009'!O61,'[7]2010'!O61)</f>
        <v>326.68332760746989</v>
      </c>
      <c r="P59" s="317">
        <f>AVERAGE([5]A!P61,'[6]2009'!P61,'[7]2010'!P61)</f>
        <v>0</v>
      </c>
      <c r="Q59" s="317">
        <f>AVERAGE([5]A!Q61,'[6]2009'!Q61,'[7]2010'!Q61)</f>
        <v>0</v>
      </c>
      <c r="R59" s="317">
        <f>AVERAGE([5]A!R61,'[6]2009'!R61,'[7]2010'!R61)</f>
        <v>6255.3007657347625</v>
      </c>
      <c r="S59" s="317">
        <f>AVERAGE([5]A!S61,'[6]2009'!S61,'[7]2010'!S61)</f>
        <v>0</v>
      </c>
      <c r="T59" s="317">
        <f>AVERAGE([5]A!T61,'[6]2009'!T61,'[7]2010'!T61)</f>
        <v>1055.0440483518878</v>
      </c>
      <c r="U59" s="317">
        <f>AVERAGE([5]A!U61,'[6]2009'!U61,'[7]2010'!U61)</f>
        <v>0</v>
      </c>
      <c r="V59" s="317">
        <f>AVERAGE([5]A!V61,'[6]2009'!V61,'[7]2010'!V61)</f>
        <v>0</v>
      </c>
      <c r="W59" s="317">
        <f>AVERAGE([5]A!W61,'[6]2009'!W61,'[7]2010'!W61)</f>
        <v>4309.0724705731191</v>
      </c>
      <c r="X59" s="317">
        <f>AVERAGE([5]A!X61,'[6]2009'!X61,'[7]2010'!X61)</f>
        <v>10804.666666666666</v>
      </c>
      <c r="Y59" s="317">
        <f>AVERAGE([5]A!Y61,'[6]2009'!Y61,'[7]2010'!Y61)</f>
        <v>726.78539917674436</v>
      </c>
      <c r="Z59" s="317">
        <f>AVERAGE([5]A!Z61,'[6]2009'!Z61,'[7]2010'!Z61)</f>
        <v>1064.3833333333334</v>
      </c>
      <c r="AA59" s="317">
        <f>AVERAGE([5]A!AA61,'[6]2009'!AA61,'[7]2010'!AA61)</f>
        <v>12.269626789484228</v>
      </c>
      <c r="AB59" s="317">
        <f>AVERAGE([5]A!AB61,'[6]2009'!AB61,'[7]2010'!AB61)</f>
        <v>10924.035098850443</v>
      </c>
      <c r="AC59" s="317">
        <f>AVERAGE([5]A!AC61,'[6]2009'!AC61,'[7]2010'!AC61)</f>
        <v>12727.666666666666</v>
      </c>
      <c r="AD59" s="317">
        <f>AVERAGE([5]A!AD61,'[6]2009'!AD61,'[7]2010'!AD61)</f>
        <v>1842.4914559125109</v>
      </c>
      <c r="AE59" s="317">
        <f>AVERAGE([5]A!AE61,'[6]2009'!AE61,'[7]2010'!AE61)</f>
        <v>1482.7733333333333</v>
      </c>
      <c r="AF59" s="317">
        <f>AVERAGE([5]A!AF61,'[6]2009'!AF61,'[7]2010'!AF61)</f>
        <v>13.815364097420696</v>
      </c>
      <c r="AG59" s="317">
        <f>AVERAGE([5]A!AG61,'[6]2009'!AG61,'[7]2010'!AG61)</f>
        <v>27080.774520114657</v>
      </c>
      <c r="AH59" s="317">
        <f>AVERAGE([5]A!AH61,'[6]2009'!AH61,'[7]2010'!AH61)</f>
        <v>64357.333333333336</v>
      </c>
      <c r="AI59" s="317">
        <f>AVERAGE([5]A!AI61,'[6]2009'!AI61,'[7]2010'!AI61)</f>
        <v>4190.246779740618</v>
      </c>
      <c r="AJ59" s="317">
        <f>AVERAGE([5]A!AJ61,'[6]2009'!AJ61,'[7]2010'!AJ61)</f>
        <v>7576.98</v>
      </c>
      <c r="AK59" s="317">
        <f>AVERAGE([5]A!AK61,'[6]2009'!AK61,'[7]2010'!AK61)</f>
        <v>64.695715291665934</v>
      </c>
      <c r="AL59" s="317">
        <f>AVERAGE([5]A!AL61,'[6]2009'!AL61,'[7]2010'!AL61)</f>
        <v>165567.64304167128</v>
      </c>
      <c r="AM59" s="317">
        <f>AVERAGE([5]A!AM61,'[6]2009'!AM61,'[7]2010'!AM61)</f>
        <v>337501.33333333331</v>
      </c>
      <c r="AN59" s="317">
        <f>AVERAGE([5]A!AN61,'[6]2009'!AN61,'[7]2010'!AN61)</f>
        <v>26208.61471451378</v>
      </c>
      <c r="AO59" s="317">
        <f>AVERAGE([5]A!AO61,'[6]2009'!AO61,'[7]2010'!AO61)</f>
        <v>36280.28666666666</v>
      </c>
      <c r="AP59" s="317">
        <f>AVERAGE([5]A!AP61,'[6]2009'!AP61,'[7]2010'!AP61)</f>
        <v>304.30750714635536</v>
      </c>
      <c r="AQ59" s="317">
        <f>AVERAGE([5]A!AQ61,'[6]2009'!AQ61,'[7]2010'!AQ61)</f>
        <v>198779.28779266545</v>
      </c>
      <c r="AR59" s="317">
        <f>AVERAGE([5]A!AR61,'[6]2009'!AR61,'[7]2010'!AR61)</f>
        <v>322774.66666666669</v>
      </c>
      <c r="AS59" s="317">
        <f>AVERAGE([5]A!AS61,'[6]2009'!AS61,'[7]2010'!AS61)</f>
        <v>31671.800166982124</v>
      </c>
      <c r="AT59" s="317">
        <f>AVERAGE([5]A!AT61,'[6]2009'!AT61,'[7]2010'!AT61)</f>
        <v>32918.74</v>
      </c>
      <c r="AU59" s="317">
        <f>AVERAGE([5]A!AU61,'[6]2009'!AU61,'[7]2010'!AU61)</f>
        <v>288.16016591984538</v>
      </c>
      <c r="AV59" s="317">
        <f>AVERAGE([5]A!AV61,'[6]2009'!AV61,'[7]2010'!AV61)</f>
        <v>203990.54775677636</v>
      </c>
      <c r="AW59" s="317">
        <f>AVERAGE([5]A!AW61,'[6]2009'!AW61,'[7]2010'!AW61)</f>
        <v>343090</v>
      </c>
      <c r="AX59" s="317">
        <f>AVERAGE([5]A!AX61,'[6]2009'!AX61,'[7]2010'!AX61)</f>
        <v>32227.704607648921</v>
      </c>
      <c r="AY59" s="317">
        <f>AVERAGE([5]A!AY61,'[6]2009'!AY61,'[7]2010'!AY61)</f>
        <v>35342.453333333331</v>
      </c>
      <c r="AZ59" s="317">
        <f>AVERAGE([5]A!AZ61,'[6]2009'!AZ61,'[7]2010'!AZ61)</f>
        <v>395.96548284206546</v>
      </c>
      <c r="BA59" s="317">
        <f>AVERAGE([5]A!BA61,'[6]2009'!BA61,'[7]2010'!BA61)</f>
        <v>45233.806566125953</v>
      </c>
      <c r="BB59" s="317">
        <f>AVERAGE([5]A!BB61,'[6]2009'!BB61,'[7]2010'!BB61)</f>
        <v>155932.66666666666</v>
      </c>
      <c r="BC59" s="317">
        <f>AVERAGE([5]A!BC61,'[6]2009'!BC61,'[7]2010'!BC61)</f>
        <v>7163.1949202690676</v>
      </c>
      <c r="BD59" s="317">
        <f>AVERAGE([5]A!BD61,'[6]2009'!BD61,'[7]2010'!BD61)</f>
        <v>16648.24666666667</v>
      </c>
      <c r="BE59" s="317">
        <f>AVERAGE([5]A!BE61,'[6]2009'!BE61,'[7]2010'!BE61)</f>
        <v>225.98281964170761</v>
      </c>
      <c r="BF59" s="317">
        <f>AVERAGE([5]A!BF61,'[6]2009'!BF61,'[7]2010'!BF61)</f>
        <v>14129.572373903045</v>
      </c>
      <c r="BG59" s="317">
        <f>AVERAGE([5]A!BG61,'[6]2009'!BG61,'[7]2010'!BG61)</f>
        <v>10211.666666666666</v>
      </c>
      <c r="BH59" s="317">
        <f>AVERAGE([5]A!BH61,'[6]2009'!BH61,'[7]2010'!BH61)</f>
        <v>2383.1501948719829</v>
      </c>
      <c r="BI59" s="317">
        <f>AVERAGE([5]A!BI61,'[6]2009'!BI61,'[7]2010'!BI61)</f>
        <v>1055.0766666666666</v>
      </c>
      <c r="BJ59" s="317">
        <f>AVERAGE([5]A!BJ61,'[6]2009'!BJ61,'[7]2010'!BJ61)</f>
        <v>13.820855647823111</v>
      </c>
      <c r="BK59" s="317">
        <f>AVERAGE([5]A!BK61,'[6]2009'!BK61,'[7]2010'!BK61)</f>
        <v>699005.80235849193</v>
      </c>
      <c r="BL59" s="317">
        <f>AVERAGE([5]A!BL61,'[6]2009'!BL61,'[7]2010'!BL61)</f>
        <v>1288428</v>
      </c>
      <c r="BM59" s="317">
        <f>AVERAGE([5]A!BM61,'[6]2009'!BM61,'[7]2010'!BM61)</f>
        <v>111303.73684472601</v>
      </c>
      <c r="BN59" s="317">
        <f>AVERAGE([5]A!BN61,'[6]2009'!BN61,'[7]2010'!BN61)</f>
        <v>135313.5</v>
      </c>
      <c r="BO59" s="317">
        <f>AVERAGE([8]A!BO61,[5]A!BO61,'[6]2009'!BO61,'[7]2010'!BO61)</f>
        <v>143.05718602637108</v>
      </c>
      <c r="BP59" s="283">
        <f>BL59/134</f>
        <v>9615.1343283582082</v>
      </c>
      <c r="DQ59" s="323"/>
    </row>
    <row r="60" spans="1:121" s="316" customFormat="1">
      <c r="A60" s="316" t="s">
        <v>1</v>
      </c>
      <c r="B60" s="316" t="s">
        <v>242</v>
      </c>
      <c r="C60" s="317">
        <f>AVERAGE([5]A!C62,'[6]2009'!C62,'[7]2010'!C62)</f>
        <v>233074.20709616234</v>
      </c>
      <c r="D60" s="317">
        <f>AVERAGE([5]A!D62,'[6]2009'!D62,'[7]2010'!D62)</f>
        <v>276625</v>
      </c>
      <c r="E60" s="317">
        <f>AVERAGE([5]A!E62,'[6]2009'!E62,'[7]2010'!E62)</f>
        <v>33949.664942409894</v>
      </c>
      <c r="F60" s="317">
        <f>AVERAGE([5]A!F62,'[6]2009'!F62,'[7]2010'!F62)</f>
        <v>40164.1</v>
      </c>
      <c r="G60" s="317">
        <f>AVERAGE([5]A!G62,'[6]2009'!G62,'[7]2010'!G62)</f>
        <v>336.44473906832593</v>
      </c>
      <c r="H60" s="317">
        <f>AVERAGE([5]A!H62,'[6]2009'!H62,'[7]2010'!H62)</f>
        <v>166887.90406570313</v>
      </c>
      <c r="I60" s="317">
        <f>AVERAGE([5]A!I62,'[6]2009'!I62,'[7]2010'!I62)</f>
        <v>235442</v>
      </c>
      <c r="J60" s="317">
        <f>AVERAGE([5]A!J62,'[6]2009'!J62,'[7]2010'!J62)</f>
        <v>23917.035410341454</v>
      </c>
      <c r="K60" s="317">
        <f>AVERAGE([5]A!K62,'[6]2009'!K62,'[7]2010'!K62)</f>
        <v>34078.383333333331</v>
      </c>
      <c r="L60" s="317">
        <f>AVERAGE([5]A!L62,'[6]2009'!L62,'[7]2010'!L62)</f>
        <v>319.72568138725279</v>
      </c>
      <c r="M60" s="317">
        <f>AVERAGE([5]A!M62,'[6]2009'!M62,'[7]2010'!M62)</f>
        <v>193105.73197474703</v>
      </c>
      <c r="N60" s="317">
        <f>AVERAGE([5]A!N62,'[6]2009'!N62,'[7]2010'!N62)</f>
        <v>172029.33333333334</v>
      </c>
      <c r="O60" s="317">
        <f>AVERAGE([5]A!O62,'[6]2009'!O62,'[7]2010'!O62)</f>
        <v>27918.995963698169</v>
      </c>
      <c r="P60" s="317">
        <f>AVERAGE([5]A!P62,'[6]2009'!P62,'[7]2010'!P62)</f>
        <v>24920.683333333331</v>
      </c>
      <c r="Q60" s="317">
        <f>AVERAGE([5]A!Q62,'[6]2009'!Q62,'[7]2010'!Q62)</f>
        <v>230.62639282583811</v>
      </c>
      <c r="R60" s="317">
        <f>AVERAGE([5]A!R62,'[6]2009'!R62,'[7]2010'!R62)</f>
        <v>192971.30527718682</v>
      </c>
      <c r="S60" s="317">
        <f>AVERAGE([5]A!S62,'[6]2009'!S62,'[7]2010'!S62)</f>
        <v>170924.33333333334</v>
      </c>
      <c r="T60" s="317">
        <f>AVERAGE([5]A!T62,'[6]2009'!T62,'[7]2010'!T62)</f>
        <v>27942.7927153991</v>
      </c>
      <c r="U60" s="317">
        <f>AVERAGE([5]A!U62,'[6]2009'!U62,'[7]2010'!U62)</f>
        <v>24825.243333333332</v>
      </c>
      <c r="V60" s="317">
        <f>AVERAGE([5]A!V62,'[6]2009'!V62,'[7]2010'!V62)</f>
        <v>217.20422987365762</v>
      </c>
      <c r="W60" s="317">
        <f>AVERAGE([5]A!W62,'[6]2009'!W62,'[7]2010'!W62)</f>
        <v>211599.51863506821</v>
      </c>
      <c r="X60" s="317">
        <f>AVERAGE([5]A!X62,'[6]2009'!X62,'[7]2010'!X62)</f>
        <v>274518</v>
      </c>
      <c r="Y60" s="317">
        <f>AVERAGE([5]A!Y62,'[6]2009'!Y62,'[7]2010'!Y62)</f>
        <v>30262.468762763794</v>
      </c>
      <c r="Z60" s="317">
        <f>AVERAGE([5]A!Z62,'[6]2009'!Z62,'[7]2010'!Z62)</f>
        <v>40537.5</v>
      </c>
      <c r="AA60" s="317">
        <f>AVERAGE([5]A!AA62,'[6]2009'!AA62,'[7]2010'!AA62)</f>
        <v>314.63690414730752</v>
      </c>
      <c r="AB60" s="317">
        <f>AVERAGE([5]A!AB62,'[6]2009'!AB62,'[7]2010'!AB62)</f>
        <v>243698.32854110669</v>
      </c>
      <c r="AC60" s="317">
        <f>AVERAGE([5]A!AC62,'[6]2009'!AC62,'[7]2010'!AC62)</f>
        <v>294953.33333333331</v>
      </c>
      <c r="AD60" s="317">
        <f>AVERAGE([5]A!AD62,'[6]2009'!AD62,'[7]2010'!AD62)</f>
        <v>34787.802411844634</v>
      </c>
      <c r="AE60" s="317">
        <f>AVERAGE([5]A!AE62,'[6]2009'!AE62,'[7]2010'!AE62)</f>
        <v>43635.94</v>
      </c>
      <c r="AF60" s="317">
        <f>AVERAGE([5]A!AF62,'[6]2009'!AF62,'[7]2010'!AF62)</f>
        <v>317.6157218430065</v>
      </c>
      <c r="AG60" s="317">
        <f>AVERAGE([5]A!AG62,'[6]2009'!AG62,'[7]2010'!AG62)</f>
        <v>210789.90167081347</v>
      </c>
      <c r="AH60" s="317">
        <f>AVERAGE([5]A!AH62,'[6]2009'!AH62,'[7]2010'!AH62)</f>
        <v>225997.33333333334</v>
      </c>
      <c r="AI60" s="317">
        <f>AVERAGE([5]A!AI62,'[6]2009'!AI62,'[7]2010'!AI62)</f>
        <v>30527.142242693953</v>
      </c>
      <c r="AJ60" s="317">
        <f>AVERAGE([5]A!AJ62,'[6]2009'!AJ62,'[7]2010'!AJ62)</f>
        <v>32324.093333333334</v>
      </c>
      <c r="AK60" s="317">
        <f>AVERAGE([5]A!AK62,'[6]2009'!AK62,'[7]2010'!AK62)</f>
        <v>214.82055478640677</v>
      </c>
      <c r="AL60" s="317">
        <f>AVERAGE([5]A!AL62,'[6]2009'!AL62,'[7]2010'!AL62)</f>
        <v>244799.68067497699</v>
      </c>
      <c r="AM60" s="317">
        <f>AVERAGE([5]A!AM62,'[6]2009'!AM62,'[7]2010'!AM62)</f>
        <v>252892.66666666666</v>
      </c>
      <c r="AN60" s="317">
        <f>AVERAGE([5]A!AN62,'[6]2009'!AN62,'[7]2010'!AN62)</f>
        <v>35304.278033973686</v>
      </c>
      <c r="AO60" s="317">
        <f>AVERAGE([5]A!AO62,'[6]2009'!AO62,'[7]2010'!AO62)</f>
        <v>36359.040000000001</v>
      </c>
      <c r="AP60" s="317">
        <f>AVERAGE([5]A!AP62,'[6]2009'!AP62,'[7]2010'!AP62)</f>
        <v>236.49490845306318</v>
      </c>
      <c r="AQ60" s="317">
        <f>AVERAGE([5]A!AQ62,'[6]2009'!AQ62,'[7]2010'!AQ62)</f>
        <v>218440.1422977215</v>
      </c>
      <c r="AR60" s="317">
        <f>AVERAGE([5]A!AR62,'[6]2009'!AR62,'[7]2010'!AR62)</f>
        <v>159404</v>
      </c>
      <c r="AS60" s="317">
        <f>AVERAGE([5]A!AS62,'[6]2009'!AS62,'[7]2010'!AS62)</f>
        <v>31531.872775839493</v>
      </c>
      <c r="AT60" s="317">
        <f>AVERAGE([5]A!AT62,'[6]2009'!AT62,'[7]2010'!AT62)</f>
        <v>23102.650000000005</v>
      </c>
      <c r="AU60" s="317">
        <f>AVERAGE([5]A!AU62,'[6]2009'!AU62,'[7]2010'!AU62)</f>
        <v>163.88856374553828</v>
      </c>
      <c r="AV60" s="317">
        <f>AVERAGE([5]A!AV62,'[6]2009'!AV62,'[7]2010'!AV62)</f>
        <v>178500.88494309573</v>
      </c>
      <c r="AW60" s="317">
        <f>AVERAGE([5]A!AW62,'[6]2009'!AW62,'[7]2010'!AW62)</f>
        <v>134714.33333333334</v>
      </c>
      <c r="AX60" s="317">
        <f>AVERAGE([5]A!AX62,'[6]2009'!AX62,'[7]2010'!AX62)</f>
        <v>25703.566062870843</v>
      </c>
      <c r="AY60" s="317">
        <f>AVERAGE([5]A!AY62,'[6]2009'!AY62,'[7]2010'!AY62)</f>
        <v>19559.349999999999</v>
      </c>
      <c r="AZ60" s="317">
        <f>AVERAGE([5]A!AZ62,'[6]2009'!AZ62,'[7]2010'!AZ62)</f>
        <v>163.60254271501105</v>
      </c>
      <c r="BA60" s="317">
        <f>AVERAGE([5]A!BA62,'[6]2009'!BA62,'[7]2010'!BA62)</f>
        <v>134318.83864559091</v>
      </c>
      <c r="BB60" s="317">
        <f>AVERAGE([5]A!BB62,'[6]2009'!BB62,'[7]2010'!BB62)</f>
        <v>107878.33333333333</v>
      </c>
      <c r="BC60" s="317">
        <f>AVERAGE([5]A!BC62,'[6]2009'!BC62,'[7]2010'!BC62)</f>
        <v>19183.837517229927</v>
      </c>
      <c r="BD60" s="317">
        <f>AVERAGE([5]A!BD62,'[6]2009'!BD62,'[7]2010'!BD62)</f>
        <v>15541.513333333334</v>
      </c>
      <c r="BE60" s="317">
        <f>AVERAGE([5]A!BE62,'[6]2009'!BE62,'[7]2010'!BE62)</f>
        <v>156.19843263820565</v>
      </c>
      <c r="BF60" s="317">
        <f>AVERAGE([5]A!BF62,'[6]2009'!BF62,'[7]2010'!BF62)</f>
        <v>202856.52246687832</v>
      </c>
      <c r="BG60" s="317">
        <f>AVERAGE([5]A!BG62,'[6]2009'!BG62,'[7]2010'!BG62)</f>
        <v>281713.33333333331</v>
      </c>
      <c r="BH60" s="317">
        <f>AVERAGE([5]A!BH62,'[6]2009'!BH62,'[7]2010'!BH62)</f>
        <v>29388.765104914502</v>
      </c>
      <c r="BI60" s="317">
        <f>AVERAGE([5]A!BI62,'[6]2009'!BI62,'[7]2010'!BI62)</f>
        <v>40251.67</v>
      </c>
      <c r="BJ60" s="317">
        <f>AVERAGE([5]A!BJ62,'[6]2009'!BJ62,'[7]2010'!BJ62)</f>
        <v>413.04929686142515</v>
      </c>
      <c r="BK60" s="317">
        <f>AVERAGE([5]A!BK62,'[6]2009'!BK62,'[7]2010'!BK62)</f>
        <v>2431042.9662890509</v>
      </c>
      <c r="BL60" s="317">
        <f>AVERAGE([5]A!BL62,'[6]2009'!BL62,'[7]2010'!BL62)</f>
        <v>2587092</v>
      </c>
      <c r="BM60" s="317">
        <f>AVERAGE([5]A!BM62,'[6]2009'!BM62,'[7]2010'!BM62)</f>
        <v>350418.22194397944</v>
      </c>
      <c r="BN60" s="317">
        <f>AVERAGE([5]A!BN62,'[6]2009'!BN62,'[7]2010'!BN62)</f>
        <v>375300.16666666669</v>
      </c>
      <c r="BO60" s="317">
        <f>AVERAGE([8]A!BO62,[5]A!BO62,'[6]2009'!BO62,'[7]2010'!BO62)</f>
        <v>273.98928090410294</v>
      </c>
      <c r="DD60" s="316" t="s">
        <v>185</v>
      </c>
      <c r="DE60" s="350" t="s">
        <v>14</v>
      </c>
      <c r="DF60" s="350" t="s">
        <v>14</v>
      </c>
      <c r="DG60" s="316" t="s">
        <v>186</v>
      </c>
      <c r="DI60" s="350" t="s">
        <v>14</v>
      </c>
      <c r="DJ60" s="316" t="s">
        <v>187</v>
      </c>
      <c r="DK60" s="316" t="s">
        <v>188</v>
      </c>
      <c r="DM60" s="316" t="s">
        <v>189</v>
      </c>
      <c r="DP60" s="316" t="s">
        <v>190</v>
      </c>
      <c r="DQ60" s="319"/>
    </row>
    <row r="61" spans="1:121">
      <c r="A61" s="283" t="s">
        <v>1</v>
      </c>
      <c r="B61" s="283" t="s">
        <v>284</v>
      </c>
      <c r="C61" s="284">
        <f>SUM(C45:C60)</f>
        <v>381874.49412432988</v>
      </c>
      <c r="D61" s="288">
        <f>SUM(D45:D60)</f>
        <v>420094.57666666666</v>
      </c>
      <c r="E61" s="326">
        <f>SUM(E45:E60)</f>
        <v>87596.360140973818</v>
      </c>
      <c r="F61" s="326">
        <f>SUM(F45:F60)</f>
        <v>78013.396666666667</v>
      </c>
      <c r="G61" s="327">
        <f>D61/E66</f>
        <v>507.44783020269585</v>
      </c>
      <c r="H61" s="284">
        <f>SUM(H45:H60)</f>
        <v>290839.9307237512</v>
      </c>
      <c r="I61" s="288">
        <f>SUM(I45:I60)</f>
        <v>404449.66666666669</v>
      </c>
      <c r="J61" s="326">
        <f>SUM(J45:J60)</f>
        <v>68344.968684525884</v>
      </c>
      <c r="K61" s="326">
        <f>SUM(K45:K60)</f>
        <v>78999.856666666659</v>
      </c>
      <c r="L61" s="327">
        <f>I61/J66</f>
        <v>554.40061994591906</v>
      </c>
      <c r="M61" s="284">
        <f>SUM(M45:M60)</f>
        <v>322977.079138892</v>
      </c>
      <c r="N61" s="288">
        <f>SUM(N45:N60)</f>
        <v>295606.5</v>
      </c>
      <c r="O61" s="326">
        <f>SUM(O45:O60)</f>
        <v>76886.810480300323</v>
      </c>
      <c r="P61" s="326">
        <f>SUM(P45:P60)</f>
        <v>63887.063333333339</v>
      </c>
      <c r="Q61" s="327">
        <f>N61/O66</f>
        <v>401.23058533224082</v>
      </c>
      <c r="R61" s="284">
        <f>SUM(R45:R60)</f>
        <v>332138.3017913613</v>
      </c>
      <c r="S61" s="288">
        <f>SUM(S45:S60)</f>
        <v>307702.33333333337</v>
      </c>
      <c r="T61" s="326">
        <f>SUM(T45:T60)</f>
        <v>77202.667241521398</v>
      </c>
      <c r="U61" s="326">
        <f>SUM(U45:U60)</f>
        <v>65134.349999999991</v>
      </c>
      <c r="V61" s="327">
        <f>S61/T66</f>
        <v>389.81094038273062</v>
      </c>
      <c r="W61" s="284">
        <f>SUM(W45:W60)</f>
        <v>373049.06892426719</v>
      </c>
      <c r="X61" s="288">
        <f>SUM(X45:X60)</f>
        <v>460583.66666666663</v>
      </c>
      <c r="Y61" s="326">
        <f>SUM(Y45:Y60)</f>
        <v>88370.861571216563</v>
      </c>
      <c r="Z61" s="326">
        <f>SUM(Z45:Z60)</f>
        <v>96108.753333333327</v>
      </c>
      <c r="AA61" s="327">
        <f>X61/Y66</f>
        <v>524.06943843919009</v>
      </c>
      <c r="AB61" s="284">
        <f>SUM(AB45:AB60)</f>
        <v>444721.2935878851</v>
      </c>
      <c r="AC61" s="288">
        <f>SUM(AC45:AC60)</f>
        <v>478759.61</v>
      </c>
      <c r="AD61" s="326">
        <f>SUM(AD45:AD60)</f>
        <v>105413.68715034913</v>
      </c>
      <c r="AE61" s="326">
        <f>SUM(AE45:AE60)</f>
        <v>102354.48999999999</v>
      </c>
      <c r="AF61" s="327">
        <f>AC61/AD66</f>
        <v>507.25929727146769</v>
      </c>
      <c r="AG61" s="284">
        <f>SUM(AG45:AG60)</f>
        <v>456733.58717401541</v>
      </c>
      <c r="AH61" s="288">
        <f>SUM(AH45:AH60)</f>
        <v>486710</v>
      </c>
      <c r="AI61" s="326">
        <f>SUM(AI45:AI60)</f>
        <v>114364.10295452779</v>
      </c>
      <c r="AJ61" s="326">
        <f>SUM(AJ45:AJ60)</f>
        <v>92103.753333333341</v>
      </c>
      <c r="AK61" s="327">
        <f>AH61/AI66</f>
        <v>462.99302781896426</v>
      </c>
      <c r="AL61" s="284">
        <f>SUM(AL45:AL60)</f>
        <v>675147.84879750456</v>
      </c>
      <c r="AM61" s="288">
        <f>SUM(AM45:AM60)</f>
        <v>882557.99999999988</v>
      </c>
      <c r="AN61" s="326">
        <f>SUM(AN45:AN60)</f>
        <v>152292.70144204592</v>
      </c>
      <c r="AO61" s="326">
        <f>SUM(AO45:AO60)</f>
        <v>126931.84666666665</v>
      </c>
      <c r="AP61" s="327">
        <f>AM61/AN66</f>
        <v>813.27234677926901</v>
      </c>
      <c r="AQ61" s="284">
        <f>SUM(AQ45:AQ60)</f>
        <v>670365.67317110696</v>
      </c>
      <c r="AR61" s="288">
        <f>SUM(AR45:AR60)</f>
        <v>746139.4966666667</v>
      </c>
      <c r="AS61" s="326">
        <f>SUM(AS45:AS60)</f>
        <v>154306.27989958957</v>
      </c>
      <c r="AT61" s="326">
        <f>SUM(AT45:AT60)</f>
        <v>129237.62000000001</v>
      </c>
      <c r="AU61" s="327">
        <f>AR61/AS66</f>
        <v>728.47376503986163</v>
      </c>
      <c r="AV61" s="284">
        <f>SUM(AV45:AV60)</f>
        <v>610902.76684173243</v>
      </c>
      <c r="AW61" s="288">
        <f>SUM(AW45:AW60)</f>
        <v>706096</v>
      </c>
      <c r="AX61" s="326">
        <f>SUM(AX45:AX60)</f>
        <v>142597.65597539736</v>
      </c>
      <c r="AY61" s="326">
        <f>SUM(AY45:AY60)</f>
        <v>113123.87</v>
      </c>
      <c r="AZ61" s="327">
        <f>AW61/AX66</f>
        <v>834.6824480847273</v>
      </c>
      <c r="BA61" s="284">
        <f>SUM(BA45:BA60)</f>
        <v>326591.623295061</v>
      </c>
      <c r="BB61" s="288">
        <f>SUM(BB45:BB60)</f>
        <v>416512.99999999994</v>
      </c>
      <c r="BC61" s="326">
        <f>SUM(BC45:BC60)</f>
        <v>80953.119306070555</v>
      </c>
      <c r="BD61" s="326">
        <f>SUM(BD45:BD60)</f>
        <v>72012.520000000019</v>
      </c>
      <c r="BE61" s="327">
        <f>BB61/BC66</f>
        <v>601.0277036504018</v>
      </c>
      <c r="BF61" s="284">
        <f>SUM(BF45:BF60)</f>
        <v>333236.68660784489</v>
      </c>
      <c r="BG61" s="288">
        <f>SUM(BG45:BG60)</f>
        <v>418198.33333333331</v>
      </c>
      <c r="BH61" s="326">
        <f>SUM(BH45:BH60)</f>
        <v>74968.807292488287</v>
      </c>
      <c r="BI61" s="326">
        <f>SUM(BI45:BI60)</f>
        <v>72062.989999999991</v>
      </c>
      <c r="BJ61" s="327">
        <f>BG61/BH66</f>
        <v>613.55659331442678</v>
      </c>
      <c r="BK61" s="284">
        <f>SUM(BK45:BK60)</f>
        <v>5218578.3541777516</v>
      </c>
      <c r="BL61" s="288">
        <f>SUM(BL45:BL60)</f>
        <v>6023411.1833333336</v>
      </c>
      <c r="BM61" s="326">
        <f>SUM(BM45:BM60)</f>
        <v>1223298.0221390065</v>
      </c>
      <c r="BN61" s="326">
        <f>SUM(BN45:BN60)</f>
        <v>1089970.5100000002</v>
      </c>
      <c r="BO61" s="327">
        <f>BL61/BM66</f>
        <v>664.44108927071682</v>
      </c>
      <c r="BP61" s="339">
        <f>BN61+59602.34</f>
        <v>1149572.8500000003</v>
      </c>
      <c r="DD61" s="283" t="s">
        <v>192</v>
      </c>
      <c r="DJ61" s="283" t="s">
        <v>193</v>
      </c>
      <c r="DM61" s="283" t="s">
        <v>192</v>
      </c>
      <c r="DO61" s="283" t="s">
        <v>194</v>
      </c>
      <c r="DQ61" s="351" t="s">
        <v>195</v>
      </c>
    </row>
    <row r="62" spans="1:121">
      <c r="A62" s="283" t="s">
        <v>1</v>
      </c>
      <c r="L62" s="287"/>
      <c r="M62" s="284"/>
      <c r="BO62" s="287"/>
      <c r="DD62" s="283" t="s">
        <v>192</v>
      </c>
      <c r="DJ62" s="283" t="s">
        <v>193</v>
      </c>
      <c r="DK62" s="310" t="s">
        <v>110</v>
      </c>
      <c r="DL62" s="310" t="s">
        <v>329</v>
      </c>
      <c r="DM62" s="283" t="s">
        <v>192</v>
      </c>
      <c r="DO62" s="283" t="s">
        <v>194</v>
      </c>
      <c r="DQ62" s="351" t="s">
        <v>195</v>
      </c>
    </row>
    <row r="63" spans="1:121">
      <c r="A63" s="283" t="s">
        <v>1</v>
      </c>
      <c r="D63" s="305" t="s">
        <v>230</v>
      </c>
      <c r="E63" s="306" t="s">
        <v>218</v>
      </c>
      <c r="F63" s="306" t="s">
        <v>231</v>
      </c>
      <c r="I63" s="305" t="s">
        <v>230</v>
      </c>
      <c r="J63" s="306" t="s">
        <v>218</v>
      </c>
      <c r="K63" s="306" t="s">
        <v>231</v>
      </c>
      <c r="L63" s="287"/>
      <c r="M63" s="284"/>
      <c r="N63" s="305" t="s">
        <v>230</v>
      </c>
      <c r="O63" s="306" t="s">
        <v>218</v>
      </c>
      <c r="P63" s="306" t="s">
        <v>231</v>
      </c>
      <c r="S63" s="305" t="s">
        <v>230</v>
      </c>
      <c r="T63" s="306" t="s">
        <v>218</v>
      </c>
      <c r="U63" s="306" t="s">
        <v>231</v>
      </c>
      <c r="X63" s="305" t="s">
        <v>230</v>
      </c>
      <c r="Y63" s="306" t="s">
        <v>218</v>
      </c>
      <c r="Z63" s="306" t="s">
        <v>231</v>
      </c>
      <c r="AC63" s="305" t="s">
        <v>230</v>
      </c>
      <c r="AD63" s="306" t="s">
        <v>218</v>
      </c>
      <c r="AE63" s="306" t="s">
        <v>231</v>
      </c>
      <c r="AH63" s="305" t="s">
        <v>230</v>
      </c>
      <c r="AI63" s="306" t="s">
        <v>218</v>
      </c>
      <c r="AJ63" s="306" t="s">
        <v>231</v>
      </c>
      <c r="AM63" s="305" t="s">
        <v>230</v>
      </c>
      <c r="AN63" s="306" t="s">
        <v>218</v>
      </c>
      <c r="AO63" s="306" t="s">
        <v>231</v>
      </c>
      <c r="AR63" s="305" t="s">
        <v>230</v>
      </c>
      <c r="AS63" s="306" t="s">
        <v>218</v>
      </c>
      <c r="AT63" s="306" t="s">
        <v>231</v>
      </c>
      <c r="AW63" s="305" t="s">
        <v>230</v>
      </c>
      <c r="AX63" s="306" t="s">
        <v>218</v>
      </c>
      <c r="AY63" s="306" t="s">
        <v>231</v>
      </c>
      <c r="BB63" s="305" t="s">
        <v>230</v>
      </c>
      <c r="BC63" s="306" t="s">
        <v>218</v>
      </c>
      <c r="BD63" s="306" t="s">
        <v>231</v>
      </c>
      <c r="BG63" s="305" t="s">
        <v>230</v>
      </c>
      <c r="BH63" s="306" t="s">
        <v>218</v>
      </c>
      <c r="BI63" s="306" t="s">
        <v>231</v>
      </c>
      <c r="BL63" s="305" t="s">
        <v>230</v>
      </c>
      <c r="BM63" s="306" t="s">
        <v>218</v>
      </c>
      <c r="BN63" s="306" t="s">
        <v>231</v>
      </c>
      <c r="BO63" s="287"/>
      <c r="BP63" s="344">
        <f>BM66+855.6</f>
        <v>9920.980333333333</v>
      </c>
      <c r="DD63" s="283" t="s">
        <v>192</v>
      </c>
      <c r="DJ63" s="283" t="s">
        <v>193</v>
      </c>
      <c r="DK63" s="310" t="s">
        <v>111</v>
      </c>
      <c r="DL63" s="310" t="s">
        <v>165</v>
      </c>
      <c r="DM63" s="283" t="s">
        <v>215</v>
      </c>
      <c r="DO63" s="283" t="s">
        <v>194</v>
      </c>
      <c r="DQ63" s="351" t="s">
        <v>195</v>
      </c>
    </row>
    <row r="64" spans="1:121" s="331" customFormat="1">
      <c r="A64" s="331" t="s">
        <v>1</v>
      </c>
      <c r="B64" s="331" t="s">
        <v>233</v>
      </c>
      <c r="D64" s="317">
        <f>AVERAGE([5]A!D66,'[6]2009'!D66,'[7]2010'!D66)</f>
        <v>50.782666666666664</v>
      </c>
      <c r="E64" s="317">
        <f>AVERAGE([5]A!E66,'[6]2009'!E66,'[7]2010'!E66)</f>
        <v>73.166666666666671</v>
      </c>
      <c r="F64" s="317">
        <f>AVERAGE([5]A!F66,'[6]2009'!F66,'[7]2010'!F66)</f>
        <v>60.876666666666665</v>
      </c>
      <c r="G64" s="332"/>
      <c r="I64" s="317">
        <f>AVERAGE([5]A!I66,'[6]2009'!I66,'[7]2010'!I66)</f>
        <v>42.330444444444446</v>
      </c>
      <c r="J64" s="317">
        <f>AVERAGE([5]A!J66,'[6]2009'!J66,'[7]2010'!J66)</f>
        <v>53.93333333333333</v>
      </c>
      <c r="K64" s="317">
        <f>AVERAGE([5]A!K66,'[6]2009'!K66,'[7]2010'!K66)</f>
        <v>44.163333333333334</v>
      </c>
      <c r="L64" s="332"/>
      <c r="N64" s="317">
        <f>AVERAGE([5]A!N66,'[6]2009'!N66,'[7]2010'!N66)</f>
        <v>48.993333333333332</v>
      </c>
      <c r="O64" s="317">
        <f>AVERAGE([5]A!O66,'[6]2009'!O66,'[7]2010'!O66)</f>
        <v>55.233333333333327</v>
      </c>
      <c r="P64" s="317">
        <f>AVERAGE([5]A!P66,'[6]2009'!P66,'[7]2010'!P66)</f>
        <v>76.333333333333329</v>
      </c>
      <c r="Q64" s="332"/>
      <c r="S64" s="317">
        <f>AVERAGE([5]A!S66,'[6]2009'!S66,'[7]2010'!S66)</f>
        <v>64.100000000000009</v>
      </c>
      <c r="T64" s="317">
        <f>AVERAGE([5]A!T66,'[6]2009'!T66,'[7]2010'!T66)</f>
        <v>49.176666666666669</v>
      </c>
      <c r="U64" s="317">
        <f>AVERAGE([5]A!U66,'[6]2009'!U66,'[7]2010'!U66)</f>
        <v>70.523333333333326</v>
      </c>
      <c r="V64" s="332"/>
      <c r="X64" s="317">
        <f>AVERAGE([5]A!X66,'[6]2009'!X66,'[7]2010'!X66)</f>
        <v>25.861111111111111</v>
      </c>
      <c r="Y64" s="317">
        <f>AVERAGE([5]A!Y66,'[6]2009'!Y66,'[7]2010'!Y66)</f>
        <v>89.95</v>
      </c>
      <c r="Z64" s="317">
        <f>AVERAGE([5]A!Z66,'[6]2009'!Z66,'[7]2010'!Z66)</f>
        <v>68.766666666666666</v>
      </c>
      <c r="AA64" s="332"/>
      <c r="AC64" s="317">
        <f>AVERAGE([5]A!AC66,'[6]2009'!AC66,'[7]2010'!AC66)</f>
        <v>31.117777777777775</v>
      </c>
      <c r="AD64" s="317">
        <f>AVERAGE([5]A!AD66,'[6]2009'!AD66,'[7]2010'!AD66)</f>
        <v>28.580000000000002</v>
      </c>
      <c r="AE64" s="317">
        <f>AVERAGE([5]A!AE66,'[6]2009'!AE66,'[7]2010'!AE66)</f>
        <v>26.34</v>
      </c>
      <c r="AF64" s="332"/>
      <c r="AH64" s="317">
        <f>AVERAGE([5]A!AH66,'[6]2009'!AH66,'[7]2010'!AH66)</f>
        <v>14.76333333333333</v>
      </c>
      <c r="AI64" s="317">
        <f>AVERAGE([5]A!AI66,'[6]2009'!AI66,'[7]2010'!AI66)</f>
        <v>12.74</v>
      </c>
      <c r="AJ64" s="317">
        <f>AVERAGE([5]A!AJ66,'[6]2009'!AJ66,'[7]2010'!AJ66)</f>
        <v>12.950000000000001</v>
      </c>
      <c r="AK64" s="332"/>
      <c r="AM64" s="317">
        <f>AVERAGE([5]A!AM66,'[6]2009'!AM66,'[7]2010'!AM66)</f>
        <v>13.965555555555556</v>
      </c>
      <c r="AN64" s="317">
        <f>AVERAGE([5]A!AN66,'[6]2009'!AN66,'[7]2010'!AN66)</f>
        <v>23.7</v>
      </c>
      <c r="AO64" s="317">
        <f>AVERAGE([5]A!AO66,'[6]2009'!AO66,'[7]2010'!AO66)</f>
        <v>22.083333333333332</v>
      </c>
      <c r="AP64" s="332"/>
      <c r="AR64" s="317">
        <f>AVERAGE([5]A!AR66,'[6]2009'!AR66,'[7]2010'!AR66)</f>
        <v>24.245555555555555</v>
      </c>
      <c r="AS64" s="317">
        <f>AVERAGE([5]A!AS66,'[6]2009'!AS66,'[7]2010'!AS66)</f>
        <v>12.866666666666667</v>
      </c>
      <c r="AT64" s="317">
        <f>AVERAGE([5]A!AT66,'[6]2009'!AT66,'[7]2010'!AT66)</f>
        <v>11.733333333333333</v>
      </c>
      <c r="AU64" s="332"/>
      <c r="AW64" s="317">
        <f>AVERAGE([5]A!AW66,'[6]2009'!AW66,'[7]2010'!AW66)</f>
        <v>19.845777777777776</v>
      </c>
      <c r="AX64" s="317">
        <f>AVERAGE([5]A!AX66,'[6]2009'!AX66,'[7]2010'!AX66)</f>
        <v>14.386666666666668</v>
      </c>
      <c r="AY64" s="317">
        <f>AVERAGE([5]A!AY66,'[6]2009'!AY66,'[7]2010'!AY66)</f>
        <v>15.413333333333332</v>
      </c>
      <c r="AZ64" s="332"/>
      <c r="BB64" s="317">
        <f>AVERAGE([5]A!BB66,'[6]2009'!BB66,'[7]2010'!BB66)</f>
        <v>18.72711111111111</v>
      </c>
      <c r="BC64" s="317">
        <f>AVERAGE([5]A!BC66,'[6]2009'!BC66,'[7]2010'!BC66)</f>
        <v>8.586666666666666</v>
      </c>
      <c r="BD64" s="317">
        <f>AVERAGE([5]A!BD66,'[6]2009'!BD66,'[7]2010'!BD66)</f>
        <v>12.88</v>
      </c>
      <c r="BE64" s="332"/>
      <c r="BG64" s="317">
        <f>AVERAGE([5]A!BG66,'[6]2009'!BG66,'[7]2010'!BG66)</f>
        <v>29.108888888888885</v>
      </c>
      <c r="BH64" s="317">
        <f>AVERAGE([5]A!BH66,'[6]2009'!BH66,'[7]2010'!BH66)</f>
        <v>67.653333333333336</v>
      </c>
      <c r="BI64" s="317">
        <f>AVERAGE([5]A!BI66,'[6]2009'!BI66,'[7]2010'!BI66)</f>
        <v>57.366666666666667</v>
      </c>
      <c r="BJ64" s="332"/>
      <c r="BL64" s="317">
        <f>AVERAGE([5]A!BL66,'[6]2009'!BL66,'[7]2010'!BL66)</f>
        <v>31.986796296296301</v>
      </c>
      <c r="BM64" s="317">
        <f>AVERAGE([5]A!BM66,'[6]2009'!BM66,'[7]2010'!BM66)</f>
        <v>39.80694444444444</v>
      </c>
      <c r="BN64" s="317">
        <f>AVERAGE([5]A!BN66,'[6]2009'!BN66,'[7]2010'!BN66)</f>
        <v>34.879444444444445</v>
      </c>
      <c r="BO64" s="332"/>
      <c r="BP64" s="331">
        <f>BP61/BP63</f>
        <v>115.8729088634084</v>
      </c>
      <c r="DD64" s="331" t="s">
        <v>192</v>
      </c>
      <c r="DE64" s="337" t="s">
        <v>219</v>
      </c>
      <c r="DF64" s="337" t="s">
        <v>220</v>
      </c>
      <c r="DG64" s="337" t="s">
        <v>221</v>
      </c>
      <c r="DH64" s="331" t="s">
        <v>222</v>
      </c>
      <c r="DI64" s="337" t="s">
        <v>223</v>
      </c>
      <c r="DJ64" s="337" t="s">
        <v>22</v>
      </c>
      <c r="DK64" s="337" t="s">
        <v>224</v>
      </c>
      <c r="DL64" s="337" t="s">
        <v>224</v>
      </c>
      <c r="DM64" s="337" t="s">
        <v>225</v>
      </c>
      <c r="DN64" s="337" t="s">
        <v>226</v>
      </c>
      <c r="DO64" s="337" t="s">
        <v>227</v>
      </c>
      <c r="DP64" s="337" t="s">
        <v>228</v>
      </c>
      <c r="DQ64" s="331" t="s">
        <v>229</v>
      </c>
    </row>
    <row r="65" spans="1:122" s="339" customFormat="1">
      <c r="A65" s="339" t="s">
        <v>1</v>
      </c>
      <c r="B65" s="339" t="s">
        <v>243</v>
      </c>
      <c r="C65" s="341"/>
      <c r="D65" s="317">
        <f>AVERAGE([5]A!D67,'[6]2009'!D67,'[7]2010'!D67)</f>
        <v>10041</v>
      </c>
      <c r="E65" s="317">
        <f>AVERAGE([5]A!E67,'[6]2009'!E67,'[7]2010'!E67)</f>
        <v>6521.84</v>
      </c>
      <c r="F65" s="317">
        <f>AVERAGE([5]A!F67,'[6]2009'!F67,'[7]2010'!F67)</f>
        <v>6521.84</v>
      </c>
      <c r="G65" s="332"/>
      <c r="H65" s="341"/>
      <c r="I65" s="317">
        <f>AVERAGE([5]A!I67,'[6]2009'!I67,'[7]2010'!I67)</f>
        <v>16480</v>
      </c>
      <c r="J65" s="317">
        <f>AVERAGE([5]A!J67,'[6]2009'!J67,'[7]2010'!J67)</f>
        <v>14553</v>
      </c>
      <c r="K65" s="317">
        <f>AVERAGE([5]A!K67,'[6]2009'!K67,'[7]2010'!K67)</f>
        <v>14553</v>
      </c>
      <c r="L65" s="332"/>
      <c r="M65" s="341"/>
      <c r="N65" s="317">
        <f>AVERAGE([5]A!N67,'[6]2009'!N67,'[7]2010'!N67)</f>
        <v>13041</v>
      </c>
      <c r="O65" s="317">
        <f>AVERAGE([5]A!O67,'[6]2009'!O67,'[7]2010'!O67)</f>
        <v>13446.113333333333</v>
      </c>
      <c r="P65" s="317">
        <f>AVERAGE([5]A!P67,'[6]2009'!P67,'[7]2010'!P67)</f>
        <v>13445.973333333333</v>
      </c>
      <c r="Q65" s="332"/>
      <c r="R65" s="341"/>
      <c r="S65" s="317">
        <f>AVERAGE([5]A!S67,'[6]2009'!S67,'[7]2010'!S67)</f>
        <v>10041</v>
      </c>
      <c r="T65" s="317">
        <f>AVERAGE([5]A!T67,'[6]2009'!T67,'[7]2010'!T67)</f>
        <v>12976</v>
      </c>
      <c r="U65" s="317">
        <f>AVERAGE([5]A!U67,'[6]2009'!U67,'[7]2010'!U67)</f>
        <v>13752.533333333333</v>
      </c>
      <c r="V65" s="332"/>
      <c r="W65" s="341"/>
      <c r="X65" s="317">
        <f>AVERAGE([5]A!X67,'[6]2009'!X67,'[7]2010'!X67)</f>
        <v>16480</v>
      </c>
      <c r="Y65" s="317">
        <f>AVERAGE([5]A!Y67,'[6]2009'!Y67,'[7]2010'!Y67)</f>
        <v>12870.976666666667</v>
      </c>
      <c r="Z65" s="317">
        <f>AVERAGE([5]A!Z67,'[6]2009'!Z67,'[7]2010'!Z67)</f>
        <v>13360.666666666666</v>
      </c>
      <c r="AA65" s="332"/>
      <c r="AB65" s="341"/>
      <c r="AC65" s="317">
        <f>AVERAGE([5]A!AC67,'[6]2009'!AC67,'[7]2010'!AC67)</f>
        <v>10041</v>
      </c>
      <c r="AD65" s="317">
        <f>AVERAGE([5]A!AD67,'[6]2009'!AD67,'[7]2010'!AD67)</f>
        <v>10041</v>
      </c>
      <c r="AE65" s="317">
        <f>AVERAGE([5]A!AE67,'[6]2009'!AE67,'[7]2010'!AE67)</f>
        <v>9608.2566666666662</v>
      </c>
      <c r="AF65" s="332"/>
      <c r="AG65" s="341"/>
      <c r="AH65" s="317">
        <f>AVERAGE([5]A!AH67,'[6]2009'!AH67,'[7]2010'!AH67)</f>
        <v>19480</v>
      </c>
      <c r="AI65" s="317">
        <f>AVERAGE([5]A!AI67,'[6]2009'!AI67,'[7]2010'!AI67)</f>
        <v>19480</v>
      </c>
      <c r="AJ65" s="317">
        <f>AVERAGE([5]A!AJ67,'[6]2009'!AJ67,'[7]2010'!AJ67)</f>
        <v>15970.263333333334</v>
      </c>
      <c r="AK65" s="332"/>
      <c r="AL65" s="341"/>
      <c r="AM65" s="317">
        <f>AVERAGE([5]A!AM67,'[6]2009'!AM67,'[7]2010'!AM67)</f>
        <v>11041</v>
      </c>
      <c r="AN65" s="317">
        <f>AVERAGE([5]A!AN67,'[6]2009'!AN67,'[7]2010'!AN67)</f>
        <v>14366.053333333335</v>
      </c>
      <c r="AO65" s="317">
        <f>AVERAGE([5]A!AO67,'[6]2009'!AO67,'[7]2010'!AO67)</f>
        <v>11656.64</v>
      </c>
      <c r="AP65" s="332"/>
      <c r="AQ65" s="341"/>
      <c r="AR65" s="317">
        <f>AVERAGE([5]A!AR67,'[6]2009'!AR67,'[7]2010'!AR67)</f>
        <v>17480</v>
      </c>
      <c r="AS65" s="317">
        <f>AVERAGE([5]A!AS67,'[6]2009'!AS67,'[7]2010'!AS67)</f>
        <v>8630.2733333333326</v>
      </c>
      <c r="AT65" s="317">
        <f>AVERAGE([5]A!AT67,'[6]2009'!AT67,'[7]2010'!AT67)</f>
        <v>4205.41</v>
      </c>
      <c r="AU65" s="332"/>
      <c r="AV65" s="341"/>
      <c r="AW65" s="317">
        <f>AVERAGE([5]A!AW67,'[6]2009'!AW67,'[7]2010'!AW67)</f>
        <v>11041</v>
      </c>
      <c r="AX65" s="317">
        <f>AVERAGE([5]A!AX67,'[6]2009'!AX67,'[7]2010'!AX67)</f>
        <v>7233.0999999999995</v>
      </c>
      <c r="AY65" s="317">
        <f>AVERAGE([5]A!AY67,'[6]2009'!AY67,'[7]2010'!AY67)</f>
        <v>5329.15</v>
      </c>
      <c r="AZ65" s="332"/>
      <c r="BA65" s="341"/>
      <c r="BB65" s="317">
        <f>AVERAGE([5]A!BB67,'[6]2009'!BB67,'[7]2010'!BB67)</f>
        <v>11041</v>
      </c>
      <c r="BC65" s="317">
        <f>AVERAGE([5]A!BC67,'[6]2009'!BC67,'[7]2010'!BC67)</f>
        <v>7602.579999999999</v>
      </c>
      <c r="BD65" s="317">
        <f>AVERAGE([5]A!BD67,'[6]2009'!BD67,'[7]2010'!BD67)</f>
        <v>5883.37</v>
      </c>
      <c r="BE65" s="332"/>
      <c r="BF65" s="341"/>
      <c r="BG65" s="317">
        <f>AVERAGE([5]A!BG67,'[6]2009'!BG67,'[7]2010'!BG67)</f>
        <v>17480</v>
      </c>
      <c r="BH65" s="317">
        <f>AVERAGE([5]A!BH67,'[6]2009'!BH67,'[7]2010'!BH67)</f>
        <v>11326.11</v>
      </c>
      <c r="BI65" s="317">
        <f>AVERAGE([5]A!BI67,'[6]2009'!BI67,'[7]2010'!BI67)</f>
        <v>13760.36</v>
      </c>
      <c r="BJ65" s="332"/>
      <c r="BK65" s="341"/>
      <c r="BL65" s="317">
        <f>AVERAGE([5]A!BL67,'[6]2009'!BL67,'[7]2010'!BL67)</f>
        <v>144673</v>
      </c>
      <c r="BM65" s="317">
        <f>AVERAGE([5]A!BM67,'[6]2009'!BM67,'[7]2010'!BM67)</f>
        <v>123707.17666666668</v>
      </c>
      <c r="BN65" s="317">
        <f>AVERAGE([5]A!BN67,'[6]2009'!BN67,'[7]2010'!BN67)</f>
        <v>118321.36666666665</v>
      </c>
      <c r="BO65" s="332"/>
      <c r="BP65" s="341"/>
      <c r="BQ65" s="341"/>
      <c r="DD65" s="339" t="s">
        <v>185</v>
      </c>
      <c r="DE65" s="343" t="s">
        <v>14</v>
      </c>
      <c r="DF65" s="343" t="s">
        <v>14</v>
      </c>
      <c r="DG65" s="343" t="s">
        <v>14</v>
      </c>
      <c r="DH65" s="343" t="s">
        <v>14</v>
      </c>
      <c r="DI65" s="343" t="s">
        <v>14</v>
      </c>
      <c r="DJ65" s="343" t="s">
        <v>14</v>
      </c>
      <c r="DK65" s="343" t="s">
        <v>14</v>
      </c>
      <c r="DL65" s="343" t="s">
        <v>14</v>
      </c>
      <c r="DM65" s="343" t="s">
        <v>14</v>
      </c>
      <c r="DN65" s="343" t="s">
        <v>14</v>
      </c>
      <c r="DO65" s="343" t="s">
        <v>14</v>
      </c>
      <c r="DP65" s="343" t="s">
        <v>14</v>
      </c>
      <c r="DQ65" s="339" t="s">
        <v>232</v>
      </c>
    </row>
    <row r="66" spans="1:122" s="344" customFormat="1">
      <c r="A66" s="344" t="s">
        <v>1</v>
      </c>
      <c r="B66" s="344" t="s">
        <v>296</v>
      </c>
      <c r="D66" s="317">
        <f>AVERAGE([5]A!D68,'[6]2009'!D68,'[7]2010'!D68)</f>
        <v>828.06733213238977</v>
      </c>
      <c r="E66" s="317">
        <f>AVERAGE([5]A!E68,'[6]2009'!E68,'[7]2010'!E68)</f>
        <v>827.85766666666666</v>
      </c>
      <c r="F66" s="317">
        <f>AVERAGE([5]A!F68,'[6]2009'!F68,'[7]2010'!F68)</f>
        <v>809.37899999999991</v>
      </c>
      <c r="G66" s="332"/>
      <c r="I66" s="317">
        <f>AVERAGE([5]A!I68,'[6]2009'!I68,'[7]2010'!I68)</f>
        <v>738.43052167664871</v>
      </c>
      <c r="J66" s="317">
        <f>AVERAGE([5]A!J68,'[6]2009'!J68,'[7]2010'!J68)</f>
        <v>729.52600000000018</v>
      </c>
      <c r="K66" s="317">
        <f>AVERAGE([5]A!K68,'[6]2009'!K68,'[7]2010'!K68)</f>
        <v>779.47400000000005</v>
      </c>
      <c r="L66" s="332"/>
      <c r="N66" s="317">
        <f>AVERAGE([5]A!N68,'[6]2009'!N68,'[7]2010'!N68)</f>
        <v>811.57314190621321</v>
      </c>
      <c r="O66" s="317">
        <f>AVERAGE([5]A!O68,'[6]2009'!O68,'[7]2010'!O68)</f>
        <v>736.74966666666671</v>
      </c>
      <c r="P66" s="317">
        <f>AVERAGE([5]A!P68,'[6]2009'!P68,'[7]2010'!P68)</f>
        <v>775.6636666666667</v>
      </c>
      <c r="Q66" s="332"/>
      <c r="S66" s="317">
        <f>AVERAGE([5]A!S68,'[6]2009'!S68,'[7]2010'!S68)</f>
        <v>759.13483046031581</v>
      </c>
      <c r="T66" s="317">
        <f>AVERAGE([5]A!T68,'[6]2009'!T68,'[7]2010'!T68)</f>
        <v>789.36299999999994</v>
      </c>
      <c r="U66" s="317">
        <f>AVERAGE([5]A!U68,'[6]2009'!U68,'[7]2010'!U68)</f>
        <v>785.76800000000003</v>
      </c>
      <c r="V66" s="332"/>
      <c r="X66" s="317">
        <f>AVERAGE([5]A!X68,'[6]2009'!X68,'[7]2010'!X68)</f>
        <v>916.83692913722405</v>
      </c>
      <c r="Y66" s="317">
        <f>AVERAGE([5]A!Y68,'[6]2009'!Y68,'[7]2010'!Y68)</f>
        <v>878.86</v>
      </c>
      <c r="Z66" s="317">
        <f>AVERAGE([5]A!Z68,'[6]2009'!Z68,'[7]2010'!Z68)</f>
        <v>967.77666666666664</v>
      </c>
      <c r="AA66" s="332"/>
      <c r="AC66" s="317">
        <f>AVERAGE([5]A!AC68,'[6]2009'!AC68,'[7]2010'!AC68)</f>
        <v>997.4921192275732</v>
      </c>
      <c r="AD66" s="317">
        <f>AVERAGE([5]A!AD68,'[6]2009'!AD68,'[7]2010'!AD68)</f>
        <v>943.81633333333332</v>
      </c>
      <c r="AE66" s="317">
        <f>AVERAGE([5]A!AE68,'[6]2009'!AE68,'[7]2010'!AE68)</f>
        <v>1022.9844566666667</v>
      </c>
      <c r="AF66" s="332"/>
      <c r="AH66" s="317">
        <f>AVERAGE([5]A!AH68,'[6]2009'!AH68,'[7]2010'!AH68)</f>
        <v>1104.6734516929357</v>
      </c>
      <c r="AI66" s="317">
        <f>AVERAGE([5]A!AI68,'[6]2009'!AI68,'[7]2010'!AI68)</f>
        <v>1051.2253333333333</v>
      </c>
      <c r="AJ66" s="317">
        <f>AVERAGE([5]A!AJ68,'[6]2009'!AJ68,'[7]2010'!AJ68)</f>
        <v>1097.1656666666665</v>
      </c>
      <c r="AK66" s="332"/>
      <c r="AM66" s="317">
        <f>AVERAGE([5]A!AM68,'[6]2009'!AM68,'[7]2010'!AM68)</f>
        <v>1160.3870028678446</v>
      </c>
      <c r="AN66" s="317">
        <f>AVERAGE([5]A!AN68,'[6]2009'!AN68,'[7]2010'!AN68)</f>
        <v>1085.1936666666668</v>
      </c>
      <c r="AO66" s="317">
        <f>AVERAGE([5]A!AO68,'[6]2009'!AO68,'[7]2010'!AO68)</f>
        <v>1172.1173333333334</v>
      </c>
      <c r="AP66" s="332"/>
      <c r="AR66" s="317">
        <f>AVERAGE([5]A!AR68,'[6]2009'!AR68,'[7]2010'!AR68)</f>
        <v>1068.3850155646553</v>
      </c>
      <c r="AS66" s="317">
        <f>AVERAGE([5]A!AS68,'[6]2009'!AS68,'[7]2010'!AS68)</f>
        <v>1024.2503333333334</v>
      </c>
      <c r="AT66" s="317">
        <f>AVERAGE([5]A!AT68,'[6]2009'!AT68,'[7]2010'!AT68)</f>
        <v>1046.7696666666668</v>
      </c>
      <c r="AU66" s="332"/>
      <c r="AW66" s="317">
        <f>AVERAGE([5]A!AW68,'[6]2009'!AW68,'[7]2010'!AW68)</f>
        <v>1015.8939059029044</v>
      </c>
      <c r="AX66" s="317">
        <f>AVERAGE([5]A!AX68,'[6]2009'!AX68,'[7]2010'!AX68)</f>
        <v>845.94566666666663</v>
      </c>
      <c r="AY66" s="317">
        <f>AVERAGE([5]A!AY68,'[6]2009'!AY68,'[7]2010'!AY68)</f>
        <v>843.04300000000001</v>
      </c>
      <c r="AZ66" s="332"/>
      <c r="BB66" s="317">
        <f>AVERAGE([5]A!BB68,'[6]2009'!BB68,'[7]2010'!BB68)</f>
        <v>844.77908635602125</v>
      </c>
      <c r="BC66" s="317">
        <f>AVERAGE([5]A!BC68,'[6]2009'!BC68,'[7]2010'!BC68)</f>
        <v>693.00133333333326</v>
      </c>
      <c r="BD66" s="317">
        <f>AVERAGE([5]A!BD68,'[6]2009'!BD68,'[7]2010'!BD68)</f>
        <v>763.12733333333335</v>
      </c>
      <c r="BE66" s="332"/>
      <c r="BG66" s="317">
        <f>AVERAGE([5]A!BG68,'[6]2009'!BG68,'[7]2010'!BG68)</f>
        <v>759.42440568682593</v>
      </c>
      <c r="BH66" s="317">
        <f>AVERAGE([5]A!BH68,'[6]2009'!BH68,'[7]2010'!BH68)</f>
        <v>681.59699999999998</v>
      </c>
      <c r="BI66" s="317">
        <f>AVERAGE([5]A!BI68,'[6]2009'!BI68,'[7]2010'!BI68)</f>
        <v>799.09940568682589</v>
      </c>
      <c r="BJ66" s="332"/>
      <c r="BL66" s="317">
        <f>AVERAGE([5]A!BL68,'[6]2009'!BL68,'[7]2010'!BL68)</f>
        <v>9516.314742611552</v>
      </c>
      <c r="BM66" s="317">
        <f>AVERAGE([5]A!BM68,'[6]2009'!BM68,'[7]2010'!BM68)</f>
        <v>9065.3803333333326</v>
      </c>
      <c r="BN66" s="317">
        <f>AVERAGE([5]A!BN68,'[6]2009'!BN68,'[7]2010'!BN68)</f>
        <v>9637.0371956868257</v>
      </c>
      <c r="BO66" s="332"/>
      <c r="DD66" s="347" t="s">
        <v>235</v>
      </c>
      <c r="DE66" s="347" t="s">
        <v>330</v>
      </c>
      <c r="DF66" s="347" t="s">
        <v>260</v>
      </c>
      <c r="DG66" s="347" t="s">
        <v>238</v>
      </c>
      <c r="DH66" s="344" t="s">
        <v>331</v>
      </c>
      <c r="DI66" s="347" t="s">
        <v>249</v>
      </c>
      <c r="DJ66" s="347" t="s">
        <v>240</v>
      </c>
      <c r="DK66" s="348" t="s">
        <v>241</v>
      </c>
      <c r="DL66" s="348" t="s">
        <v>241</v>
      </c>
      <c r="DM66" s="348" t="s">
        <v>241</v>
      </c>
      <c r="DN66" s="348" t="s">
        <v>241</v>
      </c>
      <c r="DO66" s="348" t="s">
        <v>241</v>
      </c>
      <c r="DP66" s="349">
        <f>D118</f>
        <v>0</v>
      </c>
      <c r="DQ66" s="349">
        <f>H118</f>
        <v>0</v>
      </c>
    </row>
    <row r="67" spans="1:122" s="339" customFormat="1">
      <c r="A67" s="339" t="s">
        <v>1</v>
      </c>
      <c r="B67" s="339" t="s">
        <v>252</v>
      </c>
      <c r="D67" s="317">
        <f>AVERAGE([5]A!D69,'[6]2009'!D69,'[7]2010'!D69)</f>
        <v>105.34698757300352</v>
      </c>
      <c r="E67" s="317">
        <f>AVERAGE([5]A!E69,'[6]2009'!E69,'[7]2010'!E69)</f>
        <v>95.070070093341158</v>
      </c>
      <c r="F67" s="317">
        <f>AVERAGE([5]A!F69,'[6]2009'!F69,'[7]2010'!F69)</f>
        <v>91.678066527561441</v>
      </c>
      <c r="G67" s="332"/>
      <c r="I67" s="317">
        <f>AVERAGE([5]A!I69,'[6]2009'!I69,'[7]2010'!I69)</f>
        <v>92.815163185665256</v>
      </c>
      <c r="J67" s="317">
        <f>AVERAGE([5]A!J69,'[6]2009'!J69,'[7]2010'!J69)</f>
        <v>108.41855455226437</v>
      </c>
      <c r="K67" s="317">
        <f>AVERAGE([5]A!K69,'[6]2009'!K69,'[7]2010'!K69)</f>
        <v>100.53482125919727</v>
      </c>
      <c r="L67" s="332"/>
      <c r="N67" s="317">
        <f>AVERAGE([5]A!N69,'[6]2009'!N69,'[7]2010'!N69)</f>
        <v>94.29714401324442</v>
      </c>
      <c r="O67" s="317">
        <f>AVERAGE([5]A!O69,'[6]2009'!O69,'[7]2010'!O69)</f>
        <v>86.916212446581255</v>
      </c>
      <c r="P67" s="317">
        <f>AVERAGE([5]A!P69,'[6]2009'!P69,'[7]2010'!P69)</f>
        <v>88.988029975638483</v>
      </c>
      <c r="Q67" s="332"/>
      <c r="S67" s="317">
        <f>AVERAGE([5]A!S69,'[6]2009'!S69,'[7]2010'!S69)</f>
        <v>102.7534298894298</v>
      </c>
      <c r="T67" s="317">
        <f>AVERAGE([5]A!T69,'[6]2009'!T69,'[7]2010'!T69)</f>
        <v>83.128802914979644</v>
      </c>
      <c r="U67" s="317">
        <f>AVERAGE([5]A!U69,'[6]2009'!U69,'[7]2010'!U69)</f>
        <v>91.291992126336496</v>
      </c>
      <c r="V67" s="332"/>
      <c r="X67" s="317">
        <f>AVERAGE([5]A!X69,'[6]2009'!X69,'[7]2010'!X69)</f>
        <v>96.563386458090761</v>
      </c>
      <c r="Y67" s="317">
        <f>AVERAGE([5]A!Y69,'[6]2009'!Y69,'[7]2010'!Y69)</f>
        <v>110.27755367229774</v>
      </c>
      <c r="Z67" s="317">
        <f>AVERAGE([5]A!Z69,'[6]2009'!Z69,'[7]2010'!Z69)</f>
        <v>98.949806371418774</v>
      </c>
      <c r="AA67" s="332"/>
      <c r="AC67" s="317">
        <f>AVERAGE([5]A!AC69,'[6]2009'!AC69,'[7]2010'!AC69)</f>
        <v>105.6036597936975</v>
      </c>
      <c r="AD67" s="317">
        <f>AVERAGE([5]A!AD69,'[6]2009'!AD69,'[7]2010'!AD69)</f>
        <v>110.33598989589568</v>
      </c>
      <c r="AE67" s="317">
        <f>AVERAGE([5]A!AE69,'[6]2009'!AE69,'[7]2010'!AE69)</f>
        <v>112.37927112182138</v>
      </c>
      <c r="AF67" s="332"/>
      <c r="AH67" s="317">
        <f>AVERAGE([5]A!AH69,'[6]2009'!AH69,'[7]2010'!AH69)</f>
        <v>105.52253782277212</v>
      </c>
      <c r="AI67" s="317">
        <f>AVERAGE([5]A!AI69,'[6]2009'!AI69,'[7]2010'!AI69)</f>
        <v>89.650791529423643</v>
      </c>
      <c r="AJ67" s="317">
        <f>AVERAGE([5]A!AJ69,'[6]2009'!AJ69,'[7]2010'!AJ69)</f>
        <v>88.612676238026168</v>
      </c>
      <c r="AK67" s="332"/>
      <c r="AM67" s="317">
        <f>AVERAGE([5]A!AM69,'[6]2009'!AM69,'[7]2010'!AM69)</f>
        <v>133.34799419545934</v>
      </c>
      <c r="AN67" s="317">
        <f>AVERAGE([5]A!AN69,'[6]2009'!AN69,'[7]2010'!AN69)</f>
        <v>120.06738207822126</v>
      </c>
      <c r="AO67" s="317">
        <f>AVERAGE([5]A!AO69,'[6]2009'!AO69,'[7]2010'!AO69)</f>
        <v>126.33564149540405</v>
      </c>
      <c r="AP67" s="332"/>
      <c r="AR67" s="317">
        <f>AVERAGE([5]A!AR69,'[6]2009'!AR69,'[7]2010'!AR69)</f>
        <v>151.4289873795972</v>
      </c>
      <c r="AS67" s="317">
        <f>AVERAGE([5]A!AS69,'[6]2009'!AS69,'[7]2010'!AS69)</f>
        <v>124.53200965146198</v>
      </c>
      <c r="AT67" s="317">
        <f>AVERAGE([5]A!AT69,'[6]2009'!AT69,'[7]2010'!AT69)</f>
        <v>118.35411000653517</v>
      </c>
      <c r="AU67" s="332"/>
      <c r="AW67" s="317">
        <f>AVERAGE([5]A!AW69,'[6]2009'!AW69,'[7]2010'!AW69)</f>
        <v>148.50447678585985</v>
      </c>
      <c r="AX67" s="317">
        <f>AVERAGE([5]A!AX69,'[6]2009'!AX69,'[7]2010'!AX69)</f>
        <v>131.72617278702424</v>
      </c>
      <c r="AY67" s="317">
        <f>AVERAGE([5]A!AY69,'[6]2009'!AY69,'[7]2010'!AY69)</f>
        <v>141.23228683841873</v>
      </c>
      <c r="AZ67" s="332"/>
      <c r="BB67" s="317">
        <f>AVERAGE([5]A!BB69,'[6]2009'!BB69,'[7]2010'!BB69)</f>
        <v>100.42353255390053</v>
      </c>
      <c r="BC67" s="317">
        <f>AVERAGE([5]A!BC69,'[6]2009'!BC69,'[7]2010'!BC69)</f>
        <v>104.09878863139095</v>
      </c>
      <c r="BD67" s="317">
        <f>AVERAGE([5]A!BD69,'[6]2009'!BD69,'[7]2010'!BD69)</f>
        <v>79.260210740124549</v>
      </c>
      <c r="BE67" s="332"/>
      <c r="BG67" s="317">
        <f>AVERAGE([5]A!BG69,'[6]2009'!BG69,'[7]2010'!BG69)</f>
        <v>103.35748335354123</v>
      </c>
      <c r="BH67" s="317">
        <f>AVERAGE([5]A!BH69,'[6]2009'!BH69,'[7]2010'!BH69)</f>
        <v>106.37912472410189</v>
      </c>
      <c r="BI67" s="317">
        <f>AVERAGE([5]A!BI69,'[6]2009'!BI69,'[7]2010'!BI69)</f>
        <v>109.89195582634579</v>
      </c>
      <c r="BJ67" s="332"/>
      <c r="BL67" s="317">
        <f>AVERAGE([5]A!BL69,'[6]2009'!BL69,'[7]2010'!BL69)</f>
        <v>127.74881962241345</v>
      </c>
      <c r="BM67" s="317">
        <f>AVERAGE([5]A!BM69,'[6]2009'!BM69,'[7]2010'!BM69)</f>
        <v>121.54200256717485</v>
      </c>
      <c r="BN67" s="317">
        <f>AVERAGE([5]A!BN69,'[6]2009'!BN69,'[7]2010'!BN69)</f>
        <v>3026.2347900000004</v>
      </c>
      <c r="BO67" s="332"/>
      <c r="BQ67" s="339" t="s">
        <v>17</v>
      </c>
      <c r="BR67" s="339" t="s">
        <v>17</v>
      </c>
      <c r="BS67" s="339" t="s">
        <v>17</v>
      </c>
      <c r="BT67" s="339" t="s">
        <v>17</v>
      </c>
      <c r="BU67" s="339" t="s">
        <v>17</v>
      </c>
      <c r="BV67" s="339" t="s">
        <v>17</v>
      </c>
      <c r="BW67" s="339" t="s">
        <v>17</v>
      </c>
      <c r="BX67" s="339" t="s">
        <v>17</v>
      </c>
      <c r="BY67" s="339" t="s">
        <v>17</v>
      </c>
      <c r="DJ67" s="342" t="s">
        <v>244</v>
      </c>
      <c r="DK67" s="343" t="s">
        <v>241</v>
      </c>
      <c r="DL67" s="343" t="s">
        <v>241</v>
      </c>
      <c r="DM67" s="343" t="s">
        <v>241</v>
      </c>
      <c r="DN67" s="343" t="s">
        <v>241</v>
      </c>
      <c r="DO67" s="343" t="s">
        <v>241</v>
      </c>
      <c r="DP67" s="341">
        <f>C118</f>
        <v>0</v>
      </c>
      <c r="DQ67" s="341">
        <f>G118</f>
        <v>0</v>
      </c>
    </row>
    <row r="68" spans="1:122">
      <c r="A68" s="282" t="s">
        <v>1</v>
      </c>
      <c r="B68" s="282" t="s">
        <v>1</v>
      </c>
      <c r="C68" s="295" t="s">
        <v>1</v>
      </c>
      <c r="D68" s="285" t="s">
        <v>1</v>
      </c>
      <c r="E68" s="296" t="s">
        <v>1</v>
      </c>
      <c r="F68" s="296" t="s">
        <v>1</v>
      </c>
      <c r="G68" s="297" t="s">
        <v>1</v>
      </c>
      <c r="H68" s="295" t="s">
        <v>1</v>
      </c>
      <c r="I68" s="285" t="s">
        <v>1</v>
      </c>
      <c r="J68" s="296" t="s">
        <v>1</v>
      </c>
      <c r="K68" s="296" t="s">
        <v>1</v>
      </c>
      <c r="L68" s="298" t="s">
        <v>1</v>
      </c>
      <c r="M68" s="299" t="s">
        <v>1</v>
      </c>
      <c r="N68" s="285" t="s">
        <v>1</v>
      </c>
      <c r="O68" s="296" t="s">
        <v>1</v>
      </c>
      <c r="P68" s="296" t="s">
        <v>1</v>
      </c>
      <c r="Q68" s="297" t="s">
        <v>1</v>
      </c>
      <c r="R68" s="295" t="s">
        <v>1</v>
      </c>
      <c r="S68" s="285" t="s">
        <v>1</v>
      </c>
      <c r="T68" s="296" t="s">
        <v>1</v>
      </c>
      <c r="U68" s="296" t="s">
        <v>1</v>
      </c>
      <c r="V68" s="297" t="s">
        <v>1</v>
      </c>
      <c r="W68" s="295" t="s">
        <v>1</v>
      </c>
      <c r="X68" s="285" t="s">
        <v>1</v>
      </c>
      <c r="Y68" s="296" t="s">
        <v>1</v>
      </c>
      <c r="Z68" s="296" t="s">
        <v>1</v>
      </c>
      <c r="AA68" s="297" t="s">
        <v>1</v>
      </c>
      <c r="AB68" s="295" t="s">
        <v>1</v>
      </c>
      <c r="AC68" s="285" t="s">
        <v>1</v>
      </c>
      <c r="AD68" s="296" t="s">
        <v>1</v>
      </c>
      <c r="AE68" s="296" t="s">
        <v>1</v>
      </c>
      <c r="AF68" s="297" t="s">
        <v>1</v>
      </c>
      <c r="AG68" s="295" t="s">
        <v>1</v>
      </c>
      <c r="AH68" s="285" t="s">
        <v>1</v>
      </c>
      <c r="AI68" s="296" t="s">
        <v>1</v>
      </c>
      <c r="AJ68" s="296" t="s">
        <v>1</v>
      </c>
      <c r="AK68" s="297" t="s">
        <v>1</v>
      </c>
      <c r="AL68" s="295" t="s">
        <v>1</v>
      </c>
      <c r="AM68" s="285" t="s">
        <v>1</v>
      </c>
      <c r="AN68" s="296" t="s">
        <v>1</v>
      </c>
      <c r="AO68" s="296" t="s">
        <v>1</v>
      </c>
      <c r="AP68" s="297" t="s">
        <v>1</v>
      </c>
      <c r="AQ68" s="295" t="s">
        <v>1</v>
      </c>
      <c r="AR68" s="285" t="s">
        <v>1</v>
      </c>
      <c r="AS68" s="296" t="s">
        <v>1</v>
      </c>
      <c r="AT68" s="296" t="s">
        <v>1</v>
      </c>
      <c r="AU68" s="297" t="s">
        <v>1</v>
      </c>
      <c r="AV68" s="295" t="s">
        <v>1</v>
      </c>
      <c r="AW68" s="285" t="s">
        <v>1</v>
      </c>
      <c r="AX68" s="296" t="s">
        <v>1</v>
      </c>
      <c r="AY68" s="296" t="s">
        <v>1</v>
      </c>
      <c r="AZ68" s="297" t="s">
        <v>1</v>
      </c>
      <c r="BA68" s="295" t="s">
        <v>1</v>
      </c>
      <c r="BB68" s="285" t="s">
        <v>1</v>
      </c>
      <c r="BC68" s="296" t="s">
        <v>1</v>
      </c>
      <c r="BD68" s="296" t="s">
        <v>1</v>
      </c>
      <c r="BE68" s="297" t="s">
        <v>1</v>
      </c>
      <c r="BF68" s="295" t="s">
        <v>1</v>
      </c>
      <c r="BG68" s="285" t="s">
        <v>1</v>
      </c>
      <c r="BH68" s="296" t="s">
        <v>1</v>
      </c>
      <c r="BI68" s="296" t="s">
        <v>1</v>
      </c>
      <c r="BJ68" s="297" t="s">
        <v>1</v>
      </c>
      <c r="BK68" s="295" t="s">
        <v>1</v>
      </c>
      <c r="BL68" s="285" t="s">
        <v>1</v>
      </c>
      <c r="BM68" s="296" t="s">
        <v>1</v>
      </c>
      <c r="BN68" s="296" t="s">
        <v>1</v>
      </c>
      <c r="BO68" s="298" t="s">
        <v>1</v>
      </c>
      <c r="BQ68" s="283" t="s">
        <v>332</v>
      </c>
      <c r="BR68" s="283" t="s">
        <v>332</v>
      </c>
      <c r="BS68" s="283" t="s">
        <v>332</v>
      </c>
      <c r="BT68" s="283" t="s">
        <v>333</v>
      </c>
      <c r="BU68" s="283" t="s">
        <v>333</v>
      </c>
      <c r="BV68" s="283" t="s">
        <v>333</v>
      </c>
      <c r="BW68" s="283" t="s">
        <v>334</v>
      </c>
      <c r="BX68" s="283" t="s">
        <v>334</v>
      </c>
      <c r="BY68" s="283" t="s">
        <v>334</v>
      </c>
      <c r="DD68" s="310" t="s">
        <v>235</v>
      </c>
      <c r="DE68" s="310" t="s">
        <v>330</v>
      </c>
      <c r="DF68" s="310" t="s">
        <v>251</v>
      </c>
      <c r="DG68" s="310" t="s">
        <v>238</v>
      </c>
      <c r="DH68" s="283" t="s">
        <v>239</v>
      </c>
      <c r="DI68" s="310" t="s">
        <v>238</v>
      </c>
      <c r="DJ68" s="310" t="s">
        <v>240</v>
      </c>
      <c r="DK68" s="324" t="s">
        <v>241</v>
      </c>
      <c r="DL68" s="324" t="s">
        <v>241</v>
      </c>
      <c r="DM68" s="324" t="s">
        <v>241</v>
      </c>
      <c r="DN68" s="324" t="s">
        <v>241</v>
      </c>
      <c r="DO68" s="324" t="s">
        <v>241</v>
      </c>
      <c r="DP68" s="323">
        <f>D117</f>
        <v>178361</v>
      </c>
      <c r="DQ68" s="323">
        <f>H117</f>
        <v>25400.936666666665</v>
      </c>
    </row>
    <row r="69" spans="1:122">
      <c r="A69" s="283" t="s">
        <v>1</v>
      </c>
      <c r="AT69" s="326"/>
      <c r="BQ69" s="283" t="s">
        <v>230</v>
      </c>
      <c r="BR69" s="283" t="s">
        <v>218</v>
      </c>
      <c r="BS69" s="283" t="s">
        <v>335</v>
      </c>
      <c r="BT69" s="283" t="s">
        <v>230</v>
      </c>
      <c r="BU69" s="283" t="s">
        <v>218</v>
      </c>
      <c r="BV69" s="283" t="s">
        <v>335</v>
      </c>
      <c r="BW69" s="283" t="s">
        <v>336</v>
      </c>
      <c r="BX69" s="283" t="s">
        <v>336</v>
      </c>
      <c r="BY69" s="283" t="s">
        <v>336</v>
      </c>
      <c r="DJ69" s="310" t="s">
        <v>244</v>
      </c>
      <c r="DK69" s="324" t="s">
        <v>241</v>
      </c>
      <c r="DL69" s="324" t="s">
        <v>241</v>
      </c>
      <c r="DM69" s="324" t="s">
        <v>241</v>
      </c>
      <c r="DN69" s="324" t="s">
        <v>241</v>
      </c>
      <c r="DO69" s="324" t="s">
        <v>241</v>
      </c>
      <c r="DP69" s="323">
        <f>C117</f>
        <v>137540.95042203172</v>
      </c>
      <c r="DQ69" s="323">
        <f>G117</f>
        <v>20188.308026310839</v>
      </c>
    </row>
    <row r="70" spans="1:122">
      <c r="A70" s="282" t="s">
        <v>1</v>
      </c>
      <c r="B70" s="282" t="s">
        <v>1</v>
      </c>
      <c r="C70" s="295" t="s">
        <v>1</v>
      </c>
      <c r="D70" s="285" t="s">
        <v>1</v>
      </c>
      <c r="E70" s="296" t="s">
        <v>1</v>
      </c>
      <c r="F70" s="296" t="s">
        <v>1</v>
      </c>
      <c r="G70" s="297" t="s">
        <v>1</v>
      </c>
      <c r="H70" s="295" t="s">
        <v>1</v>
      </c>
      <c r="I70" s="285" t="s">
        <v>1</v>
      </c>
      <c r="J70" s="296" t="s">
        <v>1</v>
      </c>
      <c r="K70" s="296" t="s">
        <v>1</v>
      </c>
      <c r="L70" s="298" t="s">
        <v>1</v>
      </c>
      <c r="M70" s="299" t="s">
        <v>1</v>
      </c>
      <c r="N70" s="285" t="s">
        <v>1</v>
      </c>
      <c r="O70" s="296" t="s">
        <v>1</v>
      </c>
      <c r="P70" s="296" t="s">
        <v>1</v>
      </c>
      <c r="Q70" s="297" t="s">
        <v>1</v>
      </c>
      <c r="R70" s="295" t="s">
        <v>1</v>
      </c>
      <c r="S70" s="285" t="s">
        <v>1</v>
      </c>
      <c r="T70" s="296" t="s">
        <v>1</v>
      </c>
      <c r="U70" s="296" t="s">
        <v>1</v>
      </c>
      <c r="V70" s="297" t="s">
        <v>1</v>
      </c>
      <c r="W70" s="295" t="s">
        <v>1</v>
      </c>
      <c r="X70" s="285" t="s">
        <v>1</v>
      </c>
      <c r="Y70" s="296" t="s">
        <v>1</v>
      </c>
      <c r="Z70" s="296" t="s">
        <v>1</v>
      </c>
      <c r="AA70" s="297" t="s">
        <v>1</v>
      </c>
      <c r="AB70" s="295" t="s">
        <v>1</v>
      </c>
      <c r="AC70" s="285" t="s">
        <v>1</v>
      </c>
      <c r="AD70" s="296" t="s">
        <v>1</v>
      </c>
      <c r="AE70" s="296" t="s">
        <v>1</v>
      </c>
      <c r="AF70" s="297" t="s">
        <v>1</v>
      </c>
      <c r="AG70" s="295" t="s">
        <v>1</v>
      </c>
      <c r="AH70" s="285" t="s">
        <v>1</v>
      </c>
      <c r="AI70" s="296" t="s">
        <v>1</v>
      </c>
      <c r="AJ70" s="296" t="s">
        <v>1</v>
      </c>
      <c r="AK70" s="297" t="s">
        <v>1</v>
      </c>
      <c r="AL70" s="295" t="s">
        <v>1</v>
      </c>
      <c r="AM70" s="285" t="s">
        <v>1</v>
      </c>
      <c r="AN70" s="296" t="s">
        <v>1</v>
      </c>
      <c r="AO70" s="296" t="s">
        <v>1</v>
      </c>
      <c r="AP70" s="297" t="s">
        <v>1</v>
      </c>
      <c r="AQ70" s="295" t="s">
        <v>1</v>
      </c>
      <c r="AR70" s="285" t="s">
        <v>1</v>
      </c>
      <c r="AS70" s="296" t="s">
        <v>1</v>
      </c>
      <c r="AT70" s="296" t="s">
        <v>1</v>
      </c>
      <c r="AU70" s="297" t="s">
        <v>1</v>
      </c>
      <c r="AV70" s="295" t="s">
        <v>1</v>
      </c>
      <c r="AW70" s="285" t="s">
        <v>1</v>
      </c>
      <c r="AX70" s="296" t="s">
        <v>1</v>
      </c>
      <c r="AY70" s="296" t="s">
        <v>1</v>
      </c>
      <c r="AZ70" s="297" t="s">
        <v>1</v>
      </c>
      <c r="BA70" s="295" t="s">
        <v>1</v>
      </c>
      <c r="BB70" s="285" t="s">
        <v>1</v>
      </c>
      <c r="BC70" s="296" t="s">
        <v>1</v>
      </c>
      <c r="BD70" s="296" t="s">
        <v>1</v>
      </c>
      <c r="BE70" s="297" t="s">
        <v>1</v>
      </c>
      <c r="BF70" s="295" t="s">
        <v>1</v>
      </c>
      <c r="BG70" s="285" t="s">
        <v>1</v>
      </c>
      <c r="BH70" s="296" t="s">
        <v>1</v>
      </c>
      <c r="BI70" s="296" t="s">
        <v>1</v>
      </c>
      <c r="BJ70" s="297" t="s">
        <v>1</v>
      </c>
      <c r="BK70" s="295" t="s">
        <v>1</v>
      </c>
      <c r="BL70" s="285" t="s">
        <v>1</v>
      </c>
      <c r="BM70" s="296" t="s">
        <v>1</v>
      </c>
      <c r="BN70" s="296" t="s">
        <v>1</v>
      </c>
      <c r="BO70" s="298" t="s">
        <v>1</v>
      </c>
      <c r="BQ70" s="283" t="s">
        <v>337</v>
      </c>
      <c r="BR70" s="283" t="s">
        <v>337</v>
      </c>
      <c r="BS70" s="283" t="s">
        <v>337</v>
      </c>
      <c r="BT70" s="283" t="s">
        <v>337</v>
      </c>
      <c r="BU70" s="283" t="s">
        <v>337</v>
      </c>
      <c r="BV70" s="283" t="s">
        <v>337</v>
      </c>
      <c r="BW70" s="283" t="s">
        <v>337</v>
      </c>
      <c r="BX70" s="283" t="s">
        <v>337</v>
      </c>
      <c r="BY70" s="283" t="s">
        <v>337</v>
      </c>
      <c r="DD70" s="310" t="s">
        <v>235</v>
      </c>
      <c r="DE70" s="310" t="s">
        <v>330</v>
      </c>
      <c r="DF70" s="310" t="s">
        <v>338</v>
      </c>
      <c r="DG70" s="310" t="s">
        <v>238</v>
      </c>
      <c r="DH70" s="283" t="s">
        <v>255</v>
      </c>
      <c r="DI70" s="310" t="s">
        <v>256</v>
      </c>
      <c r="DJ70" s="310" t="s">
        <v>240</v>
      </c>
      <c r="DK70" s="324" t="s">
        <v>241</v>
      </c>
      <c r="DL70" s="324" t="s">
        <v>241</v>
      </c>
      <c r="DM70" s="324" t="s">
        <v>241</v>
      </c>
      <c r="DN70" s="324" t="s">
        <v>241</v>
      </c>
      <c r="DO70" s="324" t="s">
        <v>241</v>
      </c>
      <c r="DP70" s="323">
        <f>D119</f>
        <v>21132</v>
      </c>
      <c r="DQ70" s="323">
        <f>H119</f>
        <v>4396.3899999999994</v>
      </c>
    </row>
    <row r="71" spans="1:122">
      <c r="A71" s="283" t="s">
        <v>1</v>
      </c>
      <c r="B71" s="300" t="s">
        <v>90</v>
      </c>
      <c r="V71" s="287" t="str">
        <f>V7</f>
        <v>4-year averages</v>
      </c>
      <c r="AT71" s="326"/>
      <c r="DJ71" s="310" t="s">
        <v>244</v>
      </c>
      <c r="DK71" s="324" t="s">
        <v>241</v>
      </c>
      <c r="DL71" s="324" t="s">
        <v>241</v>
      </c>
      <c r="DM71" s="324" t="s">
        <v>241</v>
      </c>
      <c r="DN71" s="324" t="s">
        <v>241</v>
      </c>
      <c r="DO71" s="324" t="s">
        <v>241</v>
      </c>
      <c r="DP71" s="323">
        <f>C119</f>
        <v>19344.796234733352</v>
      </c>
      <c r="DQ71" s="323">
        <f>G119</f>
        <v>4393.6986237106557</v>
      </c>
    </row>
    <row r="72" spans="1:122">
      <c r="A72" s="283" t="s">
        <v>1</v>
      </c>
      <c r="B72" s="283" t="s">
        <v>184</v>
      </c>
      <c r="AT72" s="326"/>
      <c r="BO72" s="283"/>
      <c r="BP72" s="283" t="s">
        <v>339</v>
      </c>
      <c r="BQ72" s="283">
        <f>D33</f>
        <v>8180</v>
      </c>
      <c r="BR72" s="283">
        <f>E33</f>
        <v>10107.42</v>
      </c>
      <c r="BS72" s="283">
        <f>F33</f>
        <v>10107.42</v>
      </c>
      <c r="BT72" s="283">
        <f>D34</f>
        <v>375.41</v>
      </c>
      <c r="BU72" s="283">
        <f>E34</f>
        <v>331.3</v>
      </c>
      <c r="BV72" s="283">
        <f>F34</f>
        <v>359.2166666666667</v>
      </c>
      <c r="BW72" s="283">
        <f>D36</f>
        <v>8900.7633333333342</v>
      </c>
      <c r="BX72" s="283">
        <f>E36</f>
        <v>9180.65</v>
      </c>
      <c r="BY72" s="283">
        <f>F36</f>
        <v>9606.0733333333337</v>
      </c>
      <c r="DD72" s="310" t="s">
        <v>235</v>
      </c>
      <c r="DE72" s="310" t="s">
        <v>330</v>
      </c>
      <c r="DF72" s="310" t="s">
        <v>276</v>
      </c>
      <c r="DG72" s="310" t="s">
        <v>238</v>
      </c>
      <c r="DH72" s="283" t="s">
        <v>261</v>
      </c>
      <c r="DI72" s="310" t="s">
        <v>254</v>
      </c>
      <c r="DJ72" s="310" t="s">
        <v>240</v>
      </c>
      <c r="DK72" s="324" t="s">
        <v>241</v>
      </c>
      <c r="DL72" s="324" t="s">
        <v>241</v>
      </c>
      <c r="DM72" s="324" t="s">
        <v>241</v>
      </c>
      <c r="DN72" s="324" t="s">
        <v>241</v>
      </c>
      <c r="DO72" s="324" t="s">
        <v>241</v>
      </c>
      <c r="DP72" s="323">
        <f>D120</f>
        <v>13496.333333333334</v>
      </c>
      <c r="DQ72" s="323">
        <f>H120</f>
        <v>3691.69</v>
      </c>
    </row>
    <row r="73" spans="1:122">
      <c r="A73" s="283" t="s">
        <v>1</v>
      </c>
      <c r="C73" s="284" t="s">
        <v>340</v>
      </c>
      <c r="H73" s="284" t="s">
        <v>340</v>
      </c>
      <c r="M73" s="290" t="s">
        <v>340</v>
      </c>
      <c r="R73" s="284" t="s">
        <v>340</v>
      </c>
      <c r="W73" s="284" t="s">
        <v>340</v>
      </c>
      <c r="AB73" s="284" t="s">
        <v>340</v>
      </c>
      <c r="AG73" s="284" t="s">
        <v>340</v>
      </c>
      <c r="AL73" s="284" t="s">
        <v>340</v>
      </c>
      <c r="AQ73" s="284" t="s">
        <v>340</v>
      </c>
      <c r="AT73" s="326"/>
      <c r="AV73" s="284" t="s">
        <v>340</v>
      </c>
      <c r="BA73" s="284" t="s">
        <v>340</v>
      </c>
      <c r="BF73" s="284" t="s">
        <v>340</v>
      </c>
      <c r="BK73" s="284" t="s">
        <v>340</v>
      </c>
      <c r="BP73" s="283" t="s">
        <v>341</v>
      </c>
      <c r="BQ73" s="283">
        <f>D33+I33</f>
        <v>16360</v>
      </c>
      <c r="BR73" s="283">
        <f>E33+J33</f>
        <v>19363.419999999998</v>
      </c>
      <c r="BS73" s="283">
        <f>F33+K33</f>
        <v>19363.419999999998</v>
      </c>
      <c r="BT73" s="283">
        <f>BT72+I34</f>
        <v>714.49</v>
      </c>
      <c r="BU73" s="283">
        <f>BU72+J34</f>
        <v>649.63666666666666</v>
      </c>
      <c r="BV73" s="283">
        <f>BV72+K34</f>
        <v>677.35333333333335</v>
      </c>
      <c r="BW73" s="283">
        <f>BW72+I36</f>
        <v>17801.526666666668</v>
      </c>
      <c r="BX73" s="283">
        <f>BX72+J36</f>
        <v>17887.626666666667</v>
      </c>
      <c r="BY73" s="283">
        <f>BY72+K36</f>
        <v>18738.626666666667</v>
      </c>
      <c r="DJ73" s="310" t="s">
        <v>244</v>
      </c>
      <c r="DK73" s="324" t="s">
        <v>241</v>
      </c>
      <c r="DL73" s="324" t="s">
        <v>241</v>
      </c>
      <c r="DM73" s="324" t="s">
        <v>241</v>
      </c>
      <c r="DN73" s="324" t="s">
        <v>241</v>
      </c>
      <c r="DO73" s="324" t="s">
        <v>241</v>
      </c>
      <c r="DP73" s="323">
        <f>C120</f>
        <v>12877.760274481472</v>
      </c>
      <c r="DQ73" s="323">
        <f>G120</f>
        <v>3512.2531464575636</v>
      </c>
    </row>
    <row r="74" spans="1:122">
      <c r="A74" s="283" t="s">
        <v>1</v>
      </c>
      <c r="C74" s="284" t="s">
        <v>342</v>
      </c>
      <c r="G74" s="303" t="s">
        <v>2</v>
      </c>
      <c r="H74" s="304" t="s">
        <v>197</v>
      </c>
      <c r="I74" s="305"/>
      <c r="J74" s="306"/>
      <c r="K74" s="306"/>
      <c r="L74" s="301" t="s">
        <v>3</v>
      </c>
      <c r="M74" s="307" t="s">
        <v>198</v>
      </c>
      <c r="N74" s="305"/>
      <c r="O74" s="306"/>
      <c r="P74" s="306"/>
      <c r="Q74" s="303" t="s">
        <v>199</v>
      </c>
      <c r="R74" s="304" t="s">
        <v>200</v>
      </c>
      <c r="S74" s="305"/>
      <c r="T74" s="306"/>
      <c r="U74" s="306"/>
      <c r="V74" s="303" t="s">
        <v>201</v>
      </c>
      <c r="W74" s="304" t="s">
        <v>202</v>
      </c>
      <c r="X74" s="305"/>
      <c r="Y74" s="306"/>
      <c r="Z74" s="306"/>
      <c r="AA74" s="303" t="s">
        <v>6</v>
      </c>
      <c r="AB74" s="304" t="s">
        <v>203</v>
      </c>
      <c r="AC74" s="305"/>
      <c r="AD74" s="306"/>
      <c r="AE74" s="306"/>
      <c r="AF74" s="303" t="s">
        <v>7</v>
      </c>
      <c r="AG74" s="304" t="s">
        <v>204</v>
      </c>
      <c r="AH74" s="305"/>
      <c r="AI74" s="306"/>
      <c r="AJ74" s="306"/>
      <c r="AK74" s="303" t="s">
        <v>8</v>
      </c>
      <c r="AL74" s="304" t="s">
        <v>205</v>
      </c>
      <c r="AM74" s="305"/>
      <c r="AN74" s="306"/>
      <c r="AO74" s="306"/>
      <c r="AP74" s="303" t="s">
        <v>206</v>
      </c>
      <c r="AQ74" s="304" t="s">
        <v>207</v>
      </c>
      <c r="AR74" s="305"/>
      <c r="AS74" s="306"/>
      <c r="AT74" s="306"/>
      <c r="AU74" s="303" t="s">
        <v>9</v>
      </c>
      <c r="AV74" s="304" t="s">
        <v>208</v>
      </c>
      <c r="AW74" s="305"/>
      <c r="AX74" s="306"/>
      <c r="AY74" s="306"/>
      <c r="AZ74" s="303" t="s">
        <v>10</v>
      </c>
      <c r="BA74" s="304" t="s">
        <v>209</v>
      </c>
      <c r="BB74" s="305"/>
      <c r="BC74" s="306"/>
      <c r="BD74" s="306"/>
      <c r="BE74" s="303" t="s">
        <v>11</v>
      </c>
      <c r="BF74" s="304" t="s">
        <v>210</v>
      </c>
      <c r="BG74" s="305"/>
      <c r="BH74" s="306"/>
      <c r="BI74" s="306"/>
      <c r="BJ74" s="303" t="s">
        <v>12</v>
      </c>
      <c r="BK74" s="284" t="s">
        <v>343</v>
      </c>
      <c r="BO74" s="301" t="s">
        <v>212</v>
      </c>
      <c r="BP74" s="283" t="s">
        <v>344</v>
      </c>
      <c r="BQ74" s="283">
        <f>BQ73+N33</f>
        <v>27540</v>
      </c>
      <c r="BR74" s="283">
        <f>BR73+O33</f>
        <v>28883.116666666665</v>
      </c>
      <c r="BS74" s="283">
        <f>BS73+P33</f>
        <v>28883.22</v>
      </c>
      <c r="BT74" s="283">
        <f>BT73+N34</f>
        <v>1089.9000000000001</v>
      </c>
      <c r="BU74" s="283">
        <f>BU73+O34</f>
        <v>1022.5866666666666</v>
      </c>
      <c r="BV74" s="283">
        <f>BV73+P34</f>
        <v>1050.94</v>
      </c>
      <c r="BW74" s="283">
        <f>BW73+N36</f>
        <v>26702.29</v>
      </c>
      <c r="BX74" s="283">
        <f>BX73+O36</f>
        <v>26499.996666666666</v>
      </c>
      <c r="BY74" s="283">
        <f>BY73+P36</f>
        <v>26917.173333333332</v>
      </c>
      <c r="DD74" s="310" t="s">
        <v>235</v>
      </c>
      <c r="DE74" s="310" t="s">
        <v>330</v>
      </c>
      <c r="DF74" s="310" t="s">
        <v>278</v>
      </c>
      <c r="DG74" s="310" t="s">
        <v>238</v>
      </c>
      <c r="DH74" s="283" t="s">
        <v>286</v>
      </c>
      <c r="DI74" s="310" t="s">
        <v>287</v>
      </c>
      <c r="DJ74" s="310" t="s">
        <v>240</v>
      </c>
      <c r="DK74" s="324" t="s">
        <v>241</v>
      </c>
      <c r="DL74" s="324" t="s">
        <v>241</v>
      </c>
      <c r="DM74" s="324" t="s">
        <v>241</v>
      </c>
      <c r="DN74" s="324" t="s">
        <v>241</v>
      </c>
      <c r="DO74" s="324" t="s">
        <v>241</v>
      </c>
      <c r="DP74" s="323">
        <f>D128</f>
        <v>1338.3333333333333</v>
      </c>
      <c r="DQ74" s="323">
        <f>H128</f>
        <v>3792.3866666666668</v>
      </c>
    </row>
    <row r="75" spans="1:122">
      <c r="A75" s="283" t="s">
        <v>1</v>
      </c>
      <c r="C75" s="304" t="s">
        <v>216</v>
      </c>
      <c r="E75" s="306" t="s">
        <v>345</v>
      </c>
      <c r="G75" s="303" t="s">
        <v>218</v>
      </c>
      <c r="H75" s="304" t="s">
        <v>216</v>
      </c>
      <c r="J75" s="306" t="s">
        <v>345</v>
      </c>
      <c r="L75" s="301" t="s">
        <v>218</v>
      </c>
      <c r="M75" s="307" t="s">
        <v>216</v>
      </c>
      <c r="O75" s="306" t="s">
        <v>345</v>
      </c>
      <c r="Q75" s="303" t="s">
        <v>218</v>
      </c>
      <c r="R75" s="304" t="s">
        <v>216</v>
      </c>
      <c r="T75" s="306" t="s">
        <v>345</v>
      </c>
      <c r="V75" s="303" t="s">
        <v>218</v>
      </c>
      <c r="W75" s="304" t="s">
        <v>216</v>
      </c>
      <c r="Y75" s="306" t="s">
        <v>345</v>
      </c>
      <c r="AA75" s="303" t="s">
        <v>218</v>
      </c>
      <c r="AB75" s="304" t="s">
        <v>216</v>
      </c>
      <c r="AD75" s="306" t="s">
        <v>345</v>
      </c>
      <c r="AF75" s="303" t="s">
        <v>218</v>
      </c>
      <c r="AG75" s="304" t="s">
        <v>216</v>
      </c>
      <c r="AI75" s="306" t="s">
        <v>345</v>
      </c>
      <c r="AK75" s="303" t="s">
        <v>218</v>
      </c>
      <c r="AL75" s="304" t="s">
        <v>216</v>
      </c>
      <c r="AN75" s="306" t="s">
        <v>345</v>
      </c>
      <c r="AP75" s="303" t="s">
        <v>218</v>
      </c>
      <c r="AQ75" s="304" t="s">
        <v>216</v>
      </c>
      <c r="AS75" s="306" t="s">
        <v>345</v>
      </c>
      <c r="AT75" s="326"/>
      <c r="AU75" s="303" t="s">
        <v>218</v>
      </c>
      <c r="AV75" s="304" t="s">
        <v>216</v>
      </c>
      <c r="AX75" s="306" t="s">
        <v>345</v>
      </c>
      <c r="AZ75" s="303" t="s">
        <v>218</v>
      </c>
      <c r="BA75" s="304" t="s">
        <v>216</v>
      </c>
      <c r="BC75" s="306" t="s">
        <v>345</v>
      </c>
      <c r="BE75" s="303" t="s">
        <v>218</v>
      </c>
      <c r="BF75" s="304" t="s">
        <v>216</v>
      </c>
      <c r="BH75" s="306" t="s">
        <v>345</v>
      </c>
      <c r="BJ75" s="303" t="s">
        <v>218</v>
      </c>
      <c r="BK75" s="304" t="s">
        <v>216</v>
      </c>
      <c r="BM75" s="306" t="s">
        <v>345</v>
      </c>
      <c r="BO75" s="301" t="s">
        <v>218</v>
      </c>
      <c r="BP75" s="283" t="s">
        <v>346</v>
      </c>
      <c r="BQ75" s="283">
        <f>BQ74+S33</f>
        <v>35720</v>
      </c>
      <c r="BR75" s="283">
        <f>BR74+T33</f>
        <v>37940.116666666669</v>
      </c>
      <c r="BS75" s="283">
        <f>BS74+U33</f>
        <v>39303.823333333334</v>
      </c>
      <c r="BT75" s="283">
        <f>BT74+S34</f>
        <v>1484.3400000000001</v>
      </c>
      <c r="BU75" s="283">
        <f>BU74+T34</f>
        <v>1377.8366666666666</v>
      </c>
      <c r="BV75" s="283">
        <f>BV74+U34</f>
        <v>1397.42</v>
      </c>
      <c r="BW75" s="283">
        <f>BW74+S36</f>
        <v>34995.386666666665</v>
      </c>
      <c r="BX75" s="283">
        <f>BX74+T36</f>
        <v>34303.65</v>
      </c>
      <c r="BY75" s="283">
        <f>BY74+U36</f>
        <v>35500.769999999997</v>
      </c>
      <c r="DJ75" s="310" t="s">
        <v>244</v>
      </c>
      <c r="DK75" s="324" t="s">
        <v>241</v>
      </c>
      <c r="DL75" s="324" t="s">
        <v>241</v>
      </c>
      <c r="DM75" s="324" t="s">
        <v>241</v>
      </c>
      <c r="DN75" s="324" t="s">
        <v>241</v>
      </c>
      <c r="DO75" s="324" t="s">
        <v>241</v>
      </c>
      <c r="DP75" s="323">
        <f>C128</f>
        <v>1341.8892075431838</v>
      </c>
      <c r="DQ75" s="323">
        <f>G128</f>
        <v>3725.4745846611113</v>
      </c>
    </row>
    <row r="76" spans="1:122">
      <c r="A76" s="283" t="s">
        <v>1</v>
      </c>
      <c r="C76" s="284" t="s">
        <v>230</v>
      </c>
      <c r="D76" s="305" t="s">
        <v>218</v>
      </c>
      <c r="E76" s="352" t="s">
        <v>230</v>
      </c>
      <c r="F76" s="352" t="s">
        <v>218</v>
      </c>
      <c r="G76" s="303" t="s">
        <v>55</v>
      </c>
      <c r="H76" s="284" t="s">
        <v>230</v>
      </c>
      <c r="I76" s="305" t="s">
        <v>218</v>
      </c>
      <c r="J76" s="352" t="s">
        <v>230</v>
      </c>
      <c r="K76" s="352" t="s">
        <v>218</v>
      </c>
      <c r="L76" s="301" t="s">
        <v>55</v>
      </c>
      <c r="M76" s="290" t="s">
        <v>230</v>
      </c>
      <c r="N76" s="305" t="s">
        <v>218</v>
      </c>
      <c r="O76" s="352" t="s">
        <v>230</v>
      </c>
      <c r="P76" s="352" t="s">
        <v>218</v>
      </c>
      <c r="Q76" s="303" t="s">
        <v>55</v>
      </c>
      <c r="R76" s="284" t="s">
        <v>230</v>
      </c>
      <c r="S76" s="305" t="s">
        <v>218</v>
      </c>
      <c r="T76" s="352" t="s">
        <v>230</v>
      </c>
      <c r="U76" s="352" t="s">
        <v>218</v>
      </c>
      <c r="V76" s="303" t="s">
        <v>55</v>
      </c>
      <c r="W76" s="284" t="s">
        <v>230</v>
      </c>
      <c r="X76" s="305" t="s">
        <v>218</v>
      </c>
      <c r="Y76" s="352" t="s">
        <v>230</v>
      </c>
      <c r="Z76" s="352" t="s">
        <v>218</v>
      </c>
      <c r="AA76" s="303" t="s">
        <v>55</v>
      </c>
      <c r="AB76" s="284" t="s">
        <v>230</v>
      </c>
      <c r="AC76" s="305" t="s">
        <v>218</v>
      </c>
      <c r="AD76" s="352" t="s">
        <v>230</v>
      </c>
      <c r="AE76" s="352" t="s">
        <v>218</v>
      </c>
      <c r="AF76" s="303" t="s">
        <v>55</v>
      </c>
      <c r="AG76" s="284" t="s">
        <v>230</v>
      </c>
      <c r="AH76" s="305" t="s">
        <v>218</v>
      </c>
      <c r="AI76" s="352" t="s">
        <v>230</v>
      </c>
      <c r="AJ76" s="352" t="s">
        <v>218</v>
      </c>
      <c r="AK76" s="303" t="s">
        <v>55</v>
      </c>
      <c r="AL76" s="284" t="s">
        <v>230</v>
      </c>
      <c r="AM76" s="305" t="s">
        <v>218</v>
      </c>
      <c r="AN76" s="352" t="s">
        <v>230</v>
      </c>
      <c r="AO76" s="352" t="s">
        <v>218</v>
      </c>
      <c r="AP76" s="303" t="s">
        <v>55</v>
      </c>
      <c r="AQ76" s="284" t="s">
        <v>230</v>
      </c>
      <c r="AR76" s="305" t="s">
        <v>218</v>
      </c>
      <c r="AS76" s="352" t="s">
        <v>230</v>
      </c>
      <c r="AT76" s="352" t="s">
        <v>218</v>
      </c>
      <c r="AU76" s="303" t="s">
        <v>55</v>
      </c>
      <c r="AV76" s="284" t="s">
        <v>230</v>
      </c>
      <c r="AW76" s="305" t="s">
        <v>218</v>
      </c>
      <c r="AX76" s="352" t="s">
        <v>230</v>
      </c>
      <c r="AY76" s="352" t="s">
        <v>218</v>
      </c>
      <c r="AZ76" s="303" t="s">
        <v>55</v>
      </c>
      <c r="BA76" s="284" t="s">
        <v>230</v>
      </c>
      <c r="BB76" s="305" t="s">
        <v>218</v>
      </c>
      <c r="BC76" s="352" t="s">
        <v>230</v>
      </c>
      <c r="BD76" s="352" t="s">
        <v>218</v>
      </c>
      <c r="BE76" s="303" t="s">
        <v>55</v>
      </c>
      <c r="BF76" s="284" t="s">
        <v>230</v>
      </c>
      <c r="BG76" s="305" t="s">
        <v>218</v>
      </c>
      <c r="BH76" s="352" t="s">
        <v>230</v>
      </c>
      <c r="BI76" s="352" t="s">
        <v>218</v>
      </c>
      <c r="BJ76" s="303" t="s">
        <v>55</v>
      </c>
      <c r="BK76" s="284" t="s">
        <v>230</v>
      </c>
      <c r="BL76" s="305" t="s">
        <v>218</v>
      </c>
      <c r="BM76" s="352" t="s">
        <v>230</v>
      </c>
      <c r="BN76" s="352" t="s">
        <v>218</v>
      </c>
      <c r="BO76" s="301" t="s">
        <v>55</v>
      </c>
      <c r="BP76" s="283" t="s">
        <v>344</v>
      </c>
      <c r="BQ76" s="283">
        <f>BQ75+X33</f>
        <v>43900</v>
      </c>
      <c r="BR76" s="283">
        <f>BR75+Y33</f>
        <v>44870.996666666666</v>
      </c>
      <c r="BS76" s="283">
        <f>BS75+Z33</f>
        <v>44253.823333333334</v>
      </c>
      <c r="BT76" s="283">
        <f>BT75+X34</f>
        <v>1891.9280000000001</v>
      </c>
      <c r="BU76" s="283">
        <f>BU75+Y34</f>
        <v>1748.2033333333331</v>
      </c>
      <c r="BV76" s="283">
        <f>BV75+Z34</f>
        <v>1780.6833333333334</v>
      </c>
      <c r="BW76" s="283">
        <f>BW75+X36</f>
        <v>43288.48333333333</v>
      </c>
      <c r="BX76" s="283">
        <f>BX75+Y36</f>
        <v>39623.906666666669</v>
      </c>
      <c r="BY76" s="283">
        <f>BY75+Z36</f>
        <v>41600.993333333332</v>
      </c>
      <c r="DD76" s="310" t="s">
        <v>235</v>
      </c>
      <c r="DE76" s="310" t="s">
        <v>330</v>
      </c>
      <c r="DF76" s="310" t="s">
        <v>285</v>
      </c>
      <c r="DG76" s="310" t="s">
        <v>238</v>
      </c>
      <c r="DH76" s="283" t="s">
        <v>305</v>
      </c>
      <c r="DI76" s="310" t="s">
        <v>306</v>
      </c>
      <c r="DJ76" s="310" t="s">
        <v>240</v>
      </c>
      <c r="DK76" s="324" t="s">
        <v>241</v>
      </c>
      <c r="DL76" s="324" t="s">
        <v>241</v>
      </c>
      <c r="DM76" s="324" t="s">
        <v>241</v>
      </c>
      <c r="DN76" s="324" t="s">
        <v>241</v>
      </c>
      <c r="DO76" s="324" t="s">
        <v>241</v>
      </c>
      <c r="DP76" s="323">
        <f>D121</f>
        <v>300</v>
      </c>
      <c r="DQ76" s="323">
        <f>H121</f>
        <v>241.89</v>
      </c>
    </row>
    <row r="77" spans="1:122" s="316" customFormat="1">
      <c r="A77" s="316" t="s">
        <v>1</v>
      </c>
      <c r="B77" s="316" t="s">
        <v>283</v>
      </c>
      <c r="C77" s="353">
        <f>C28+C45</f>
        <v>1769</v>
      </c>
      <c r="D77" s="318">
        <f>D28+D45</f>
        <v>1769</v>
      </c>
      <c r="E77" s="354">
        <f>E28+E45</f>
        <v>640.02</v>
      </c>
      <c r="F77" s="354">
        <f>F28+F45</f>
        <v>640.02</v>
      </c>
      <c r="G77" s="355">
        <f>D77/E100</f>
        <v>1.5261081825797065</v>
      </c>
      <c r="H77" s="353">
        <f>H28+H45</f>
        <v>1375</v>
      </c>
      <c r="I77" s="318">
        <f>I28+I45</f>
        <v>1375</v>
      </c>
      <c r="J77" s="354">
        <f>J28+J45</f>
        <v>497.48</v>
      </c>
      <c r="K77" s="354">
        <f>K28+K45</f>
        <v>497.48</v>
      </c>
      <c r="L77" s="356">
        <f>I77/J100</f>
        <v>1.3121948550509797</v>
      </c>
      <c r="M77" s="357">
        <f>M28+M45</f>
        <v>1705</v>
      </c>
      <c r="N77" s="318">
        <f>N28+N45</f>
        <v>1705</v>
      </c>
      <c r="O77" s="354">
        <f>O28+O45</f>
        <v>615.51</v>
      </c>
      <c r="P77" s="354">
        <f>P28+P45</f>
        <v>615.51</v>
      </c>
      <c r="Q77" s="355">
        <f>N77/O100</f>
        <v>1.5364517546639496</v>
      </c>
      <c r="R77" s="353">
        <f>R28+R45</f>
        <v>1650</v>
      </c>
      <c r="S77" s="318">
        <f>S28+S45</f>
        <v>1650</v>
      </c>
      <c r="T77" s="354">
        <f>T28+T45</f>
        <v>596.97</v>
      </c>
      <c r="U77" s="354">
        <f>U28+U45</f>
        <v>596.97</v>
      </c>
      <c r="V77" s="355">
        <f>S77/T100</f>
        <v>1.4415352612629773</v>
      </c>
      <c r="W77" s="353">
        <f>W28+W45</f>
        <v>1430</v>
      </c>
      <c r="X77" s="318">
        <f>X28+X45</f>
        <v>1430</v>
      </c>
      <c r="Y77" s="354">
        <f>Y28+Y45</f>
        <v>516.52</v>
      </c>
      <c r="Z77" s="354">
        <f>Z28+Z45</f>
        <v>516.52</v>
      </c>
      <c r="AA77" s="355">
        <f>X77/Y100</f>
        <v>1.1447081928019467</v>
      </c>
      <c r="AB77" s="353">
        <f>AB28+AB45</f>
        <v>1375</v>
      </c>
      <c r="AC77" s="318">
        <f>AC28+AC45</f>
        <v>1375</v>
      </c>
      <c r="AD77" s="354">
        <f>AD28+AD45</f>
        <v>496.65</v>
      </c>
      <c r="AE77" s="354">
        <f>AE28+AE45</f>
        <v>496.65</v>
      </c>
      <c r="AF77" s="355">
        <f>AC77/AD100</f>
        <v>1.0233474551147401</v>
      </c>
      <c r="AG77" s="353">
        <f>AG28+AG45</f>
        <v>1320</v>
      </c>
      <c r="AH77" s="318">
        <f>AH28+AH45</f>
        <v>1320</v>
      </c>
      <c r="AI77" s="354">
        <f>AI28+AG45</f>
        <v>462.92</v>
      </c>
      <c r="AJ77" s="354">
        <f>AJ28+AH45</f>
        <v>462.92</v>
      </c>
      <c r="AK77" s="355">
        <f>AH77/AI100</f>
        <v>0.90483965829964186</v>
      </c>
      <c r="AL77" s="353">
        <f>AL28+AL45</f>
        <v>1375</v>
      </c>
      <c r="AM77" s="318">
        <f>AM28+AM45</f>
        <v>1375</v>
      </c>
      <c r="AN77" s="354">
        <f>AN28+AN45</f>
        <v>482.21</v>
      </c>
      <c r="AO77" s="354">
        <f>AO28+AO45</f>
        <v>482.21</v>
      </c>
      <c r="AP77" s="355">
        <f>AM77/AN100</f>
        <v>0.90080823790771392</v>
      </c>
      <c r="AQ77" s="353">
        <f>AQ28+AQ45</f>
        <v>1320</v>
      </c>
      <c r="AR77" s="318">
        <f>AR28+AR45</f>
        <v>1320</v>
      </c>
      <c r="AS77" s="354">
        <f>AS28+AS45</f>
        <v>456.32</v>
      </c>
      <c r="AT77" s="354">
        <f>AT28+AT45</f>
        <v>456.32</v>
      </c>
      <c r="AU77" s="355">
        <f>AR77/AS100</f>
        <v>0.93171406448261274</v>
      </c>
      <c r="AV77" s="353">
        <f>AV28+AV45</f>
        <v>1485</v>
      </c>
      <c r="AW77" s="318">
        <f>AW28+AW45</f>
        <v>1485</v>
      </c>
      <c r="AX77" s="354">
        <f>AX28+AX45</f>
        <v>509.65</v>
      </c>
      <c r="AY77" s="354">
        <f>AY28+AY45</f>
        <v>509.65</v>
      </c>
      <c r="AZ77" s="355">
        <f>AW77/AX100</f>
        <v>1.1881213467935525</v>
      </c>
      <c r="BA77" s="353">
        <f>BA28+BA45</f>
        <v>1155</v>
      </c>
      <c r="BB77" s="318">
        <f>BB28+BB45</f>
        <v>1155</v>
      </c>
      <c r="BC77" s="354">
        <f>BC28+BC45</f>
        <v>396.86</v>
      </c>
      <c r="BD77" s="354">
        <f>BD28+BD45</f>
        <v>396.86</v>
      </c>
      <c r="BE77" s="355">
        <f>BB77/BC100</f>
        <v>1.1078484910879747</v>
      </c>
      <c r="BF77" s="353">
        <f>BF28+BF45</f>
        <v>1800</v>
      </c>
      <c r="BG77" s="318">
        <f>BG28+BG45</f>
        <v>1800</v>
      </c>
      <c r="BH77" s="354">
        <f>BH28+BH45</f>
        <v>615.96</v>
      </c>
      <c r="BI77" s="354">
        <f>BI28+BI45</f>
        <v>615.96</v>
      </c>
      <c r="BJ77" s="355">
        <f>BG77/BH100</f>
        <v>1.7623842578616209</v>
      </c>
      <c r="BK77" s="353">
        <f>SUM(C77+H77+M77+R77+W77+AB77+AG77+AL77+AQ77+AV77+BA77+BF77)</f>
        <v>17759</v>
      </c>
      <c r="BL77" s="318">
        <f>SUM(D77+I77+N77+S77+X77+AC77+AH77+AM77+AR77+AW77+BB77+BG77)</f>
        <v>17759</v>
      </c>
      <c r="BM77" s="354">
        <f>$BM$28+$BM$45</f>
        <v>1571.7674999999997</v>
      </c>
      <c r="BN77" s="354">
        <f>$BN$28+$BN$45</f>
        <v>1571.7674999999997</v>
      </c>
      <c r="BO77" s="356">
        <f>BL77/BM100</f>
        <v>1.3605467887819358</v>
      </c>
      <c r="BP77" s="316" t="s">
        <v>339</v>
      </c>
      <c r="BQ77" s="316">
        <f>BQ76+AC33</f>
        <v>52080</v>
      </c>
      <c r="BR77" s="316">
        <f>BR76+AD33</f>
        <v>53050.996666666666</v>
      </c>
      <c r="BS77" s="316">
        <f>BS76+AE33</f>
        <v>52082.01666666667</v>
      </c>
      <c r="BT77" s="316">
        <f>BT76+AC34</f>
        <v>2338.268</v>
      </c>
      <c r="BU77" s="316">
        <f>BU76+AD34</f>
        <v>2148.0166666666664</v>
      </c>
      <c r="BV77" s="316">
        <f>BV76+AE34</f>
        <v>2187.35</v>
      </c>
      <c r="BW77" s="316">
        <f>BW76+AC36</f>
        <v>52123.48333333333</v>
      </c>
      <c r="BX77" s="316">
        <f>BX76+AD36</f>
        <v>50464.906666666669</v>
      </c>
      <c r="BY77" s="316">
        <f>BY76+AE36</f>
        <v>55602.993333333332</v>
      </c>
      <c r="DJ77" s="321" t="s">
        <v>244</v>
      </c>
      <c r="DK77" s="322" t="s">
        <v>241</v>
      </c>
      <c r="DL77" s="322" t="s">
        <v>241</v>
      </c>
      <c r="DM77" s="322" t="s">
        <v>241</v>
      </c>
      <c r="DN77" s="322" t="s">
        <v>241</v>
      </c>
      <c r="DO77" s="322" t="s">
        <v>241</v>
      </c>
      <c r="DP77" s="319">
        <f>C121</f>
        <v>1084.6029594004069</v>
      </c>
      <c r="DQ77" s="319">
        <f>G121</f>
        <v>870.35405592540667</v>
      </c>
    </row>
    <row r="78" spans="1:122">
      <c r="A78" s="283" t="s">
        <v>1</v>
      </c>
      <c r="B78" s="283" t="s">
        <v>242</v>
      </c>
      <c r="C78" s="284">
        <f>C60+C14</f>
        <v>393184.33460237383</v>
      </c>
      <c r="D78" s="288">
        <f>D60+D14</f>
        <v>439247.33333333337</v>
      </c>
      <c r="E78" s="326">
        <f>E60+E14</f>
        <v>57478.874522699538</v>
      </c>
      <c r="F78" s="326">
        <f>F60+F14</f>
        <v>63760.056666666664</v>
      </c>
      <c r="G78" s="327">
        <f>D78/E100</f>
        <v>378.93665888994684</v>
      </c>
      <c r="H78" s="284">
        <f>H60+H14</f>
        <v>277753.30937709124</v>
      </c>
      <c r="I78" s="288">
        <f>I60+I14</f>
        <v>376646.33333333337</v>
      </c>
      <c r="J78" s="326">
        <f>J60+J14</f>
        <v>40147.659479110014</v>
      </c>
      <c r="K78" s="326">
        <f>K60+K14</f>
        <v>54616.986666666664</v>
      </c>
      <c r="L78" s="328">
        <f>I78/J100</f>
        <v>359.44245874459369</v>
      </c>
      <c r="M78" s="290">
        <f>M60+M14</f>
        <v>326477.70517806639</v>
      </c>
      <c r="N78" s="288">
        <f>N60+N14</f>
        <v>333584.33333333337</v>
      </c>
      <c r="O78" s="326">
        <f>O60+O14</f>
        <v>47437.466651220275</v>
      </c>
      <c r="P78" s="326">
        <f>P60+P14</f>
        <v>48411.503333333327</v>
      </c>
      <c r="Q78" s="327">
        <f>N78/O100</f>
        <v>300.60776204011961</v>
      </c>
      <c r="R78" s="284">
        <f>R60+R14</f>
        <v>327370.38443821319</v>
      </c>
      <c r="S78" s="288">
        <f>S60+S14</f>
        <v>308521</v>
      </c>
      <c r="T78" s="326">
        <f>T60+T14</f>
        <v>47749.602288526905</v>
      </c>
      <c r="U78" s="326">
        <f>U60+U14</f>
        <v>44864.09</v>
      </c>
      <c r="V78" s="327">
        <f>S78/T100</f>
        <v>269.5417577818879</v>
      </c>
      <c r="W78" s="284">
        <f>W60+W14</f>
        <v>340667.58378971135</v>
      </c>
      <c r="X78" s="288">
        <f>X60+X14</f>
        <v>458386.33333333337</v>
      </c>
      <c r="Y78" s="326">
        <f>Y60+Y14</f>
        <v>49259.911531784994</v>
      </c>
      <c r="Z78" s="326">
        <f>Z60+Z14</f>
        <v>67545.846666666665</v>
      </c>
      <c r="AA78" s="327">
        <f>X78/Y100</f>
        <v>366.9360777867908</v>
      </c>
      <c r="AB78" s="284">
        <f>AB60+AB14</f>
        <v>381396.32057842193</v>
      </c>
      <c r="AC78" s="288">
        <f>AC60+AC14</f>
        <v>449454</v>
      </c>
      <c r="AD78" s="326">
        <f>AD60+AD14</f>
        <v>54995.38323933931</v>
      </c>
      <c r="AE78" s="326">
        <f>AE60+AE14</f>
        <v>66357.133333333331</v>
      </c>
      <c r="AF78" s="327">
        <f>AC78/AD100</f>
        <v>334.5073506117385</v>
      </c>
      <c r="AG78" s="284">
        <f>AG60+AG14</f>
        <v>378301.17722024338</v>
      </c>
      <c r="AH78" s="288">
        <f>AH60+AH14</f>
        <v>389906</v>
      </c>
      <c r="AI78" s="326">
        <f>AI60+AI14</f>
        <v>54724.7450373475</v>
      </c>
      <c r="AJ78" s="326">
        <f>AJ60+AJ14</f>
        <v>56037.183333333334</v>
      </c>
      <c r="AK78" s="327">
        <f>AH78/AI100</f>
        <v>267.27455440074255</v>
      </c>
      <c r="AL78" s="284">
        <f>AL60+AL14</f>
        <v>440217.27704394417</v>
      </c>
      <c r="AM78" s="288">
        <f>AM60+AM14</f>
        <v>449328.66666666663</v>
      </c>
      <c r="AN78" s="326">
        <f>AN60+AN14</f>
        <v>63829.757819304104</v>
      </c>
      <c r="AO78" s="326">
        <f>AO60+AO14</f>
        <v>64689.366666666669</v>
      </c>
      <c r="AP78" s="327">
        <f>AM78/AN100</f>
        <v>294.37015597194363</v>
      </c>
      <c r="AQ78" s="284">
        <f>AQ60+AQ14</f>
        <v>377785.90296191612</v>
      </c>
      <c r="AR78" s="288">
        <f>AR60+AR14</f>
        <v>281387</v>
      </c>
      <c r="AS78" s="326">
        <f>AS60+AS14</f>
        <v>54802.999033642154</v>
      </c>
      <c r="AT78" s="326">
        <f>AT60+AT14</f>
        <v>40529.966666666674</v>
      </c>
      <c r="AU78" s="327">
        <f>AR78/AS100</f>
        <v>198.615322320128</v>
      </c>
      <c r="AV78" s="284">
        <f>AV60+AV14</f>
        <v>316525.80775340099</v>
      </c>
      <c r="AW78" s="288">
        <f>AW60+AW14</f>
        <v>273396</v>
      </c>
      <c r="AX78" s="326">
        <f>AX60+AX14</f>
        <v>45887.364455021627</v>
      </c>
      <c r="AY78" s="326">
        <f>AY60+AY14</f>
        <v>39617.020000000004</v>
      </c>
      <c r="AZ78" s="327">
        <f>AW78/AX100</f>
        <v>218.73914055755563</v>
      </c>
      <c r="BA78" s="284">
        <f>BA60+BA14</f>
        <v>271111.50540531246</v>
      </c>
      <c r="BB78" s="288">
        <f>BB60+BB14</f>
        <v>234690.33333333331</v>
      </c>
      <c r="BC78" s="326">
        <f>BC60+BC14</f>
        <v>39223.141947598924</v>
      </c>
      <c r="BD78" s="326">
        <f>BD60+BD14</f>
        <v>33705.493333333332</v>
      </c>
      <c r="BE78" s="327">
        <f>BB78/BC100</f>
        <v>225.1093780573741</v>
      </c>
      <c r="BF78" s="284">
        <f>BF60+BF14</f>
        <v>340397.47288891004</v>
      </c>
      <c r="BG78" s="288">
        <f>BG60+BG14</f>
        <v>460074.33333333331</v>
      </c>
      <c r="BH78" s="326">
        <f>BH60</f>
        <v>29388.765104914502</v>
      </c>
      <c r="BI78" s="326">
        <f>BI60</f>
        <v>40251.67</v>
      </c>
      <c r="BJ78" s="327">
        <f>BG78/BH100</f>
        <v>450.45986806269258</v>
      </c>
      <c r="BK78" s="284">
        <f t="shared" ref="BK78:BK94" si="4">SUM(C78+H78+M78+R78+W78+AB78+AG78+AL78+AQ78+AV78+BA78+BF78)</f>
        <v>4171188.7812376055</v>
      </c>
      <c r="BL78" s="288">
        <f>BL60+BL14</f>
        <v>4454621.666666667</v>
      </c>
      <c r="BM78" s="326">
        <f>$BM$60+$BM$14</f>
        <v>605113.97913682065</v>
      </c>
      <c r="BN78" s="326">
        <f>$BN$60+$BN$14</f>
        <v>645787.25333333341</v>
      </c>
      <c r="BO78" s="328">
        <f>BL78/BM100</f>
        <v>341.27604053278725</v>
      </c>
      <c r="BP78" s="283" t="s">
        <v>339</v>
      </c>
      <c r="BQ78" s="283">
        <f>BQ77+AH33</f>
        <v>63260</v>
      </c>
      <c r="BR78" s="283">
        <f>BR77+AI33</f>
        <v>64230.996666666666</v>
      </c>
      <c r="BS78" s="283">
        <f>BS77+AJ33</f>
        <v>61123.576666666668</v>
      </c>
      <c r="BT78" s="283">
        <f>BT77+AH34</f>
        <v>2853.116</v>
      </c>
      <c r="BU78" s="283">
        <f>BU77+AI34</f>
        <v>2555.6133333333332</v>
      </c>
      <c r="BV78" s="283">
        <f>BV77+AJ34</f>
        <v>2570.6733333333332</v>
      </c>
      <c r="BW78" s="283">
        <f>BW77+AH36</f>
        <v>60958.48333333333</v>
      </c>
      <c r="BX78" s="283">
        <f>BX77+AI36</f>
        <v>67091.75</v>
      </c>
      <c r="BY78" s="283">
        <f>BY77+AJ36</f>
        <v>63994.486666666664</v>
      </c>
      <c r="DD78" s="310" t="s">
        <v>235</v>
      </c>
      <c r="DE78" s="310" t="s">
        <v>330</v>
      </c>
      <c r="DF78" s="310" t="s">
        <v>290</v>
      </c>
      <c r="DG78" s="310" t="s">
        <v>238</v>
      </c>
      <c r="DH78" s="283" t="s">
        <v>301</v>
      </c>
      <c r="DI78" s="310" t="s">
        <v>260</v>
      </c>
      <c r="DJ78" s="310" t="s">
        <v>240</v>
      </c>
      <c r="DK78" s="324" t="s">
        <v>241</v>
      </c>
      <c r="DL78" s="324" t="s">
        <v>241</v>
      </c>
      <c r="DM78" s="324" t="s">
        <v>241</v>
      </c>
      <c r="DN78" s="324" t="s">
        <v>241</v>
      </c>
      <c r="DO78" s="324" t="s">
        <v>241</v>
      </c>
      <c r="DP78" s="323">
        <f>D122</f>
        <v>0</v>
      </c>
      <c r="DQ78" s="323">
        <f>H122</f>
        <v>0</v>
      </c>
    </row>
    <row r="79" spans="1:122" s="316" customFormat="1">
      <c r="A79" s="316" t="s">
        <v>1</v>
      </c>
      <c r="B79" s="316" t="s">
        <v>127</v>
      </c>
      <c r="C79" s="353">
        <v>0</v>
      </c>
      <c r="D79" s="318">
        <v>0</v>
      </c>
      <c r="E79" s="354">
        <v>0</v>
      </c>
      <c r="F79" s="354">
        <v>0</v>
      </c>
      <c r="G79" s="355">
        <f>D79/E100</f>
        <v>0</v>
      </c>
      <c r="H79" s="353">
        <v>0</v>
      </c>
      <c r="I79" s="318">
        <v>0</v>
      </c>
      <c r="J79" s="354">
        <v>0</v>
      </c>
      <c r="K79" s="354">
        <v>0</v>
      </c>
      <c r="L79" s="356">
        <f>I79/J100</f>
        <v>0</v>
      </c>
      <c r="M79" s="357">
        <v>0</v>
      </c>
      <c r="N79" s="318">
        <v>0</v>
      </c>
      <c r="O79" s="354">
        <v>0</v>
      </c>
      <c r="P79" s="354">
        <v>0</v>
      </c>
      <c r="Q79" s="355">
        <f>N79/O100</f>
        <v>0</v>
      </c>
      <c r="R79" s="353">
        <v>0</v>
      </c>
      <c r="S79" s="318">
        <v>0</v>
      </c>
      <c r="T79" s="354">
        <v>0</v>
      </c>
      <c r="U79" s="354">
        <v>0</v>
      </c>
      <c r="V79" s="355">
        <f>S79/T100</f>
        <v>0</v>
      </c>
      <c r="W79" s="353">
        <v>0</v>
      </c>
      <c r="X79" s="318">
        <v>0</v>
      </c>
      <c r="Y79" s="354">
        <v>0</v>
      </c>
      <c r="Z79" s="354">
        <v>0</v>
      </c>
      <c r="AA79" s="355">
        <f>X79/Y100</f>
        <v>0</v>
      </c>
      <c r="AB79" s="353">
        <v>0</v>
      </c>
      <c r="AC79" s="318">
        <v>0</v>
      </c>
      <c r="AD79" s="354">
        <v>0</v>
      </c>
      <c r="AE79" s="354">
        <v>0</v>
      </c>
      <c r="AF79" s="355">
        <f>AC79/AD100</f>
        <v>0</v>
      </c>
      <c r="AG79" s="353">
        <v>0</v>
      </c>
      <c r="AH79" s="318">
        <v>0</v>
      </c>
      <c r="AI79" s="354">
        <v>0</v>
      </c>
      <c r="AJ79" s="354">
        <v>0</v>
      </c>
      <c r="AK79" s="355">
        <f>AH79/AI100</f>
        <v>0</v>
      </c>
      <c r="AL79" s="353">
        <v>0</v>
      </c>
      <c r="AM79" s="318">
        <v>0</v>
      </c>
      <c r="AN79" s="354">
        <v>0</v>
      </c>
      <c r="AO79" s="354">
        <v>0</v>
      </c>
      <c r="AP79" s="355">
        <f>AM79/AN100</f>
        <v>0</v>
      </c>
      <c r="AQ79" s="353">
        <v>0</v>
      </c>
      <c r="AR79" s="318">
        <v>0</v>
      </c>
      <c r="AS79" s="354">
        <v>0</v>
      </c>
      <c r="AT79" s="354">
        <v>0</v>
      </c>
      <c r="AU79" s="355">
        <f>AR79/AS100</f>
        <v>0</v>
      </c>
      <c r="AV79" s="353">
        <v>0</v>
      </c>
      <c r="AW79" s="318">
        <v>0</v>
      </c>
      <c r="AX79" s="354">
        <v>0</v>
      </c>
      <c r="AY79" s="354">
        <v>0</v>
      </c>
      <c r="AZ79" s="355">
        <f>AW79/AX100</f>
        <v>0</v>
      </c>
      <c r="BA79" s="353">
        <v>0</v>
      </c>
      <c r="BB79" s="318">
        <v>0</v>
      </c>
      <c r="BC79" s="354">
        <v>0</v>
      </c>
      <c r="BD79" s="354">
        <v>0</v>
      </c>
      <c r="BE79" s="355">
        <f>BB79/BC100</f>
        <v>0</v>
      </c>
      <c r="BF79" s="353">
        <v>0</v>
      </c>
      <c r="BG79" s="318">
        <v>0</v>
      </c>
      <c r="BH79" s="354">
        <v>0</v>
      </c>
      <c r="BI79" s="354">
        <v>0</v>
      </c>
      <c r="BJ79" s="355">
        <f>BG79/BH100</f>
        <v>0</v>
      </c>
      <c r="BK79" s="353">
        <f t="shared" si="4"/>
        <v>0</v>
      </c>
      <c r="BL79" s="318">
        <f t="shared" ref="BL79:BL94" si="5">SUM(D79+I79+N79+S79+X79+AC79+AH79+AM79+AR79+AW79+BB79+BG79)</f>
        <v>0</v>
      </c>
      <c r="BM79" s="354">
        <v>0</v>
      </c>
      <c r="BN79" s="354">
        <v>0</v>
      </c>
      <c r="BO79" s="356">
        <f>BL79/BM100</f>
        <v>0</v>
      </c>
      <c r="BP79" s="316" t="s">
        <v>346</v>
      </c>
      <c r="BQ79" s="316">
        <f>BQ78+AM33</f>
        <v>71440</v>
      </c>
      <c r="BR79" s="316">
        <f>BR78+AN33</f>
        <v>71558.986666666664</v>
      </c>
      <c r="BS79" s="316">
        <f>BS78+AO33</f>
        <v>66132.846666666665</v>
      </c>
      <c r="BT79" s="316">
        <f>BT78+AM34</f>
        <v>3389.4160000000002</v>
      </c>
      <c r="BU79" s="316">
        <f>BU78+AN34</f>
        <v>2996.8266666666668</v>
      </c>
      <c r="BV79" s="316">
        <f>BV78+AO34</f>
        <v>2983.3999999999996</v>
      </c>
      <c r="BW79" s="316">
        <f>BW78+AM36</f>
        <v>69793.483333333337</v>
      </c>
      <c r="BX79" s="316">
        <f>BX78+AN36</f>
        <v>81790.116666666669</v>
      </c>
      <c r="BY79" s="316">
        <f>BY78+AO36</f>
        <v>72385.98</v>
      </c>
      <c r="DJ79" s="321" t="s">
        <v>244</v>
      </c>
      <c r="DK79" s="322" t="s">
        <v>241</v>
      </c>
      <c r="DL79" s="322" t="s">
        <v>241</v>
      </c>
      <c r="DM79" s="322" t="s">
        <v>241</v>
      </c>
      <c r="DN79" s="322" t="s">
        <v>241</v>
      </c>
      <c r="DO79" s="322" t="s">
        <v>241</v>
      </c>
      <c r="DP79" s="319">
        <f>C122</f>
        <v>0</v>
      </c>
      <c r="DQ79" s="319">
        <f>G122</f>
        <v>0</v>
      </c>
    </row>
    <row r="80" spans="1:122">
      <c r="A80" s="283" t="s">
        <v>1</v>
      </c>
      <c r="B80" s="283" t="s">
        <v>245</v>
      </c>
      <c r="C80" s="284">
        <f>C15</f>
        <v>0</v>
      </c>
      <c r="D80" s="288">
        <f>SUM(D15)</f>
        <v>0</v>
      </c>
      <c r="E80" s="326">
        <f>SUM(E15)</f>
        <v>0</v>
      </c>
      <c r="F80" s="326">
        <f>SUM(F15)</f>
        <v>0</v>
      </c>
      <c r="G80" s="327">
        <f>D80/E100</f>
        <v>0</v>
      </c>
      <c r="H80" s="284">
        <f>SUM(H15)</f>
        <v>0</v>
      </c>
      <c r="I80" s="288">
        <f>SUM(I15)</f>
        <v>0</v>
      </c>
      <c r="J80" s="326">
        <f>SUM(J15)</f>
        <v>0</v>
      </c>
      <c r="K80" s="326">
        <f>SUM(K15)</f>
        <v>0</v>
      </c>
      <c r="L80" s="328">
        <f>I80/J100</f>
        <v>0</v>
      </c>
      <c r="M80" s="290">
        <f>SUM(M15)</f>
        <v>0</v>
      </c>
      <c r="N80" s="288">
        <f>SUM(N15)</f>
        <v>0</v>
      </c>
      <c r="O80" s="326">
        <f>SUM(O15)</f>
        <v>0</v>
      </c>
      <c r="P80" s="326">
        <f>SUM(P15)</f>
        <v>0</v>
      </c>
      <c r="Q80" s="327">
        <f>N80/O100</f>
        <v>0</v>
      </c>
      <c r="R80" s="358">
        <f>SUM(R15)</f>
        <v>0</v>
      </c>
      <c r="S80" s="288">
        <f>SUM(S15)</f>
        <v>0</v>
      </c>
      <c r="T80" s="326">
        <f>SUM(T15)</f>
        <v>0</v>
      </c>
      <c r="U80" s="326">
        <f>U15</f>
        <v>0</v>
      </c>
      <c r="V80" s="327">
        <f>S80/T100</f>
        <v>0</v>
      </c>
      <c r="W80" s="284">
        <f>SUM(W15)</f>
        <v>0</v>
      </c>
      <c r="X80" s="288">
        <f>SUM(X15)</f>
        <v>0</v>
      </c>
      <c r="Y80" s="326">
        <f>Y15</f>
        <v>0</v>
      </c>
      <c r="Z80" s="326">
        <f>Z15</f>
        <v>0</v>
      </c>
      <c r="AA80" s="327">
        <f>X80/Y100</f>
        <v>0</v>
      </c>
      <c r="AB80" s="284">
        <f>SUM(AB15)</f>
        <v>0</v>
      </c>
      <c r="AC80" s="288">
        <f>SUM(AC15)</f>
        <v>0</v>
      </c>
      <c r="AD80" s="326">
        <f>SUM(AD15)</f>
        <v>0</v>
      </c>
      <c r="AE80" s="326">
        <f>SUM(AE15)</f>
        <v>0</v>
      </c>
      <c r="AF80" s="327">
        <f>AC80/AD100</f>
        <v>0</v>
      </c>
      <c r="AG80" s="284">
        <f>SUM(AG15)</f>
        <v>0</v>
      </c>
      <c r="AH80" s="288">
        <f>SUM(AH15)</f>
        <v>0</v>
      </c>
      <c r="AI80" s="326">
        <f>SUM(AI15)</f>
        <v>0</v>
      </c>
      <c r="AJ80" s="326">
        <f>SUM(AJ15)</f>
        <v>0</v>
      </c>
      <c r="AK80" s="327">
        <f>AH80/AI100</f>
        <v>0</v>
      </c>
      <c r="AL80" s="284">
        <f>SUM(AL15)</f>
        <v>0</v>
      </c>
      <c r="AM80" s="288">
        <f>SUM(AM15)</f>
        <v>0</v>
      </c>
      <c r="AN80" s="326">
        <f>SUM(AN15)</f>
        <v>0</v>
      </c>
      <c r="AO80" s="326">
        <f>SUM(AO15)</f>
        <v>0</v>
      </c>
      <c r="AP80" s="327">
        <f>AM80/AN100</f>
        <v>0</v>
      </c>
      <c r="AQ80" s="284">
        <f>SUM(AQ15)</f>
        <v>0</v>
      </c>
      <c r="AR80" s="288">
        <f>SUM(AR15)</f>
        <v>0</v>
      </c>
      <c r="AS80" s="326">
        <f>SUM(AS15)</f>
        <v>0</v>
      </c>
      <c r="AT80" s="326">
        <f>SUM(AT15)</f>
        <v>0</v>
      </c>
      <c r="AU80" s="327">
        <f>AR80/AS100</f>
        <v>0</v>
      </c>
      <c r="AV80" s="284">
        <f>SUM(AV15)</f>
        <v>0</v>
      </c>
      <c r="AW80" s="288">
        <f>SUM(AW15)</f>
        <v>0</v>
      </c>
      <c r="AX80" s="326">
        <f>SUM(AX15)</f>
        <v>0</v>
      </c>
      <c r="AY80" s="326">
        <f>SUM(AY15)</f>
        <v>0</v>
      </c>
      <c r="AZ80" s="327">
        <f>AW80/AX100</f>
        <v>0</v>
      </c>
      <c r="BA80" s="284">
        <f>SUM(BA15)</f>
        <v>0</v>
      </c>
      <c r="BB80" s="288">
        <f>SUM(BB15)</f>
        <v>0</v>
      </c>
      <c r="BC80" s="326">
        <f>SUM(BC15)</f>
        <v>0</v>
      </c>
      <c r="BD80" s="326">
        <f>SUM(BD15)</f>
        <v>0</v>
      </c>
      <c r="BE80" s="327">
        <f>BB80/BC100</f>
        <v>0</v>
      </c>
      <c r="BF80" s="284">
        <f>SUM(BF15)</f>
        <v>0</v>
      </c>
      <c r="BG80" s="288">
        <f>SUM(BG15)</f>
        <v>0</v>
      </c>
      <c r="BH80" s="326">
        <f>SUM(BH15)</f>
        <v>0</v>
      </c>
      <c r="BI80" s="326">
        <f>SUM(BI15)</f>
        <v>0</v>
      </c>
      <c r="BJ80" s="327">
        <f>BG80/BH100</f>
        <v>0</v>
      </c>
      <c r="BK80" s="284">
        <f t="shared" si="4"/>
        <v>0</v>
      </c>
      <c r="BL80" s="288">
        <f t="shared" si="5"/>
        <v>0</v>
      </c>
      <c r="BM80" s="326">
        <f>$BM$15</f>
        <v>0</v>
      </c>
      <c r="BN80" s="326">
        <f>$BN$15</f>
        <v>0</v>
      </c>
      <c r="BO80" s="328">
        <f>BL80/BM100</f>
        <v>0</v>
      </c>
      <c r="BP80" s="283" t="s">
        <v>347</v>
      </c>
      <c r="BQ80" s="283">
        <f>BQ79+AR33</f>
        <v>79620</v>
      </c>
      <c r="BR80" s="283">
        <f>BR79+AS33</f>
        <v>75178.539999999994</v>
      </c>
      <c r="BS80" s="283">
        <f>BS79+AT33</f>
        <v>67472.176666666666</v>
      </c>
      <c r="BT80" s="283">
        <f>BT79+AR34</f>
        <v>3918.7960000000003</v>
      </c>
      <c r="BU80" s="283">
        <f>BU79+AS34</f>
        <v>3389.32</v>
      </c>
      <c r="BV80" s="283">
        <f>BV79+AT34</f>
        <v>3371.9533333333329</v>
      </c>
      <c r="BW80" s="283">
        <f>BW79+AR36</f>
        <v>78628.483333333337</v>
      </c>
      <c r="BX80" s="283">
        <f>BX79+AS36</f>
        <v>76786.516666666663</v>
      </c>
      <c r="BY80" s="283">
        <f>BY79+AT36</f>
        <v>61593.579999999994</v>
      </c>
      <c r="DD80" s="310" t="s">
        <v>235</v>
      </c>
      <c r="DE80" s="310" t="s">
        <v>330</v>
      </c>
      <c r="DF80" s="310" t="s">
        <v>309</v>
      </c>
      <c r="DG80" s="310" t="s">
        <v>238</v>
      </c>
      <c r="DH80" s="283" t="s">
        <v>308</v>
      </c>
      <c r="DI80" s="310" t="s">
        <v>290</v>
      </c>
      <c r="DJ80" s="310" t="s">
        <v>240</v>
      </c>
      <c r="DK80" s="324" t="s">
        <v>241</v>
      </c>
      <c r="DL80" s="324" t="s">
        <v>241</v>
      </c>
      <c r="DM80" s="324" t="s">
        <v>241</v>
      </c>
      <c r="DN80" s="324" t="s">
        <v>241</v>
      </c>
      <c r="DO80" s="324" t="s">
        <v>241</v>
      </c>
      <c r="DP80" s="323">
        <f>D126</f>
        <v>4008.6666666666665</v>
      </c>
      <c r="DQ80" s="323">
        <f>H126</f>
        <v>1700.5433333333333</v>
      </c>
      <c r="DR80" s="283" t="s">
        <v>1</v>
      </c>
    </row>
    <row r="81" spans="1:122" s="316" customFormat="1">
      <c r="A81" s="316" t="s">
        <v>1</v>
      </c>
      <c r="B81" s="316" t="s">
        <v>61</v>
      </c>
      <c r="C81" s="353">
        <f t="shared" ref="C81:F85" si="6">SUM(C16+C48)</f>
        <v>64061.00305834855</v>
      </c>
      <c r="D81" s="318">
        <f t="shared" si="6"/>
        <v>59730.333333333328</v>
      </c>
      <c r="E81" s="354">
        <f t="shared" si="6"/>
        <v>14447.789381821127</v>
      </c>
      <c r="F81" s="354">
        <f t="shared" si="6"/>
        <v>12542.259999999998</v>
      </c>
      <c r="G81" s="355">
        <f>D81/E100</f>
        <v>51.529084481748669</v>
      </c>
      <c r="H81" s="353">
        <f t="shared" ref="H81:K85" si="7">SUM(H16+H48)</f>
        <v>50975.302299197152</v>
      </c>
      <c r="I81" s="318">
        <f t="shared" si="7"/>
        <v>55712.666666666672</v>
      </c>
      <c r="J81" s="354">
        <f t="shared" si="7"/>
        <v>11597.075830023377</v>
      </c>
      <c r="K81" s="354">
        <f t="shared" si="7"/>
        <v>11581.983333333334</v>
      </c>
      <c r="L81" s="356">
        <f>I81/J100</f>
        <v>53.16790877176016</v>
      </c>
      <c r="M81" s="357">
        <f t="shared" ref="M81:P85" si="8">SUM(M16+M48)</f>
        <v>57796.612620367276</v>
      </c>
      <c r="N81" s="318">
        <f t="shared" si="8"/>
        <v>59352.333333333328</v>
      </c>
      <c r="O81" s="354">
        <f t="shared" si="8"/>
        <v>13095.935282135048</v>
      </c>
      <c r="P81" s="354">
        <f t="shared" si="8"/>
        <v>12414.773333333334</v>
      </c>
      <c r="Q81" s="355">
        <f>N81/O100</f>
        <v>53.485042048914735</v>
      </c>
      <c r="R81" s="359">
        <f>SUM(R16+R48)</f>
        <v>62370.150949988121</v>
      </c>
      <c r="S81" s="318">
        <f>SUM(S48+S16)</f>
        <v>61427</v>
      </c>
      <c r="T81" s="354">
        <f t="shared" ref="T81:U85" si="9">SUM(T16+T48)</f>
        <v>14098.132674375462</v>
      </c>
      <c r="U81" s="354">
        <f t="shared" si="9"/>
        <v>12942.739999999998</v>
      </c>
      <c r="V81" s="355">
        <f>S81/T100</f>
        <v>53.666173632485396</v>
      </c>
      <c r="W81" s="353">
        <f t="shared" ref="W81:Z85" si="10">SUM(W16+W48)</f>
        <v>70975.502832984115</v>
      </c>
      <c r="X81" s="318">
        <f t="shared" si="10"/>
        <v>66988.333333333343</v>
      </c>
      <c r="Y81" s="354">
        <f t="shared" si="10"/>
        <v>16052.086073677339</v>
      </c>
      <c r="Z81" s="354">
        <f t="shared" si="10"/>
        <v>14121.07</v>
      </c>
      <c r="AA81" s="355">
        <f>X81/Y100</f>
        <v>53.623841950219877</v>
      </c>
      <c r="AB81" s="353">
        <f t="shared" ref="AB81:AE85" si="11">SUM(AB16+AB48)</f>
        <v>86131.004496203372</v>
      </c>
      <c r="AC81" s="318">
        <f t="shared" si="11"/>
        <v>85738</v>
      </c>
      <c r="AD81" s="354">
        <f t="shared" si="11"/>
        <v>19397.956993980286</v>
      </c>
      <c r="AE81" s="354">
        <f t="shared" si="11"/>
        <v>17986.34</v>
      </c>
      <c r="AF81" s="355">
        <f>AC81/AD100</f>
        <v>63.810737532092794</v>
      </c>
      <c r="AG81" s="353">
        <f t="shared" ref="AG81:AJ85" si="12">SUM(AG16+AG48)</f>
        <v>106467.70335040195</v>
      </c>
      <c r="AH81" s="318">
        <f t="shared" si="12"/>
        <v>95041</v>
      </c>
      <c r="AI81" s="354">
        <f t="shared" si="12"/>
        <v>24066.797531900949</v>
      </c>
      <c r="AJ81" s="354">
        <f t="shared" si="12"/>
        <v>20014.546666666669</v>
      </c>
      <c r="AK81" s="355">
        <f>AH81/AI100</f>
        <v>65.149140882163834</v>
      </c>
      <c r="AL81" s="353">
        <f t="shared" ref="AL81:AO85" si="13">SUM(AL16+AL48)</f>
        <v>114707.85340761638</v>
      </c>
      <c r="AM81" s="318">
        <f t="shared" si="13"/>
        <v>97925</v>
      </c>
      <c r="AN81" s="354">
        <f t="shared" si="13"/>
        <v>25930.306767912341</v>
      </c>
      <c r="AO81" s="354">
        <f t="shared" si="13"/>
        <v>20584.150000000001</v>
      </c>
      <c r="AP81" s="355">
        <f>AM81/AN100</f>
        <v>64.153924870627549</v>
      </c>
      <c r="AQ81" s="353">
        <f t="shared" ref="AQ81:AT85" si="14">SUM(AQ16+AQ48)</f>
        <v>97735.67412217411</v>
      </c>
      <c r="AR81" s="318">
        <f t="shared" si="14"/>
        <v>85906.333333333328</v>
      </c>
      <c r="AS81" s="354">
        <f t="shared" si="14"/>
        <v>22152.39615072485</v>
      </c>
      <c r="AT81" s="354">
        <f t="shared" si="14"/>
        <v>17968.809999999998</v>
      </c>
      <c r="AU81" s="355">
        <f>AR81/AS100</f>
        <v>60.636468935453152</v>
      </c>
      <c r="AV81" s="353">
        <f t="shared" ref="AV81:AY85" si="15">SUM(AV16+AV48)</f>
        <v>83576.113740812754</v>
      </c>
      <c r="AW81" s="318">
        <f t="shared" si="15"/>
        <v>76054.666666666672</v>
      </c>
      <c r="AX81" s="354">
        <f t="shared" si="15"/>
        <v>18834.468588668158</v>
      </c>
      <c r="AY81" s="354">
        <f t="shared" si="15"/>
        <v>15590.016666666666</v>
      </c>
      <c r="AZ81" s="355">
        <f>AW81/AX100</f>
        <v>60.849948141370177</v>
      </c>
      <c r="BA81" s="353">
        <f t="shared" ref="BA81:BD85" si="16">SUM(BA16+BA48)</f>
        <v>66150.888401469128</v>
      </c>
      <c r="BB81" s="318">
        <f t="shared" si="16"/>
        <v>58834.666666666664</v>
      </c>
      <c r="BC81" s="354">
        <f t="shared" si="16"/>
        <v>14901.461753723663</v>
      </c>
      <c r="BD81" s="354">
        <f t="shared" si="16"/>
        <v>12153.77</v>
      </c>
      <c r="BE81" s="355">
        <f>BB81/BC100</f>
        <v>56.432810987299241</v>
      </c>
      <c r="BF81" s="353">
        <f t="shared" ref="BF81:BI85" si="17">SUM(BF16+BF48)</f>
        <v>55225.591916941667</v>
      </c>
      <c r="BG81" s="318">
        <f t="shared" si="17"/>
        <v>55284.333333333336</v>
      </c>
      <c r="BH81" s="354">
        <f t="shared" si="17"/>
        <v>12452.535253365897</v>
      </c>
      <c r="BI81" s="354">
        <f t="shared" si="17"/>
        <v>11503.68</v>
      </c>
      <c r="BJ81" s="355">
        <f>BG81/BH100</f>
        <v>54.129021540578414</v>
      </c>
      <c r="BK81" s="353">
        <f t="shared" si="4"/>
        <v>916173.40119650459</v>
      </c>
      <c r="BL81" s="318">
        <f t="shared" si="5"/>
        <v>857994.66666666663</v>
      </c>
      <c r="BM81" s="354">
        <f>$BM$16+$BM$48</f>
        <v>207026.9422823085</v>
      </c>
      <c r="BN81" s="354">
        <f>$BN$16+$BN$48</f>
        <v>179404.14</v>
      </c>
      <c r="BO81" s="356">
        <f>BL81/BM100</f>
        <v>65.732411088764053</v>
      </c>
      <c r="BP81" s="316" t="s">
        <v>348</v>
      </c>
      <c r="BQ81" s="316">
        <f>BQ80+AW33</f>
        <v>87800</v>
      </c>
      <c r="BR81" s="316">
        <f>BR80+AX33</f>
        <v>73862.073333333334</v>
      </c>
      <c r="BS81" s="316">
        <f>BS80+AY33</f>
        <v>61407.476666666669</v>
      </c>
      <c r="BT81" s="316">
        <f>BT80+AW34</f>
        <v>4358.5619999999999</v>
      </c>
      <c r="BU81" s="316">
        <f>BU80+AX34</f>
        <v>3793.2466666666669</v>
      </c>
      <c r="BV81" s="316">
        <f>BV80+AY34</f>
        <v>3827.7833333333328</v>
      </c>
      <c r="BW81" s="316">
        <f>BW80+AW36</f>
        <v>87463.483333333337</v>
      </c>
      <c r="BX81" s="316">
        <f>BX80+AX36</f>
        <v>88007.493333333332</v>
      </c>
      <c r="BY81" s="316">
        <f>BY80+AY36</f>
        <v>71265.579999999987</v>
      </c>
      <c r="DJ81" s="321" t="s">
        <v>244</v>
      </c>
      <c r="DK81" s="322" t="s">
        <v>241</v>
      </c>
      <c r="DL81" s="322" t="s">
        <v>241</v>
      </c>
      <c r="DM81" s="322" t="s">
        <v>241</v>
      </c>
      <c r="DN81" s="322" t="s">
        <v>241</v>
      </c>
      <c r="DO81" s="322" t="s">
        <v>241</v>
      </c>
      <c r="DP81" s="319">
        <f>C126</f>
        <v>2673.66859714167</v>
      </c>
      <c r="DQ81" s="319">
        <f>G126</f>
        <v>1817.6181274570351</v>
      </c>
      <c r="DR81" s="316" t="s">
        <v>1</v>
      </c>
    </row>
    <row r="82" spans="1:122">
      <c r="A82" s="283" t="s">
        <v>1</v>
      </c>
      <c r="B82" s="283" t="s">
        <v>66</v>
      </c>
      <c r="C82" s="284">
        <f t="shared" si="6"/>
        <v>45792.693466424942</v>
      </c>
      <c r="D82" s="288">
        <f t="shared" si="6"/>
        <v>47088.333333333328</v>
      </c>
      <c r="E82" s="326">
        <f t="shared" si="6"/>
        <v>12643.765277382336</v>
      </c>
      <c r="F82" s="326">
        <f t="shared" si="6"/>
        <v>11228.896666666667</v>
      </c>
      <c r="G82" s="327">
        <f>D82/E100</f>
        <v>40.622889092165479</v>
      </c>
      <c r="H82" s="284">
        <f t="shared" si="7"/>
        <v>39892.914844556261</v>
      </c>
      <c r="I82" s="288">
        <f t="shared" si="7"/>
        <v>44087.666666666672</v>
      </c>
      <c r="J82" s="326">
        <f t="shared" si="7"/>
        <v>10887.823843092594</v>
      </c>
      <c r="K82" s="326">
        <f t="shared" si="7"/>
        <v>11130.77</v>
      </c>
      <c r="L82" s="328">
        <f>I82/J100</f>
        <v>42.073897724510971</v>
      </c>
      <c r="M82" s="290">
        <f t="shared" si="8"/>
        <v>44833.994598037447</v>
      </c>
      <c r="N82" s="288">
        <f t="shared" si="8"/>
        <v>45247.666666666672</v>
      </c>
      <c r="O82" s="326">
        <f t="shared" si="8"/>
        <v>12417.160740769432</v>
      </c>
      <c r="P82" s="326">
        <f t="shared" si="8"/>
        <v>11878.140000000001</v>
      </c>
      <c r="Q82" s="327">
        <f>N82/O100</f>
        <v>40.774696096451329</v>
      </c>
      <c r="R82" s="358">
        <f>SUM(R17+R49)</f>
        <v>44148.065776065829</v>
      </c>
      <c r="S82" s="288">
        <f>SUM(S49+S17)</f>
        <v>47473.333333333336</v>
      </c>
      <c r="T82" s="326">
        <f t="shared" si="9"/>
        <v>12139.791435416621</v>
      </c>
      <c r="U82" s="326">
        <f t="shared" si="9"/>
        <v>12720.916666666666</v>
      </c>
      <c r="V82" s="327">
        <f>S82/T100</f>
        <v>41.475444830115805</v>
      </c>
      <c r="W82" s="284">
        <f t="shared" si="10"/>
        <v>51511.245044620344</v>
      </c>
      <c r="X82" s="288">
        <f t="shared" si="10"/>
        <v>54213</v>
      </c>
      <c r="Y82" s="326">
        <f t="shared" si="10"/>
        <v>14303.734749386516</v>
      </c>
      <c r="Z82" s="326">
        <f t="shared" si="10"/>
        <v>14719.580000000002</v>
      </c>
      <c r="AA82" s="327">
        <f>X82/Y100</f>
        <v>43.397248431029332</v>
      </c>
      <c r="AB82" s="284">
        <f t="shared" si="11"/>
        <v>56406.190827645274</v>
      </c>
      <c r="AC82" s="288">
        <f t="shared" si="11"/>
        <v>57006.543333333335</v>
      </c>
      <c r="AD82" s="326">
        <f t="shared" si="11"/>
        <v>15681.326278712426</v>
      </c>
      <c r="AE82" s="326">
        <f t="shared" si="11"/>
        <v>17005.133333333331</v>
      </c>
      <c r="AF82" s="327">
        <f>AC82/AD100</f>
        <v>42.427273487312597</v>
      </c>
      <c r="AG82" s="284">
        <f t="shared" si="12"/>
        <v>65443.736046237449</v>
      </c>
      <c r="AH82" s="288">
        <f t="shared" si="12"/>
        <v>64561.333333333328</v>
      </c>
      <c r="AI82" s="326">
        <f t="shared" si="12"/>
        <v>17909.583488949425</v>
      </c>
      <c r="AJ82" s="326">
        <f t="shared" si="12"/>
        <v>17541.623333333333</v>
      </c>
      <c r="AK82" s="327">
        <f>AH82/AI100</f>
        <v>44.255799085380758</v>
      </c>
      <c r="AL82" s="284">
        <f t="shared" si="13"/>
        <v>64136.446857850664</v>
      </c>
      <c r="AM82" s="288">
        <f t="shared" si="13"/>
        <v>66151.666666666672</v>
      </c>
      <c r="AN82" s="326">
        <f t="shared" si="13"/>
        <v>17492.582382420755</v>
      </c>
      <c r="AO82" s="326">
        <f t="shared" si="13"/>
        <v>17965.793333333331</v>
      </c>
      <c r="AP82" s="327">
        <f>AM82/AN100</f>
        <v>43.338157297933428</v>
      </c>
      <c r="AQ82" s="284">
        <f t="shared" si="14"/>
        <v>60022.940495193092</v>
      </c>
      <c r="AR82" s="288">
        <f t="shared" si="14"/>
        <v>59724</v>
      </c>
      <c r="AS82" s="326">
        <f t="shared" si="14"/>
        <v>16169.492014798871</v>
      </c>
      <c r="AT82" s="326">
        <f t="shared" si="14"/>
        <v>16438.740000000002</v>
      </c>
      <c r="AU82" s="327">
        <f>AR82/AS100</f>
        <v>42.155826353908765</v>
      </c>
      <c r="AV82" s="284">
        <f t="shared" si="15"/>
        <v>54592.646578892658</v>
      </c>
      <c r="AW82" s="288">
        <f t="shared" si="15"/>
        <v>51403.333333333336</v>
      </c>
      <c r="AX82" s="326">
        <f t="shared" si="15"/>
        <v>14608.546525831545</v>
      </c>
      <c r="AY82" s="326">
        <f t="shared" si="15"/>
        <v>13952.84</v>
      </c>
      <c r="AZ82" s="327">
        <f>AW82/AX100</f>
        <v>41.126867090692201</v>
      </c>
      <c r="BA82" s="284">
        <f t="shared" si="16"/>
        <v>45156.059085515139</v>
      </c>
      <c r="BB82" s="288">
        <f t="shared" si="16"/>
        <v>46435</v>
      </c>
      <c r="BC82" s="326">
        <f t="shared" si="16"/>
        <v>12046.173987909349</v>
      </c>
      <c r="BD82" s="326">
        <f t="shared" si="16"/>
        <v>12802.676666666668</v>
      </c>
      <c r="BE82" s="327">
        <f>BB82/BC100</f>
        <v>44.539346046467621</v>
      </c>
      <c r="BF82" s="284">
        <f t="shared" si="17"/>
        <v>40908.14390771903</v>
      </c>
      <c r="BG82" s="288">
        <f t="shared" si="17"/>
        <v>43348.333333333336</v>
      </c>
      <c r="BH82" s="326">
        <f t="shared" si="17"/>
        <v>10852.65348076679</v>
      </c>
      <c r="BI82" s="326">
        <f t="shared" si="17"/>
        <v>11841.24</v>
      </c>
      <c r="BJ82" s="327">
        <f>BG82/BH100</f>
        <v>42.442455706224905</v>
      </c>
      <c r="BK82" s="284">
        <f t="shared" si="4"/>
        <v>612845.07752875797</v>
      </c>
      <c r="BL82" s="288">
        <f t="shared" si="5"/>
        <v>626740.21000000008</v>
      </c>
      <c r="BM82" s="326">
        <f>$BM$17+$BM$49</f>
        <v>167152.63420543665</v>
      </c>
      <c r="BN82" s="326">
        <f>$BN$17+$BN$49</f>
        <v>169226.35</v>
      </c>
      <c r="BO82" s="328">
        <f>BL82/BM100</f>
        <v>48.015619129231162</v>
      </c>
      <c r="BP82" s="283" t="s">
        <v>349</v>
      </c>
      <c r="BQ82" s="283">
        <f>BQ81+BB33</f>
        <v>95980</v>
      </c>
      <c r="BR82" s="283">
        <f>BR81+BC33</f>
        <v>78052.5</v>
      </c>
      <c r="BS82" s="283">
        <f>BS81+BD33</f>
        <v>63603.116666666669</v>
      </c>
      <c r="BT82" s="283">
        <f>BT81+BB34</f>
        <v>4721.8620000000001</v>
      </c>
      <c r="BU82" s="283">
        <f>BU81+BC34</f>
        <v>4142.8066666666673</v>
      </c>
      <c r="BV82" s="283">
        <f>BV81+BD34</f>
        <v>4148.58</v>
      </c>
      <c r="BW82" s="283">
        <f>BW81+BB36</f>
        <v>96298.483333333337</v>
      </c>
      <c r="BX82" s="283">
        <f>BX81+BC36</f>
        <v>97379.706666666665</v>
      </c>
      <c r="BY82" s="283">
        <f>BY81+BD36</f>
        <v>80100.579999999987</v>
      </c>
      <c r="DD82" s="310" t="s">
        <v>235</v>
      </c>
      <c r="DE82" s="310" t="s">
        <v>330</v>
      </c>
      <c r="DF82" s="310" t="s">
        <v>300</v>
      </c>
      <c r="DG82" s="310" t="s">
        <v>238</v>
      </c>
      <c r="DH82" s="283" t="s">
        <v>250</v>
      </c>
      <c r="DI82" s="310" t="s">
        <v>251</v>
      </c>
      <c r="DJ82" s="310" t="s">
        <v>240</v>
      </c>
      <c r="DK82" s="324" t="s">
        <v>241</v>
      </c>
      <c r="DL82" s="324" t="s">
        <v>241</v>
      </c>
      <c r="DM82" s="324" t="s">
        <v>241</v>
      </c>
      <c r="DN82" s="324" t="s">
        <v>241</v>
      </c>
      <c r="DO82" s="324" t="s">
        <v>241</v>
      </c>
      <c r="DP82" s="323">
        <f>D127</f>
        <v>0</v>
      </c>
      <c r="DQ82" s="323">
        <f>H127</f>
        <v>0</v>
      </c>
    </row>
    <row r="83" spans="1:122" s="316" customFormat="1">
      <c r="A83" s="316" t="s">
        <v>1</v>
      </c>
      <c r="B83" s="316" t="s">
        <v>257</v>
      </c>
      <c r="C83" s="353">
        <f t="shared" si="6"/>
        <v>1482.6837121686551</v>
      </c>
      <c r="D83" s="318">
        <f t="shared" si="6"/>
        <v>501</v>
      </c>
      <c r="E83" s="354">
        <f t="shared" si="6"/>
        <v>962.58460286095124</v>
      </c>
      <c r="F83" s="354">
        <f t="shared" si="6"/>
        <v>361.33000000000004</v>
      </c>
      <c r="G83" s="355">
        <f>D83/E100</f>
        <v>0.43221040105846975</v>
      </c>
      <c r="H83" s="353">
        <f t="shared" si="7"/>
        <v>1101.6588649158925</v>
      </c>
      <c r="I83" s="318">
        <f t="shared" si="7"/>
        <v>1308.3333333333333</v>
      </c>
      <c r="J83" s="354">
        <f t="shared" si="7"/>
        <v>718.75962121568966</v>
      </c>
      <c r="K83" s="354">
        <f t="shared" si="7"/>
        <v>1095.71</v>
      </c>
      <c r="L83" s="356">
        <f>I83/J100</f>
        <v>1.2485732863212351</v>
      </c>
      <c r="M83" s="357">
        <f t="shared" si="8"/>
        <v>1340.7420476446077</v>
      </c>
      <c r="N83" s="318">
        <f t="shared" si="8"/>
        <v>1266.6666666666667</v>
      </c>
      <c r="O83" s="354">
        <f t="shared" si="8"/>
        <v>903.10668036422533</v>
      </c>
      <c r="P83" s="354">
        <f t="shared" si="8"/>
        <v>1058.3666666666666</v>
      </c>
      <c r="Q83" s="355">
        <f>N83/O100</f>
        <v>1.1414499839145669</v>
      </c>
      <c r="R83" s="359">
        <f>SUM(R18+R50)</f>
        <v>1913.3050764814427</v>
      </c>
      <c r="S83" s="318">
        <f>SUM(S50+S18)</f>
        <v>300</v>
      </c>
      <c r="T83" s="354">
        <f t="shared" si="9"/>
        <v>1561.8804172718194</v>
      </c>
      <c r="U83" s="354">
        <f t="shared" si="9"/>
        <v>241.89</v>
      </c>
      <c r="V83" s="355">
        <f>S83/T100</f>
        <v>0.26209732022963222</v>
      </c>
      <c r="W83" s="353">
        <f t="shared" si="10"/>
        <v>1932.0233224558492</v>
      </c>
      <c r="X83" s="318">
        <f t="shared" si="10"/>
        <v>802.33333333333337</v>
      </c>
      <c r="Y83" s="354">
        <f t="shared" si="10"/>
        <v>1573.2912942782639</v>
      </c>
      <c r="Z83" s="354">
        <f t="shared" si="10"/>
        <v>576.48666666666657</v>
      </c>
      <c r="AA83" s="355">
        <f>X83/Y100</f>
        <v>0.64226401400333011</v>
      </c>
      <c r="AB83" s="353">
        <f t="shared" si="11"/>
        <v>1983.5939498480193</v>
      </c>
      <c r="AC83" s="318">
        <f t="shared" si="11"/>
        <v>1266.6666666666667</v>
      </c>
      <c r="AD83" s="354">
        <f t="shared" si="11"/>
        <v>1347.2214576529609</v>
      </c>
      <c r="AE83" s="354">
        <f t="shared" si="11"/>
        <v>1090.6000000000001</v>
      </c>
      <c r="AF83" s="355">
        <f>AC83/AD100</f>
        <v>0.94272007986327588</v>
      </c>
      <c r="AG83" s="353">
        <f t="shared" si="12"/>
        <v>1676.978125287214</v>
      </c>
      <c r="AH83" s="318">
        <f t="shared" si="12"/>
        <v>528.33333333333337</v>
      </c>
      <c r="AI83" s="354">
        <f t="shared" si="12"/>
        <v>1167.3557862032803</v>
      </c>
      <c r="AJ83" s="354">
        <f t="shared" si="12"/>
        <v>429.2166666666667</v>
      </c>
      <c r="AK83" s="355">
        <f>AH83/AI100</f>
        <v>0.36216435818306375</v>
      </c>
      <c r="AL83" s="353">
        <f t="shared" si="13"/>
        <v>2477.9479012229631</v>
      </c>
      <c r="AM83" s="318">
        <f t="shared" si="13"/>
        <v>0</v>
      </c>
      <c r="AN83" s="354">
        <f t="shared" si="13"/>
        <v>1800.7674494223972</v>
      </c>
      <c r="AO83" s="354">
        <f t="shared" si="13"/>
        <v>0</v>
      </c>
      <c r="AP83" s="355">
        <f>AM83/AN100</f>
        <v>0</v>
      </c>
      <c r="AQ83" s="353">
        <f t="shared" si="14"/>
        <v>14459.905312067307</v>
      </c>
      <c r="AR83" s="318">
        <f t="shared" si="14"/>
        <v>6388.666666666667</v>
      </c>
      <c r="AS83" s="354">
        <f t="shared" si="14"/>
        <v>10244.509517482722</v>
      </c>
      <c r="AT83" s="354">
        <f t="shared" si="14"/>
        <v>4561.45</v>
      </c>
      <c r="AU83" s="355">
        <f>AR83/AS100</f>
        <v>4.5094019595640802</v>
      </c>
      <c r="AV83" s="353">
        <f t="shared" si="15"/>
        <v>10483.121645347161</v>
      </c>
      <c r="AW83" s="318">
        <f t="shared" si="15"/>
        <v>5279</v>
      </c>
      <c r="AX83" s="354">
        <f t="shared" si="15"/>
        <v>7394.7683244626169</v>
      </c>
      <c r="AY83" s="354">
        <f t="shared" si="15"/>
        <v>3715.3533333333335</v>
      </c>
      <c r="AZ83" s="355">
        <f>AW83/AX100</f>
        <v>4.2236313735509521</v>
      </c>
      <c r="BA83" s="353">
        <f t="shared" si="16"/>
        <v>1166.7224359442521</v>
      </c>
      <c r="BB83" s="318">
        <f t="shared" si="16"/>
        <v>43.333333333333336</v>
      </c>
      <c r="BC83" s="354">
        <f t="shared" si="16"/>
        <v>855.48835111606138</v>
      </c>
      <c r="BD83" s="354">
        <f t="shared" si="16"/>
        <v>44.98</v>
      </c>
      <c r="BE83" s="355">
        <f>BB83/BC100</f>
        <v>4.1564301252939889E-2</v>
      </c>
      <c r="BF83" s="353">
        <f t="shared" si="17"/>
        <v>1084.6029594004069</v>
      </c>
      <c r="BG83" s="318">
        <f t="shared" si="17"/>
        <v>300</v>
      </c>
      <c r="BH83" s="354">
        <f t="shared" si="17"/>
        <v>870.35405592540667</v>
      </c>
      <c r="BI83" s="354">
        <f t="shared" si="17"/>
        <v>241.89</v>
      </c>
      <c r="BJ83" s="355">
        <f>BG83/BH100</f>
        <v>0.29373070964360348</v>
      </c>
      <c r="BK83" s="353">
        <f t="shared" si="4"/>
        <v>41103.28535278378</v>
      </c>
      <c r="BL83" s="318">
        <f t="shared" si="5"/>
        <v>17984.333333333332</v>
      </c>
      <c r="BM83" s="354">
        <f>$BM$18+$BM$50</f>
        <v>29400.087558256389</v>
      </c>
      <c r="BN83" s="354">
        <f>$BN$18+$BN$50</f>
        <v>13417.273333333334</v>
      </c>
      <c r="BO83" s="356">
        <f>BL83/BM100</f>
        <v>1.3778099535475306</v>
      </c>
      <c r="BP83" s="316" t="s">
        <v>350</v>
      </c>
      <c r="BQ83" s="316">
        <f>BQ82+BG33</f>
        <v>104160</v>
      </c>
      <c r="BR83" s="316">
        <f>BR82+BH33</f>
        <v>82133.036666666667</v>
      </c>
      <c r="BS83" s="316">
        <f>BS82+BI33</f>
        <v>65815.786666666667</v>
      </c>
      <c r="BT83" s="316">
        <f>BT82+BG34</f>
        <v>5097.2719999999999</v>
      </c>
      <c r="BU83" s="316">
        <f>BU82+BH34</f>
        <v>4482.5533333333342</v>
      </c>
      <c r="BV83" s="316">
        <f>BV82+BI34</f>
        <v>4525.3720000000003</v>
      </c>
      <c r="BW83" s="316">
        <f>BW82+BG36</f>
        <v>105133.48333333334</v>
      </c>
      <c r="BX83" s="316">
        <f>BX82+BH36</f>
        <v>106751.92</v>
      </c>
      <c r="BY83" s="316">
        <f>BY82+BI36</f>
        <v>88935.579999999987</v>
      </c>
      <c r="DJ83" s="321" t="s">
        <v>244</v>
      </c>
      <c r="DK83" s="322" t="s">
        <v>241</v>
      </c>
      <c r="DL83" s="322" t="s">
        <v>241</v>
      </c>
      <c r="DM83" s="322" t="s">
        <v>241</v>
      </c>
      <c r="DN83" s="322" t="s">
        <v>241</v>
      </c>
      <c r="DO83" s="322" t="s">
        <v>241</v>
      </c>
      <c r="DP83" s="319">
        <f>C127</f>
        <v>4875.3916661722023</v>
      </c>
      <c r="DQ83" s="319">
        <f>G127</f>
        <v>1233.210418027131</v>
      </c>
    </row>
    <row r="84" spans="1:122">
      <c r="A84" s="283" t="s">
        <v>1</v>
      </c>
      <c r="B84" s="283" t="s">
        <v>62</v>
      </c>
      <c r="C84" s="284">
        <f t="shared" si="6"/>
        <v>0</v>
      </c>
      <c r="D84" s="288">
        <f t="shared" si="6"/>
        <v>0</v>
      </c>
      <c r="E84" s="326">
        <f t="shared" si="6"/>
        <v>0</v>
      </c>
      <c r="F84" s="326">
        <f t="shared" si="6"/>
        <v>0</v>
      </c>
      <c r="G84" s="327">
        <f>D84/E100</f>
        <v>0</v>
      </c>
      <c r="H84" s="284">
        <f t="shared" si="7"/>
        <v>0</v>
      </c>
      <c r="I84" s="288">
        <f t="shared" si="7"/>
        <v>0</v>
      </c>
      <c r="J84" s="326">
        <f t="shared" si="7"/>
        <v>0</v>
      </c>
      <c r="K84" s="326">
        <f t="shared" si="7"/>
        <v>0</v>
      </c>
      <c r="L84" s="328">
        <f>I84/J100</f>
        <v>0</v>
      </c>
      <c r="M84" s="290">
        <f t="shared" si="8"/>
        <v>6381.8746666666675</v>
      </c>
      <c r="N84" s="288">
        <f t="shared" si="8"/>
        <v>4000</v>
      </c>
      <c r="O84" s="326">
        <f t="shared" si="8"/>
        <v>8942.8518079999994</v>
      </c>
      <c r="P84" s="326">
        <f t="shared" si="8"/>
        <v>5770.8</v>
      </c>
      <c r="Q84" s="327">
        <f>N84/O100</f>
        <v>3.604578896572316</v>
      </c>
      <c r="R84" s="358">
        <f>SUM(R19+R51)</f>
        <v>0</v>
      </c>
      <c r="S84" s="288">
        <f>SUM(S51+S19)</f>
        <v>0</v>
      </c>
      <c r="T84" s="326">
        <f t="shared" si="9"/>
        <v>0</v>
      </c>
      <c r="U84" s="326">
        <f t="shared" si="9"/>
        <v>0</v>
      </c>
      <c r="V84" s="327">
        <f>S84/T100</f>
        <v>0</v>
      </c>
      <c r="W84" s="284">
        <f t="shared" si="10"/>
        <v>6928.9006666666673</v>
      </c>
      <c r="X84" s="288">
        <f t="shared" si="10"/>
        <v>3800</v>
      </c>
      <c r="Y84" s="326">
        <f t="shared" si="10"/>
        <v>9686.8071679999994</v>
      </c>
      <c r="Z84" s="326">
        <f t="shared" si="10"/>
        <v>5677.02</v>
      </c>
      <c r="AA84" s="327">
        <f>X84/Y100</f>
        <v>3.0418819109422364</v>
      </c>
      <c r="AB84" s="284">
        <f t="shared" si="11"/>
        <v>0</v>
      </c>
      <c r="AC84" s="288">
        <f t="shared" si="11"/>
        <v>2000</v>
      </c>
      <c r="AD84" s="326">
        <f t="shared" si="11"/>
        <v>0</v>
      </c>
      <c r="AE84" s="326">
        <f t="shared" si="11"/>
        <v>2885.4</v>
      </c>
      <c r="AF84" s="327">
        <f>AC84/AD100</f>
        <v>1.488505389257804</v>
      </c>
      <c r="AG84" s="284">
        <f t="shared" si="12"/>
        <v>5920.8346666666666</v>
      </c>
      <c r="AH84" s="288">
        <f t="shared" si="12"/>
        <v>4000</v>
      </c>
      <c r="AI84" s="326">
        <f t="shared" si="12"/>
        <v>8323.6114346666673</v>
      </c>
      <c r="AJ84" s="326">
        <f t="shared" si="12"/>
        <v>5985.4000000000005</v>
      </c>
      <c r="AK84" s="327">
        <f>AH84/AI100</f>
        <v>2.7419383584837633</v>
      </c>
      <c r="AL84" s="284">
        <f t="shared" si="13"/>
        <v>0</v>
      </c>
      <c r="AM84" s="288">
        <f t="shared" si="13"/>
        <v>0</v>
      </c>
      <c r="AN84" s="326">
        <f t="shared" si="13"/>
        <v>0</v>
      </c>
      <c r="AO84" s="326">
        <f t="shared" si="13"/>
        <v>0</v>
      </c>
      <c r="AP84" s="327">
        <f>AM84/AN100</f>
        <v>0</v>
      </c>
      <c r="AQ84" s="284">
        <f t="shared" si="14"/>
        <v>6087.913333333333</v>
      </c>
      <c r="AR84" s="288">
        <f t="shared" si="14"/>
        <v>1900</v>
      </c>
      <c r="AS84" s="326">
        <f t="shared" si="14"/>
        <v>8566.7942400000011</v>
      </c>
      <c r="AT84" s="326">
        <f t="shared" si="14"/>
        <v>3121.7000000000003</v>
      </c>
      <c r="AU84" s="327">
        <f>AR84/AS100</f>
        <v>1.3411035776643669</v>
      </c>
      <c r="AV84" s="284">
        <f t="shared" si="15"/>
        <v>0</v>
      </c>
      <c r="AW84" s="288">
        <f t="shared" si="15"/>
        <v>0</v>
      </c>
      <c r="AX84" s="326">
        <f t="shared" si="15"/>
        <v>0</v>
      </c>
      <c r="AY84" s="326">
        <f t="shared" si="15"/>
        <v>0</v>
      </c>
      <c r="AZ84" s="327">
        <f>AW84/AX100</f>
        <v>0</v>
      </c>
      <c r="BA84" s="284">
        <f t="shared" si="16"/>
        <v>6357.6000000000013</v>
      </c>
      <c r="BB84" s="288">
        <f t="shared" si="16"/>
        <v>6100</v>
      </c>
      <c r="BC84" s="326">
        <f t="shared" si="16"/>
        <v>8908.8296000000009</v>
      </c>
      <c r="BD84" s="326">
        <f t="shared" si="16"/>
        <v>9035.0399999999991</v>
      </c>
      <c r="BE84" s="327">
        <f>BB84/BC100</f>
        <v>5.850974714836922</v>
      </c>
      <c r="BF84" s="284">
        <f t="shared" si="17"/>
        <v>0</v>
      </c>
      <c r="BG84" s="288">
        <f t="shared" si="17"/>
        <v>0</v>
      </c>
      <c r="BH84" s="326">
        <f t="shared" si="17"/>
        <v>0</v>
      </c>
      <c r="BI84" s="326">
        <f t="shared" si="17"/>
        <v>0</v>
      </c>
      <c r="BJ84" s="327">
        <f>BG84/BH100</f>
        <v>0</v>
      </c>
      <c r="BK84" s="284">
        <f t="shared" si="4"/>
        <v>31677.123333333337</v>
      </c>
      <c r="BL84" s="288">
        <f t="shared" si="5"/>
        <v>21800</v>
      </c>
      <c r="BM84" s="326">
        <f>$BM$19+$BM$51</f>
        <v>44428.894250666672</v>
      </c>
      <c r="BN84" s="326">
        <f>$BN$19+$BN$51</f>
        <v>32475.360000000004</v>
      </c>
      <c r="BO84" s="328">
        <f>BL84/BM100</f>
        <v>1.6701345793933331</v>
      </c>
      <c r="DD84" s="310" t="s">
        <v>235</v>
      </c>
      <c r="DE84" s="310" t="s">
        <v>330</v>
      </c>
      <c r="DF84" s="310" t="s">
        <v>351</v>
      </c>
      <c r="DG84" s="310" t="s">
        <v>238</v>
      </c>
      <c r="DH84" s="283" t="s">
        <v>295</v>
      </c>
      <c r="DI84" s="310" t="s">
        <v>278</v>
      </c>
      <c r="DJ84" s="310" t="s">
        <v>240</v>
      </c>
      <c r="DK84" s="324" t="s">
        <v>241</v>
      </c>
      <c r="DL84" s="324" t="s">
        <v>241</v>
      </c>
      <c r="DM84" s="324" t="s">
        <v>241</v>
      </c>
      <c r="DN84" s="324" t="s">
        <v>241</v>
      </c>
      <c r="DO84" s="324" t="s">
        <v>241</v>
      </c>
      <c r="DP84" s="323">
        <f>D123</f>
        <v>6276.666666666667</v>
      </c>
      <c r="DQ84" s="323">
        <f>H123</f>
        <v>1834.0966666666666</v>
      </c>
    </row>
    <row r="85" spans="1:122" s="316" customFormat="1">
      <c r="A85" s="316" t="s">
        <v>1</v>
      </c>
      <c r="B85" s="316" t="s">
        <v>262</v>
      </c>
      <c r="C85" s="353">
        <f t="shared" si="6"/>
        <v>21664.55858417432</v>
      </c>
      <c r="D85" s="318">
        <f t="shared" si="6"/>
        <v>24625.333333333332</v>
      </c>
      <c r="E85" s="354">
        <f t="shared" si="6"/>
        <v>7385.7435158038425</v>
      </c>
      <c r="F85" s="354">
        <f t="shared" si="6"/>
        <v>6784.9</v>
      </c>
      <c r="G85" s="355">
        <f>D85/E100</f>
        <v>21.244162068260486</v>
      </c>
      <c r="H85" s="353">
        <f t="shared" si="7"/>
        <v>18805.738890221066</v>
      </c>
      <c r="I85" s="318">
        <f t="shared" si="7"/>
        <v>21192.333333333332</v>
      </c>
      <c r="J85" s="354">
        <f t="shared" si="7"/>
        <v>6310.0758383093689</v>
      </c>
      <c r="K85" s="354">
        <f t="shared" si="7"/>
        <v>6065.6333333333332</v>
      </c>
      <c r="L85" s="356">
        <f>I85/J100</f>
        <v>20.224342375654821</v>
      </c>
      <c r="M85" s="357">
        <f t="shared" si="8"/>
        <v>23052.099709210692</v>
      </c>
      <c r="N85" s="318">
        <f t="shared" si="8"/>
        <v>22021</v>
      </c>
      <c r="O85" s="354">
        <f t="shared" si="8"/>
        <v>7814.926115952785</v>
      </c>
      <c r="P85" s="354">
        <f t="shared" si="8"/>
        <v>6316.293333333334</v>
      </c>
      <c r="Q85" s="355">
        <f>N85/O100</f>
        <v>19.844107970354742</v>
      </c>
      <c r="R85" s="359">
        <f>SUM(R20+R52)</f>
        <v>22649.314764513547</v>
      </c>
      <c r="S85" s="318">
        <f>SUM(S52+S20)</f>
        <v>21549.666666666668</v>
      </c>
      <c r="T85" s="354">
        <f t="shared" si="9"/>
        <v>7697.57036874611</v>
      </c>
      <c r="U85" s="354">
        <f t="shared" si="9"/>
        <v>6184.7166666666662</v>
      </c>
      <c r="V85" s="355">
        <f>S85/T100</f>
        <v>18.827032950583884</v>
      </c>
      <c r="W85" s="353">
        <f t="shared" si="10"/>
        <v>25302.714261465469</v>
      </c>
      <c r="X85" s="318">
        <f t="shared" si="10"/>
        <v>24767</v>
      </c>
      <c r="Y85" s="354">
        <f t="shared" si="10"/>
        <v>8607.2782383536578</v>
      </c>
      <c r="Z85" s="354">
        <f t="shared" si="10"/>
        <v>6938.1433333333334</v>
      </c>
      <c r="AA85" s="355">
        <f>X85/Y100</f>
        <v>19.825865602185885</v>
      </c>
      <c r="AB85" s="353">
        <f t="shared" si="11"/>
        <v>26220.412674973126</v>
      </c>
      <c r="AC85" s="318">
        <f t="shared" si="11"/>
        <v>24311.333333333332</v>
      </c>
      <c r="AD85" s="354">
        <f t="shared" si="11"/>
        <v>8974.4320074118368</v>
      </c>
      <c r="AE85" s="354">
        <f t="shared" si="11"/>
        <v>6884.72</v>
      </c>
      <c r="AF85" s="355">
        <f>AC85/AD100</f>
        <v>18.093775343354778</v>
      </c>
      <c r="AG85" s="353">
        <f t="shared" si="12"/>
        <v>31715.613688910838</v>
      </c>
      <c r="AH85" s="318">
        <f t="shared" si="12"/>
        <v>26791.666666666668</v>
      </c>
      <c r="AI85" s="354">
        <f t="shared" si="12"/>
        <v>10809.407366247313</v>
      </c>
      <c r="AJ85" s="354">
        <f t="shared" si="12"/>
        <v>7642.7300000000005</v>
      </c>
      <c r="AK85" s="355">
        <f>AH85/AI100</f>
        <v>18.365274630261041</v>
      </c>
      <c r="AL85" s="353">
        <f t="shared" si="13"/>
        <v>33410.145334106608</v>
      </c>
      <c r="AM85" s="318">
        <f t="shared" si="13"/>
        <v>30740</v>
      </c>
      <c r="AN85" s="354">
        <f t="shared" si="13"/>
        <v>11314.845670273926</v>
      </c>
      <c r="AO85" s="354">
        <f t="shared" si="13"/>
        <v>8904.5466666666671</v>
      </c>
      <c r="AP85" s="355">
        <f>AM85/AN100</f>
        <v>20.138796533296819</v>
      </c>
      <c r="AQ85" s="353">
        <f t="shared" si="14"/>
        <v>33657.770507801637</v>
      </c>
      <c r="AR85" s="318">
        <f t="shared" si="14"/>
        <v>26844.666666666668</v>
      </c>
      <c r="AS85" s="354">
        <f t="shared" si="14"/>
        <v>11311.939732865303</v>
      </c>
      <c r="AT85" s="354">
        <f t="shared" si="14"/>
        <v>7738.3566666666657</v>
      </c>
      <c r="AU85" s="355">
        <f>AR85/AS100</f>
        <v>18.948146583091603</v>
      </c>
      <c r="AV85" s="353">
        <f t="shared" si="15"/>
        <v>27461.400717625715</v>
      </c>
      <c r="AW85" s="318">
        <f t="shared" si="15"/>
        <v>21534.333333333336</v>
      </c>
      <c r="AX85" s="354">
        <f t="shared" si="15"/>
        <v>9334.0284404592167</v>
      </c>
      <c r="AY85" s="354">
        <f t="shared" si="15"/>
        <v>6269.670000000001</v>
      </c>
      <c r="AZ85" s="355">
        <f>AW85/AX100</f>
        <v>17.229226344984038</v>
      </c>
      <c r="BA85" s="353">
        <f t="shared" si="16"/>
        <v>23201.138119870458</v>
      </c>
      <c r="BB85" s="318">
        <f t="shared" si="16"/>
        <v>22401.666666666668</v>
      </c>
      <c r="BC85" s="354">
        <f t="shared" si="16"/>
        <v>7890.0700393366751</v>
      </c>
      <c r="BD85" s="354">
        <f t="shared" si="16"/>
        <v>6457.1400000000012</v>
      </c>
      <c r="BE85" s="355">
        <f>BB85/BC100</f>
        <v>21.487145120798655</v>
      </c>
      <c r="BF85" s="353">
        <f t="shared" si="17"/>
        <v>19743.836565796282</v>
      </c>
      <c r="BG85" s="318">
        <f t="shared" si="17"/>
        <v>21403</v>
      </c>
      <c r="BH85" s="354">
        <f t="shared" si="17"/>
        <v>6653.0805360260938</v>
      </c>
      <c r="BI85" s="354">
        <f t="shared" si="17"/>
        <v>6225.8533333333326</v>
      </c>
      <c r="BJ85" s="355">
        <f>BG85/BH100</f>
        <v>20.955727928340149</v>
      </c>
      <c r="BK85" s="353">
        <f t="shared" si="4"/>
        <v>306884.74381866981</v>
      </c>
      <c r="BL85" s="318">
        <f t="shared" si="5"/>
        <v>288182</v>
      </c>
      <c r="BM85" s="354">
        <f>$BM$20+$BM$52</f>
        <v>104103.39786978612</v>
      </c>
      <c r="BN85" s="354">
        <f>$BN$20+$BN$52</f>
        <v>82412.703333333324</v>
      </c>
      <c r="BO85" s="356">
        <f>BL85/BM100</f>
        <v>22.078106576088508</v>
      </c>
      <c r="DJ85" s="321" t="s">
        <v>244</v>
      </c>
      <c r="DK85" s="322" t="s">
        <v>241</v>
      </c>
      <c r="DL85" s="322" t="s">
        <v>241</v>
      </c>
      <c r="DM85" s="322" t="s">
        <v>241</v>
      </c>
      <c r="DN85" s="322" t="s">
        <v>241</v>
      </c>
      <c r="DO85" s="322" t="s">
        <v>241</v>
      </c>
      <c r="DP85" s="319">
        <f>C123</f>
        <v>6618.9148259927933</v>
      </c>
      <c r="DQ85" s="319">
        <f>G123</f>
        <v>2291.289581519979</v>
      </c>
    </row>
    <row r="86" spans="1:122">
      <c r="A86" s="283" t="s">
        <v>1</v>
      </c>
      <c r="B86" s="283" t="s">
        <v>326</v>
      </c>
      <c r="C86" s="284">
        <f>C53</f>
        <v>0</v>
      </c>
      <c r="D86" s="288">
        <f>SUM(D53)</f>
        <v>-1497.0900000000001</v>
      </c>
      <c r="E86" s="326">
        <f>SUM(E53)</f>
        <v>0</v>
      </c>
      <c r="F86" s="326">
        <f>SUM(F53)</f>
        <v>-1184.72</v>
      </c>
      <c r="G86" s="327">
        <f>D86/E100</f>
        <v>-1.2915326732946597</v>
      </c>
      <c r="H86" s="284">
        <f>H53</f>
        <v>0</v>
      </c>
      <c r="I86" s="288">
        <f>SUM(I53)</f>
        <v>0</v>
      </c>
      <c r="J86" s="326">
        <f>SUM(J53)</f>
        <v>0</v>
      </c>
      <c r="K86" s="326">
        <f>SUM(K53)</f>
        <v>437.91333333333336</v>
      </c>
      <c r="L86" s="328">
        <f>I86/J100</f>
        <v>0</v>
      </c>
      <c r="M86" s="290">
        <f>M53</f>
        <v>0</v>
      </c>
      <c r="N86" s="288">
        <f>SUM(N53)</f>
        <v>46.5</v>
      </c>
      <c r="O86" s="326">
        <f>SUM(O53)</f>
        <v>0</v>
      </c>
      <c r="P86" s="326">
        <f>SUM(P53)</f>
        <v>-229.63666666666666</v>
      </c>
      <c r="Q86" s="327">
        <f>N86/O100</f>
        <v>4.1903229672653169E-2</v>
      </c>
      <c r="R86" s="284">
        <f>R53</f>
        <v>0</v>
      </c>
      <c r="S86" s="288">
        <f>SUM(S53)</f>
        <v>0</v>
      </c>
      <c r="T86" s="326">
        <f>SUM(T53)</f>
        <v>0</v>
      </c>
      <c r="U86" s="326">
        <f>SUM(U53)</f>
        <v>4.7866666666666671</v>
      </c>
      <c r="V86" s="327">
        <f>S86/T100</f>
        <v>0</v>
      </c>
      <c r="W86" s="284">
        <f>W53</f>
        <v>0</v>
      </c>
      <c r="X86" s="288">
        <f>SUM(X53)</f>
        <v>0</v>
      </c>
      <c r="Y86" s="326">
        <f>SUM(Y53)</f>
        <v>0</v>
      </c>
      <c r="Z86" s="326">
        <f>SUM(Z53)</f>
        <v>26.11</v>
      </c>
      <c r="AA86" s="327">
        <f>X86/Y100</f>
        <v>0</v>
      </c>
      <c r="AB86" s="284">
        <f>SUM(AB53)</f>
        <v>0</v>
      </c>
      <c r="AC86" s="288">
        <f>SUM(AC53)</f>
        <v>-8.6</v>
      </c>
      <c r="AD86" s="326">
        <f>SUM(AD53)</f>
        <v>0</v>
      </c>
      <c r="AE86" s="326">
        <f>SUM(AE53)</f>
        <v>0.77333333333333343</v>
      </c>
      <c r="AF86" s="327">
        <f>AC86/AD100</f>
        <v>-6.4005731738085566E-3</v>
      </c>
      <c r="AG86" s="284">
        <f>SUM(AG53)</f>
        <v>0</v>
      </c>
      <c r="AH86" s="288">
        <f>SUM(AH53)</f>
        <v>0</v>
      </c>
      <c r="AI86" s="326">
        <f>SUM(AI53)</f>
        <v>0</v>
      </c>
      <c r="AJ86" s="326">
        <f>SUM(AJ53)</f>
        <v>-6461.0999999999995</v>
      </c>
      <c r="AK86" s="327">
        <f>AH86/AI100</f>
        <v>0</v>
      </c>
      <c r="AL86" s="284">
        <f>SUM(AL53)</f>
        <v>0</v>
      </c>
      <c r="AM86" s="288">
        <f>SUM(AM53)</f>
        <v>0</v>
      </c>
      <c r="AN86" s="326">
        <f>SUM(AN53)</f>
        <v>0</v>
      </c>
      <c r="AO86" s="326">
        <f>SUM(AO53)</f>
        <v>-17510.343333333334</v>
      </c>
      <c r="AP86" s="327">
        <f>AM86/AN100</f>
        <v>0</v>
      </c>
      <c r="AQ86" s="284">
        <f>SUM(AQ53)</f>
        <v>0</v>
      </c>
      <c r="AR86" s="288">
        <f>SUM(AR53)</f>
        <v>4394.1633333333348</v>
      </c>
      <c r="AS86" s="326">
        <f>SUM(AS53)</f>
        <v>0</v>
      </c>
      <c r="AT86" s="326">
        <f>SUM(AT53)</f>
        <v>9886.1533333333336</v>
      </c>
      <c r="AU86" s="327">
        <f>AR86/AS100</f>
        <v>3.1015937721973237</v>
      </c>
      <c r="AV86" s="284">
        <f>SUM(AV53)</f>
        <v>0</v>
      </c>
      <c r="AW86" s="288">
        <f>SUM(AW53)</f>
        <v>0</v>
      </c>
      <c r="AX86" s="326">
        <f>SUM(AX53)</f>
        <v>0</v>
      </c>
      <c r="AY86" s="326">
        <f>SUM(AY53)</f>
        <v>8614.8833333333332</v>
      </c>
      <c r="AZ86" s="327">
        <f>AW86/AX100</f>
        <v>0</v>
      </c>
      <c r="BA86" s="284">
        <f>SUM(BA53)</f>
        <v>0</v>
      </c>
      <c r="BB86" s="288">
        <f>SUM(BB53)</f>
        <v>0</v>
      </c>
      <c r="BC86" s="326">
        <f>SUM(BC53)</f>
        <v>0</v>
      </c>
      <c r="BD86" s="326">
        <f>SUM(BD53)</f>
        <v>709.25</v>
      </c>
      <c r="BE86" s="327">
        <f>BB86/BC100</f>
        <v>0</v>
      </c>
      <c r="BF86" s="284">
        <f>SUM(BF53)</f>
        <v>0</v>
      </c>
      <c r="BG86" s="288">
        <f>SUM(BG53)</f>
        <v>0</v>
      </c>
      <c r="BH86" s="326">
        <f>SUM(BH53)</f>
        <v>0</v>
      </c>
      <c r="BI86" s="326">
        <f>SUM(BI53)</f>
        <v>-5150.1866666666674</v>
      </c>
      <c r="BJ86" s="327">
        <f>BG86/BH100</f>
        <v>0</v>
      </c>
      <c r="BK86" s="284">
        <f t="shared" si="4"/>
        <v>0</v>
      </c>
      <c r="BL86" s="288">
        <f t="shared" si="5"/>
        <v>2934.9733333333347</v>
      </c>
      <c r="BM86" s="326">
        <f>$BM$53</f>
        <v>0</v>
      </c>
      <c r="BN86" s="326">
        <f>$BN$53</f>
        <v>-10856.116666666667</v>
      </c>
      <c r="BO86" s="328">
        <f>BL86/BM100</f>
        <v>0.22485323181639072</v>
      </c>
      <c r="DD86" s="310" t="s">
        <v>235</v>
      </c>
      <c r="DE86" s="310" t="s">
        <v>330</v>
      </c>
      <c r="DF86" s="310" t="s">
        <v>352</v>
      </c>
      <c r="DG86" s="310" t="s">
        <v>238</v>
      </c>
      <c r="DH86" s="283" t="s">
        <v>265</v>
      </c>
      <c r="DI86" s="310" t="s">
        <v>266</v>
      </c>
      <c r="DJ86" s="310" t="s">
        <v>240</v>
      </c>
      <c r="DK86" s="324" t="s">
        <v>241</v>
      </c>
      <c r="DL86" s="324" t="s">
        <v>241</v>
      </c>
      <c r="DM86" s="324" t="s">
        <v>241</v>
      </c>
      <c r="DN86" s="324" t="s">
        <v>241</v>
      </c>
      <c r="DO86" s="324" t="s">
        <v>241</v>
      </c>
      <c r="DP86" s="323">
        <f>D129</f>
        <v>7</v>
      </c>
      <c r="DQ86" s="323">
        <f>H129</f>
        <v>24.906666666666666</v>
      </c>
    </row>
    <row r="87" spans="1:122" s="316" customFormat="1">
      <c r="A87" s="316" t="s">
        <v>1</v>
      </c>
      <c r="B87" s="316" t="s">
        <v>72</v>
      </c>
      <c r="C87" s="353">
        <f t="shared" ref="C87:F91" si="18">SUM(C22+C54)</f>
        <v>5581.468375109318</v>
      </c>
      <c r="D87" s="318">
        <f t="shared" si="18"/>
        <v>3973.666666666667</v>
      </c>
      <c r="E87" s="354">
        <f t="shared" si="18"/>
        <v>913.18969474369328</v>
      </c>
      <c r="F87" s="354">
        <f t="shared" si="18"/>
        <v>616.06666666666672</v>
      </c>
      <c r="G87" s="355">
        <f>D87/E100</f>
        <v>3.428063999346652</v>
      </c>
      <c r="H87" s="353">
        <f t="shared" ref="H87:K91" si="19">SUM(H22+H54)</f>
        <v>4830.6568915792941</v>
      </c>
      <c r="I87" s="318">
        <f t="shared" si="19"/>
        <v>4181.333333333333</v>
      </c>
      <c r="J87" s="354">
        <f t="shared" si="19"/>
        <v>786.52894006005931</v>
      </c>
      <c r="K87" s="354">
        <f t="shared" si="19"/>
        <v>690.96333333333337</v>
      </c>
      <c r="L87" s="356">
        <f>I87/J100</f>
        <v>3.9903447907295728</v>
      </c>
      <c r="M87" s="357">
        <f t="shared" ref="M87:P91" si="20">SUM(M22+M54)</f>
        <v>6305.2139177657391</v>
      </c>
      <c r="N87" s="318">
        <f t="shared" si="20"/>
        <v>5345</v>
      </c>
      <c r="O87" s="354">
        <f t="shared" si="20"/>
        <v>1036.9784500379415</v>
      </c>
      <c r="P87" s="354">
        <f t="shared" si="20"/>
        <v>888.25</v>
      </c>
      <c r="Q87" s="355">
        <f>N87/O100</f>
        <v>4.8166185505447574</v>
      </c>
      <c r="R87" s="359">
        <f>SUM(R22+R54)</f>
        <v>3307.017253766423</v>
      </c>
      <c r="S87" s="318">
        <f>SUM(S54+S22)</f>
        <v>4566.666666666667</v>
      </c>
      <c r="T87" s="354">
        <f t="shared" ref="T87:U91" si="21">SUM(T22+T54)</f>
        <v>544.46282762739168</v>
      </c>
      <c r="U87" s="354">
        <f t="shared" si="21"/>
        <v>765.64333333333343</v>
      </c>
      <c r="V87" s="355">
        <f>S87/T100</f>
        <v>3.9897036523844021</v>
      </c>
      <c r="W87" s="353">
        <f t="shared" ref="W87:Z91" si="22">SUM(W22+W54)</f>
        <v>5095.2171254431232</v>
      </c>
      <c r="X87" s="318">
        <f t="shared" si="22"/>
        <v>2963.333333333333</v>
      </c>
      <c r="Y87" s="354">
        <f t="shared" si="22"/>
        <v>836.20187405077399</v>
      </c>
      <c r="Z87" s="354">
        <f t="shared" si="22"/>
        <v>455.56</v>
      </c>
      <c r="AA87" s="355">
        <f>X87/Y100</f>
        <v>2.3721342270417964</v>
      </c>
      <c r="AB87" s="353">
        <f t="shared" ref="AB87:AE91" si="23">SUM(AB22+AB54)</f>
        <v>6914.6712621930892</v>
      </c>
      <c r="AC87" s="318">
        <f t="shared" si="23"/>
        <v>4568.6666666666661</v>
      </c>
      <c r="AD87" s="354">
        <f t="shared" si="23"/>
        <v>1141.1685201683515</v>
      </c>
      <c r="AE87" s="354">
        <f t="shared" si="23"/>
        <v>757.22666666666669</v>
      </c>
      <c r="AF87" s="355">
        <f>AC87/AD100</f>
        <v>3.4002424775279096</v>
      </c>
      <c r="AG87" s="353">
        <f t="shared" ref="AG87:AJ91" si="24">SUM(AG22+AG54)</f>
        <v>5976.3362847633634</v>
      </c>
      <c r="AH87" s="318">
        <f t="shared" si="24"/>
        <v>4828</v>
      </c>
      <c r="AI87" s="354">
        <f t="shared" si="24"/>
        <v>958.59873762786833</v>
      </c>
      <c r="AJ87" s="354">
        <f t="shared" si="24"/>
        <v>788.68666666666672</v>
      </c>
      <c r="AK87" s="355">
        <f>AH87/AI100</f>
        <v>3.309519598689902</v>
      </c>
      <c r="AL87" s="353">
        <f t="shared" ref="AL87:AO91" si="25">SUM(AL22+AL54)</f>
        <v>6273.1545107052734</v>
      </c>
      <c r="AM87" s="318">
        <f t="shared" si="25"/>
        <v>5188.3333333333339</v>
      </c>
      <c r="AN87" s="354">
        <f t="shared" si="25"/>
        <v>987.67623763060169</v>
      </c>
      <c r="AO87" s="354">
        <f t="shared" si="25"/>
        <v>833.99</v>
      </c>
      <c r="AP87" s="355">
        <f>AM87/AN100</f>
        <v>3.399049751038441</v>
      </c>
      <c r="AQ87" s="353">
        <f t="shared" ref="AQ87:AT91" si="26">SUM(AQ22+AQ54)</f>
        <v>8282.3479672532994</v>
      </c>
      <c r="AR87" s="318">
        <f t="shared" si="26"/>
        <v>4808.3333333333339</v>
      </c>
      <c r="AS87" s="354">
        <f t="shared" si="26"/>
        <v>1353.0039653003141</v>
      </c>
      <c r="AT87" s="354">
        <f t="shared" si="26"/>
        <v>792.50333333333333</v>
      </c>
      <c r="AU87" s="355">
        <f>AR87/AS100</f>
        <v>3.3939331768085079</v>
      </c>
      <c r="AV87" s="353">
        <f t="shared" ref="AV87:AY91" si="27">SUM(AV22+AV54)</f>
        <v>6450.8976823628072</v>
      </c>
      <c r="AW87" s="318">
        <f t="shared" si="27"/>
        <v>3452.666666666667</v>
      </c>
      <c r="AX87" s="354">
        <f t="shared" si="27"/>
        <v>1049.4837563507067</v>
      </c>
      <c r="AY87" s="354">
        <f t="shared" si="27"/>
        <v>545.71333333333337</v>
      </c>
      <c r="AZ87" s="355">
        <f>AW87/AX100</f>
        <v>2.7624154680331356</v>
      </c>
      <c r="BA87" s="353">
        <f t="shared" ref="BA87:BD91" si="28">SUM(BA22+BA54)</f>
        <v>5815.0247035649572</v>
      </c>
      <c r="BB87" s="318">
        <f t="shared" si="28"/>
        <v>3055</v>
      </c>
      <c r="BC87" s="354">
        <f t="shared" si="28"/>
        <v>924.72032884294117</v>
      </c>
      <c r="BD87" s="354">
        <f t="shared" si="28"/>
        <v>486.83666666666664</v>
      </c>
      <c r="BE87" s="355">
        <f>BB87/BC100</f>
        <v>2.9302832383322617</v>
      </c>
      <c r="BF87" s="353">
        <f t="shared" ref="BF87:BI91" si="29">SUM(BF22+BF54)</f>
        <v>5450.9733434384198</v>
      </c>
      <c r="BG87" s="318">
        <f t="shared" si="29"/>
        <v>5219</v>
      </c>
      <c r="BH87" s="354">
        <f t="shared" si="29"/>
        <v>885.63600099463633</v>
      </c>
      <c r="BI87" s="354">
        <f t="shared" si="29"/>
        <v>854.83333333333337</v>
      </c>
      <c r="BJ87" s="355">
        <f>BG87/BH100</f>
        <v>5.1099352454332223</v>
      </c>
      <c r="BK87" s="353">
        <f t="shared" si="4"/>
        <v>70282.979317945108</v>
      </c>
      <c r="BL87" s="318">
        <f t="shared" si="5"/>
        <v>52150</v>
      </c>
      <c r="BM87" s="354">
        <f>$BM$22+$BM$54</f>
        <v>11417.649333435278</v>
      </c>
      <c r="BN87" s="354">
        <f>$BN$22+$BN$54</f>
        <v>8476.2733333333326</v>
      </c>
      <c r="BO87" s="356">
        <f>BL87/BM100</f>
        <v>3.9952990052918493</v>
      </c>
      <c r="DJ87" s="321" t="s">
        <v>244</v>
      </c>
      <c r="DK87" s="322" t="s">
        <v>241</v>
      </c>
      <c r="DL87" s="322" t="s">
        <v>241</v>
      </c>
      <c r="DM87" s="322" t="s">
        <v>241</v>
      </c>
      <c r="DN87" s="322" t="s">
        <v>241</v>
      </c>
      <c r="DO87" s="322" t="s">
        <v>241</v>
      </c>
      <c r="DP87" s="319">
        <f>C129</f>
        <v>0</v>
      </c>
      <c r="DQ87" s="319">
        <f>G129</f>
        <v>0</v>
      </c>
    </row>
    <row r="88" spans="1:122">
      <c r="B88" s="283" t="s">
        <v>54</v>
      </c>
      <c r="C88" s="284">
        <f t="shared" si="18"/>
        <v>10529.020105516902</v>
      </c>
      <c r="D88" s="288">
        <f t="shared" si="18"/>
        <v>10029.666666666666</v>
      </c>
      <c r="E88" s="326">
        <f t="shared" si="18"/>
        <v>7348.2788032519893</v>
      </c>
      <c r="F88" s="326">
        <f t="shared" si="18"/>
        <v>3199.8700000000003</v>
      </c>
      <c r="G88" s="327">
        <f>D88/E100</f>
        <v>8.6525474101452389</v>
      </c>
      <c r="H88" s="284">
        <f t="shared" si="19"/>
        <v>8272.8640042827083</v>
      </c>
      <c r="I88" s="288">
        <f t="shared" si="19"/>
        <v>8934</v>
      </c>
      <c r="J88" s="326">
        <f t="shared" si="19"/>
        <v>5747.155206137686</v>
      </c>
      <c r="K88" s="326">
        <f t="shared" si="19"/>
        <v>3952.1566666666668</v>
      </c>
      <c r="L88" s="328">
        <f>I88/J100</f>
        <v>8.525926425473056</v>
      </c>
      <c r="M88" s="290">
        <f t="shared" si="20"/>
        <v>9343.0684481230146</v>
      </c>
      <c r="N88" s="288">
        <f t="shared" si="20"/>
        <v>11956</v>
      </c>
      <c r="O88" s="326">
        <f t="shared" si="20"/>
        <v>6684.4059400309952</v>
      </c>
      <c r="P88" s="326">
        <f t="shared" si="20"/>
        <v>6694.8233333333337</v>
      </c>
      <c r="Q88" s="327">
        <f>N88/O100</f>
        <v>10.774086321854652</v>
      </c>
      <c r="R88" s="358">
        <f>SUM(R23+R55)</f>
        <v>6452.7338849078878</v>
      </c>
      <c r="S88" s="288">
        <f>SUM(S55+S23)</f>
        <v>6841.666666666667</v>
      </c>
      <c r="T88" s="326">
        <f t="shared" si="21"/>
        <v>4852.0709420322673</v>
      </c>
      <c r="U88" s="326">
        <f t="shared" si="21"/>
        <v>3086.5733333333333</v>
      </c>
      <c r="V88" s="327">
        <f>S88/T100</f>
        <v>5.9772749974591131</v>
      </c>
      <c r="W88" s="284">
        <f t="shared" si="22"/>
        <v>10740.320495250737</v>
      </c>
      <c r="X88" s="288">
        <f t="shared" si="22"/>
        <v>7687.6666666666661</v>
      </c>
      <c r="Y88" s="326">
        <f t="shared" si="22"/>
        <v>7522.4302326292782</v>
      </c>
      <c r="Z88" s="326">
        <f t="shared" si="22"/>
        <v>4130.7733333333326</v>
      </c>
      <c r="AA88" s="327">
        <f>X88/Y100</f>
        <v>6.1539405712334023</v>
      </c>
      <c r="AB88" s="284">
        <f t="shared" si="23"/>
        <v>14439.303557693413</v>
      </c>
      <c r="AC88" s="288">
        <f t="shared" si="23"/>
        <v>13651</v>
      </c>
      <c r="AD88" s="326">
        <f t="shared" si="23"/>
        <v>10353.498752559899</v>
      </c>
      <c r="AE88" s="326">
        <f t="shared" si="23"/>
        <v>5883.79</v>
      </c>
      <c r="AF88" s="327">
        <f>AC88/AD100</f>
        <v>10.159793534379141</v>
      </c>
      <c r="AG88" s="284">
        <f t="shared" si="24"/>
        <v>17459.069435808829</v>
      </c>
      <c r="AH88" s="288">
        <f t="shared" si="24"/>
        <v>12861.333333333334</v>
      </c>
      <c r="AI88" s="326">
        <f t="shared" si="24"/>
        <v>11746.805221075698</v>
      </c>
      <c r="AJ88" s="326">
        <f t="shared" si="24"/>
        <v>5993.99</v>
      </c>
      <c r="AK88" s="327">
        <f>AH88/AI100</f>
        <v>8.8162458019781269</v>
      </c>
      <c r="AL88" s="284">
        <f t="shared" si="25"/>
        <v>17911.608167999861</v>
      </c>
      <c r="AM88" s="288">
        <f t="shared" si="25"/>
        <v>13328.333333333332</v>
      </c>
      <c r="AN88" s="326">
        <f t="shared" si="25"/>
        <v>12127.564207138159</v>
      </c>
      <c r="AO88" s="326">
        <f t="shared" si="25"/>
        <v>5527.4633333333331</v>
      </c>
      <c r="AP88" s="327">
        <f>AM88/AN100</f>
        <v>8.7318345194521054</v>
      </c>
      <c r="AQ88" s="284">
        <f t="shared" si="26"/>
        <v>16507.062827999333</v>
      </c>
      <c r="AR88" s="288">
        <f t="shared" si="26"/>
        <v>12019.333333333334</v>
      </c>
      <c r="AS88" s="326">
        <f t="shared" si="26"/>
        <v>11131.870999181181</v>
      </c>
      <c r="AT88" s="326">
        <f t="shared" si="26"/>
        <v>5064.1400000000003</v>
      </c>
      <c r="AU88" s="327">
        <f>AR88/AS100</f>
        <v>8.4837741760389029</v>
      </c>
      <c r="AV88" s="284">
        <f t="shared" si="27"/>
        <v>12880.862686307057</v>
      </c>
      <c r="AW88" s="288">
        <f t="shared" si="27"/>
        <v>11941.333333333332</v>
      </c>
      <c r="AX88" s="326">
        <f t="shared" si="27"/>
        <v>8658.8440270891333</v>
      </c>
      <c r="AY88" s="326">
        <f t="shared" si="27"/>
        <v>4617.9733333333334</v>
      </c>
      <c r="AZ88" s="327">
        <f>AW88/AX100</f>
        <v>9.5540424528691865</v>
      </c>
      <c r="BA88" s="284">
        <f t="shared" si="28"/>
        <v>12351.027686895735</v>
      </c>
      <c r="BB88" s="288">
        <f t="shared" si="28"/>
        <v>17051.666666666668</v>
      </c>
      <c r="BC88" s="326">
        <f t="shared" si="28"/>
        <v>8741.8350754455096</v>
      </c>
      <c r="BD88" s="326">
        <f t="shared" si="28"/>
        <v>5677.59</v>
      </c>
      <c r="BE88" s="327">
        <f>BB88/BC100</f>
        <v>16.355552543031845</v>
      </c>
      <c r="BF88" s="284">
        <f t="shared" si="29"/>
        <v>8709.0162355536449</v>
      </c>
      <c r="BG88" s="288">
        <f t="shared" si="29"/>
        <v>10336.333333333334</v>
      </c>
      <c r="BH88" s="326">
        <f t="shared" si="29"/>
        <v>5880.3455923684514</v>
      </c>
      <c r="BI88" s="326">
        <f t="shared" si="29"/>
        <v>3910.8</v>
      </c>
      <c r="BJ88" s="327">
        <f>BG88/BH100</f>
        <v>10.120328417042778</v>
      </c>
      <c r="BK88" s="284">
        <f t="shared" si="4"/>
        <v>145595.95753633912</v>
      </c>
      <c r="BL88" s="288">
        <f t="shared" si="5"/>
        <v>136638.33333333331</v>
      </c>
      <c r="BM88" s="326">
        <f>$BM$23+$BM$55</f>
        <v>100795.10499894025</v>
      </c>
      <c r="BN88" s="326">
        <f>$BN$23+$BN$55</f>
        <v>57739.943333333329</v>
      </c>
      <c r="BO88" s="328">
        <f>BL88/BM100</f>
        <v>10.468091989480397</v>
      </c>
      <c r="DD88" s="310" t="s">
        <v>235</v>
      </c>
      <c r="DE88" s="310" t="s">
        <v>330</v>
      </c>
      <c r="DF88" s="310" t="s">
        <v>304</v>
      </c>
      <c r="DG88" s="310" t="s">
        <v>238</v>
      </c>
      <c r="DH88" s="283" t="s">
        <v>353</v>
      </c>
      <c r="DI88" s="310" t="s">
        <v>266</v>
      </c>
      <c r="DJ88" s="310" t="s">
        <v>240</v>
      </c>
      <c r="DK88" s="324" t="s">
        <v>241</v>
      </c>
      <c r="DL88" s="324" t="s">
        <v>241</v>
      </c>
      <c r="DM88" s="324" t="s">
        <v>241</v>
      </c>
      <c r="DN88" s="324" t="s">
        <v>241</v>
      </c>
      <c r="DO88" s="324" t="s">
        <v>241</v>
      </c>
      <c r="DP88" s="323">
        <v>0</v>
      </c>
      <c r="DQ88" s="323">
        <v>0</v>
      </c>
    </row>
    <row r="89" spans="1:122" s="316" customFormat="1">
      <c r="A89" s="316" t="s">
        <v>1</v>
      </c>
      <c r="B89" s="316" t="s">
        <v>269</v>
      </c>
      <c r="C89" s="353">
        <f t="shared" si="18"/>
        <v>14853.956185238047</v>
      </c>
      <c r="D89" s="318">
        <f t="shared" si="18"/>
        <v>16834.666666666668</v>
      </c>
      <c r="E89" s="354">
        <f t="shared" si="18"/>
        <v>3220.7055787184186</v>
      </c>
      <c r="F89" s="354">
        <f t="shared" si="18"/>
        <v>3193.7633333333333</v>
      </c>
      <c r="G89" s="355">
        <f>D89/E100</f>
        <v>14.523189684003299</v>
      </c>
      <c r="H89" s="353">
        <f t="shared" si="19"/>
        <v>10701.381334199019</v>
      </c>
      <c r="I89" s="318">
        <f t="shared" si="19"/>
        <v>24896.666666666668</v>
      </c>
      <c r="J89" s="354">
        <f t="shared" si="19"/>
        <v>1602.2447217242625</v>
      </c>
      <c r="K89" s="354">
        <f t="shared" si="19"/>
        <v>4304.24</v>
      </c>
      <c r="L89" s="356">
        <f>I89/J100</f>
        <v>23.759474842123073</v>
      </c>
      <c r="M89" s="357">
        <f t="shared" si="20"/>
        <v>12048.093490886655</v>
      </c>
      <c r="N89" s="318">
        <f t="shared" si="20"/>
        <v>12544.666666666668</v>
      </c>
      <c r="O89" s="354">
        <f t="shared" si="20"/>
        <v>2054.4018066054837</v>
      </c>
      <c r="P89" s="354">
        <f t="shared" si="20"/>
        <v>2323.7033333333334</v>
      </c>
      <c r="Q89" s="355">
        <f>N89/O100</f>
        <v>11.304560182800213</v>
      </c>
      <c r="R89" s="359">
        <f>SUM(R24+R56)</f>
        <v>21814.363010299418</v>
      </c>
      <c r="S89" s="318">
        <f>SUM(S56+S24)</f>
        <v>24343.666666666668</v>
      </c>
      <c r="T89" s="354">
        <f t="shared" si="21"/>
        <v>4974.9785042766061</v>
      </c>
      <c r="U89" s="354">
        <f t="shared" si="21"/>
        <v>4051.15</v>
      </c>
      <c r="V89" s="355">
        <f>S89/T100</f>
        <v>21.268032659655859</v>
      </c>
      <c r="W89" s="353">
        <f t="shared" si="22"/>
        <v>26004.798893859028</v>
      </c>
      <c r="X89" s="318">
        <f t="shared" si="22"/>
        <v>49356.333333333328</v>
      </c>
      <c r="Y89" s="354">
        <f t="shared" si="22"/>
        <v>5190.7861528571548</v>
      </c>
      <c r="Z89" s="354">
        <f t="shared" si="22"/>
        <v>10079.586666666666</v>
      </c>
      <c r="AA89" s="355">
        <f>X89/Y100</f>
        <v>39.50950988344789</v>
      </c>
      <c r="AB89" s="353">
        <f t="shared" si="23"/>
        <v>47089.885486262327</v>
      </c>
      <c r="AC89" s="318">
        <f t="shared" si="23"/>
        <v>26495.666666666668</v>
      </c>
      <c r="AD89" s="354">
        <f t="shared" si="23"/>
        <v>11038.836934601273</v>
      </c>
      <c r="AE89" s="354">
        <f t="shared" si="23"/>
        <v>5740.57</v>
      </c>
      <c r="AF89" s="355">
        <f>AC89/AD100</f>
        <v>19.719471312655845</v>
      </c>
      <c r="AG89" s="353">
        <f t="shared" si="24"/>
        <v>66460.64134024299</v>
      </c>
      <c r="AH89" s="318">
        <f t="shared" si="24"/>
        <v>23898.666666666668</v>
      </c>
      <c r="AI89" s="354">
        <f t="shared" si="24"/>
        <v>17295.126497737579</v>
      </c>
      <c r="AJ89" s="354">
        <f t="shared" si="24"/>
        <v>6154.29</v>
      </c>
      <c r="AK89" s="355">
        <f>AH89/AI100</f>
        <v>16.382167712487657</v>
      </c>
      <c r="AL89" s="353">
        <f t="shared" si="25"/>
        <v>101387.19743303572</v>
      </c>
      <c r="AM89" s="318">
        <f t="shared" si="25"/>
        <v>112590.66666666667</v>
      </c>
      <c r="AN89" s="354">
        <f t="shared" si="25"/>
        <v>26404.22367380009</v>
      </c>
      <c r="AO89" s="354">
        <f t="shared" si="25"/>
        <v>16754.236666666664</v>
      </c>
      <c r="AP89" s="355">
        <f>AM89/AN100</f>
        <v>73.761890941712565</v>
      </c>
      <c r="AQ89" s="353">
        <f t="shared" si="26"/>
        <v>90605.004989844936</v>
      </c>
      <c r="AR89" s="318">
        <f t="shared" si="26"/>
        <v>96107</v>
      </c>
      <c r="AS89" s="354">
        <f t="shared" si="26"/>
        <v>24657.49259676912</v>
      </c>
      <c r="AT89" s="354">
        <f t="shared" si="26"/>
        <v>11955.773333333333</v>
      </c>
      <c r="AU89" s="355">
        <f>AR89/AS100</f>
        <v>67.836548178204893</v>
      </c>
      <c r="AV89" s="353">
        <f t="shared" si="27"/>
        <v>72876.926409771608</v>
      </c>
      <c r="AW89" s="318">
        <f t="shared" si="27"/>
        <v>93754.666666666672</v>
      </c>
      <c r="AX89" s="354">
        <f t="shared" si="27"/>
        <v>20034.140228900356</v>
      </c>
      <c r="AY89" s="354">
        <f t="shared" si="27"/>
        <v>10269.240000000002</v>
      </c>
      <c r="AZ89" s="355">
        <f>AW89/AX100</f>
        <v>75.011394497091317</v>
      </c>
      <c r="BA89" s="353">
        <f t="shared" si="28"/>
        <v>24288.043300170266</v>
      </c>
      <c r="BB89" s="318">
        <f t="shared" si="28"/>
        <v>35724</v>
      </c>
      <c r="BC89" s="354">
        <f t="shared" si="28"/>
        <v>6469.2178796309418</v>
      </c>
      <c r="BD89" s="354">
        <f t="shared" si="28"/>
        <v>4016.9466666666672</v>
      </c>
      <c r="BE89" s="355">
        <f>BB89/BC100</f>
        <v>34.26560995292364</v>
      </c>
      <c r="BF89" s="353">
        <f t="shared" si="29"/>
        <v>11251.504543147141</v>
      </c>
      <c r="BG89" s="318">
        <f t="shared" si="29"/>
        <v>12008.666666666666</v>
      </c>
      <c r="BH89" s="354">
        <f t="shared" si="29"/>
        <v>2454.7869680055196</v>
      </c>
      <c r="BI89" s="354">
        <f t="shared" si="29"/>
        <v>1479.4133333333336</v>
      </c>
      <c r="BJ89" s="355">
        <f>BG89/BH100</f>
        <v>11.757713939578288</v>
      </c>
      <c r="BK89" s="353">
        <f t="shared" si="4"/>
        <v>499381.79641695716</v>
      </c>
      <c r="BL89" s="318">
        <f t="shared" si="5"/>
        <v>528555.33333333337</v>
      </c>
      <c r="BM89" s="354">
        <f>$BM$24+$BM$56</f>
        <v>125396.9415436268</v>
      </c>
      <c r="BN89" s="354">
        <f>$BN$24+$BN$56</f>
        <v>80322.91333333333</v>
      </c>
      <c r="BO89" s="356">
        <f>BL89/BM100</f>
        <v>40.493510978108702</v>
      </c>
      <c r="BR89" s="316">
        <f>1610422</f>
        <v>1610422</v>
      </c>
      <c r="DJ89" s="321" t="s">
        <v>244</v>
      </c>
      <c r="DK89" s="322" t="s">
        <v>241</v>
      </c>
      <c r="DL89" s="322" t="s">
        <v>241</v>
      </c>
      <c r="DM89" s="322" t="s">
        <v>241</v>
      </c>
      <c r="DN89" s="322" t="s">
        <v>241</v>
      </c>
      <c r="DO89" s="322" t="s">
        <v>241</v>
      </c>
      <c r="DP89" s="319">
        <v>0</v>
      </c>
      <c r="DQ89" s="319">
        <v>0</v>
      </c>
    </row>
    <row r="90" spans="1:122">
      <c r="A90" s="283" t="s">
        <v>1</v>
      </c>
      <c r="B90" s="283" t="s">
        <v>274</v>
      </c>
      <c r="C90" s="284">
        <f t="shared" si="18"/>
        <v>2292.7974913262037</v>
      </c>
      <c r="D90" s="288">
        <f t="shared" si="18"/>
        <v>1521.6666666666667</v>
      </c>
      <c r="E90" s="326">
        <f t="shared" si="18"/>
        <v>6782.0057083892307</v>
      </c>
      <c r="F90" s="326">
        <f t="shared" si="18"/>
        <v>3487.2966666666666</v>
      </c>
      <c r="G90" s="327">
        <f>D90/E100</f>
        <v>1.3127348508529038</v>
      </c>
      <c r="H90" s="284">
        <f t="shared" si="19"/>
        <v>1219.135257389268</v>
      </c>
      <c r="I90" s="288">
        <f t="shared" si="19"/>
        <v>2036.3333333333333</v>
      </c>
      <c r="J90" s="326">
        <f t="shared" si="19"/>
        <v>3525.2655595718566</v>
      </c>
      <c r="K90" s="326">
        <f t="shared" si="19"/>
        <v>5512.0566666666673</v>
      </c>
      <c r="L90" s="328">
        <f>I90/J100</f>
        <v>1.9433208168500447</v>
      </c>
      <c r="M90" s="290">
        <f t="shared" si="20"/>
        <v>1501.2937863649724</v>
      </c>
      <c r="N90" s="288">
        <f t="shared" si="20"/>
        <v>1688.6666666666667</v>
      </c>
      <c r="O90" s="326">
        <f t="shared" si="20"/>
        <v>4421.2372779149982</v>
      </c>
      <c r="P90" s="326">
        <f t="shared" si="20"/>
        <v>4442.2266666666665</v>
      </c>
      <c r="Q90" s="327">
        <f>N90/O100</f>
        <v>1.5217330575029462</v>
      </c>
      <c r="R90" s="358">
        <f>SUM(R25+R57)</f>
        <v>2448.7021803936764</v>
      </c>
      <c r="S90" s="288">
        <f>SUM(S57+S25)</f>
        <v>1245.3333333333333</v>
      </c>
      <c r="T90" s="326">
        <f t="shared" si="21"/>
        <v>7503.1186602873468</v>
      </c>
      <c r="U90" s="326">
        <f t="shared" si="21"/>
        <v>2996.893333333333</v>
      </c>
      <c r="V90" s="327">
        <f>S90/T100</f>
        <v>1.0879950981976734</v>
      </c>
      <c r="W90" s="284">
        <f t="shared" si="22"/>
        <v>1347.0902385114125</v>
      </c>
      <c r="X90" s="288">
        <f t="shared" si="22"/>
        <v>971.66666666666663</v>
      </c>
      <c r="Y90" s="326">
        <f t="shared" si="22"/>
        <v>4234.5893666536804</v>
      </c>
      <c r="Z90" s="326">
        <f t="shared" si="22"/>
        <v>2557.0666666666671</v>
      </c>
      <c r="AA90" s="327">
        <f>X90/Y100</f>
        <v>0.7778145412628612</v>
      </c>
      <c r="AB90" s="284">
        <f t="shared" si="23"/>
        <v>731.09720491119117</v>
      </c>
      <c r="AC90" s="288">
        <f t="shared" si="23"/>
        <v>1570</v>
      </c>
      <c r="AD90" s="326">
        <f t="shared" si="23"/>
        <v>2139.7768352097523</v>
      </c>
      <c r="AE90" s="326">
        <f t="shared" si="23"/>
        <v>2898.603333333333</v>
      </c>
      <c r="AF90" s="327">
        <f>AC90/AD100</f>
        <v>1.168476730567376</v>
      </c>
      <c r="AG90" s="284">
        <f t="shared" si="24"/>
        <v>834.34102116772556</v>
      </c>
      <c r="AH90" s="288">
        <f t="shared" si="24"/>
        <v>748.66666666666663</v>
      </c>
      <c r="AI90" s="326">
        <f t="shared" si="24"/>
        <v>2778.1064181783131</v>
      </c>
      <c r="AJ90" s="326">
        <f t="shared" si="24"/>
        <v>1298.8999999999999</v>
      </c>
      <c r="AK90" s="327">
        <f>AH90/AI100</f>
        <v>0.51319946276287765</v>
      </c>
      <c r="AL90" s="284">
        <f t="shared" si="25"/>
        <v>864.9658795415902</v>
      </c>
      <c r="AM90" s="288">
        <f t="shared" si="25"/>
        <v>1441.6666666666667</v>
      </c>
      <c r="AN90" s="326">
        <f t="shared" si="25"/>
        <v>2909.944374053207</v>
      </c>
      <c r="AO90" s="326">
        <f t="shared" si="25"/>
        <v>2412.19</v>
      </c>
      <c r="AP90" s="327">
        <f>AM90/AN100</f>
        <v>0.9444837888365728</v>
      </c>
      <c r="AQ90" s="284">
        <f t="shared" si="26"/>
        <v>3154.6845313662097</v>
      </c>
      <c r="AR90" s="288">
        <f t="shared" si="26"/>
        <v>807.66666666666663</v>
      </c>
      <c r="AS90" s="326">
        <f t="shared" si="26"/>
        <v>9263.3872136007321</v>
      </c>
      <c r="AT90" s="326">
        <f t="shared" si="26"/>
        <v>2408.7666666666664</v>
      </c>
      <c r="AU90" s="327">
        <f>AR90/AS100</f>
        <v>0.5700866611720633</v>
      </c>
      <c r="AV90" s="284">
        <f t="shared" si="27"/>
        <v>1286.9868409346357</v>
      </c>
      <c r="AW90" s="288">
        <f t="shared" si="27"/>
        <v>589</v>
      </c>
      <c r="AX90" s="326">
        <f t="shared" si="27"/>
        <v>4303.8015564854813</v>
      </c>
      <c r="AY90" s="326">
        <f t="shared" si="27"/>
        <v>1752.46</v>
      </c>
      <c r="AZ90" s="327">
        <f>AW90/AX100</f>
        <v>0.47124813014235856</v>
      </c>
      <c r="BA90" s="284">
        <f t="shared" si="28"/>
        <v>1561.5124184791775</v>
      </c>
      <c r="BB90" s="288">
        <f t="shared" si="28"/>
        <v>696.66666666666663</v>
      </c>
      <c r="BC90" s="326">
        <f t="shared" si="28"/>
        <v>4509.8319228743894</v>
      </c>
      <c r="BD90" s="326">
        <f t="shared" si="28"/>
        <v>2236.23</v>
      </c>
      <c r="BE90" s="327">
        <f>BB90/BC100</f>
        <v>0.6682260739895719</v>
      </c>
      <c r="BF90" s="284">
        <f t="shared" si="29"/>
        <v>1341.8892075431838</v>
      </c>
      <c r="BG90" s="288">
        <f t="shared" si="29"/>
        <v>1338.3333333333333</v>
      </c>
      <c r="BH90" s="326">
        <f t="shared" si="29"/>
        <v>3725.4745846611113</v>
      </c>
      <c r="BI90" s="326">
        <f t="shared" si="29"/>
        <v>3792.3866666666668</v>
      </c>
      <c r="BJ90" s="327">
        <f>BG90/BH100</f>
        <v>1.310365332465631</v>
      </c>
      <c r="BK90" s="284">
        <f t="shared" si="4"/>
        <v>18584.496057929246</v>
      </c>
      <c r="BL90" s="288">
        <f t="shared" si="5"/>
        <v>14655.666666666666</v>
      </c>
      <c r="BM90" s="326">
        <f>$BM$25+$BM$57</f>
        <v>56096.539477880106</v>
      </c>
      <c r="BN90" s="326">
        <f>$BN$25+$BN$57</f>
        <v>35795.07666666666</v>
      </c>
      <c r="BO90" s="328">
        <f>BL90/BM100</f>
        <v>1.1227952148652396</v>
      </c>
      <c r="DD90" s="310" t="s">
        <v>235</v>
      </c>
      <c r="DE90" s="310" t="s">
        <v>330</v>
      </c>
      <c r="DF90" s="310" t="s">
        <v>267</v>
      </c>
      <c r="DG90" s="310" t="s">
        <v>238</v>
      </c>
      <c r="DH90" s="283" t="s">
        <v>354</v>
      </c>
      <c r="DI90" s="310" t="s">
        <v>311</v>
      </c>
      <c r="DJ90" s="310" t="s">
        <v>240</v>
      </c>
      <c r="DK90" s="324" t="s">
        <v>241</v>
      </c>
      <c r="DL90" s="324" t="s">
        <v>241</v>
      </c>
      <c r="DM90" s="324" t="s">
        <v>241</v>
      </c>
      <c r="DN90" s="324" t="s">
        <v>241</v>
      </c>
      <c r="DO90" s="324" t="s">
        <v>241</v>
      </c>
      <c r="DP90" s="323">
        <f>D124</f>
        <v>9792.3333333333339</v>
      </c>
      <c r="DQ90" s="323">
        <f>H124</f>
        <v>5565.84</v>
      </c>
    </row>
    <row r="91" spans="1:122" s="316" customFormat="1">
      <c r="A91" s="316" t="s">
        <v>1</v>
      </c>
      <c r="B91" s="316" t="s">
        <v>279</v>
      </c>
      <c r="C91" s="353">
        <f t="shared" si="18"/>
        <v>1577.1405366716501</v>
      </c>
      <c r="D91" s="318">
        <f t="shared" si="18"/>
        <v>881.66666666666674</v>
      </c>
      <c r="E91" s="354">
        <f t="shared" si="18"/>
        <v>1926.8294514717502</v>
      </c>
      <c r="F91" s="354">
        <f t="shared" si="18"/>
        <v>745.51666666666654</v>
      </c>
      <c r="G91" s="355">
        <f>D91/E100</f>
        <v>0.76060978762451936</v>
      </c>
      <c r="H91" s="353">
        <f t="shared" si="19"/>
        <v>1257.5359577271449</v>
      </c>
      <c r="I91" s="318">
        <f t="shared" si="19"/>
        <v>733.66666666666663</v>
      </c>
      <c r="J91" s="354">
        <f t="shared" si="19"/>
        <v>1512.6228171080845</v>
      </c>
      <c r="K91" s="354">
        <f t="shared" si="19"/>
        <v>643.62333333333333</v>
      </c>
      <c r="L91" s="356">
        <f>I91/J100</f>
        <v>0.70015536387083788</v>
      </c>
      <c r="M91" s="357">
        <f t="shared" si="20"/>
        <v>1439.4291484750649</v>
      </c>
      <c r="N91" s="318">
        <f t="shared" si="20"/>
        <v>1004.6666666666666</v>
      </c>
      <c r="O91" s="354">
        <f t="shared" si="20"/>
        <v>1755.8007730428089</v>
      </c>
      <c r="P91" s="354">
        <f t="shared" si="20"/>
        <v>893.84333333333325</v>
      </c>
      <c r="Q91" s="355">
        <f>N91/O100</f>
        <v>0.90535006618907998</v>
      </c>
      <c r="R91" s="359">
        <f>SUM(R26+R58)</f>
        <v>1191.7267965251469</v>
      </c>
      <c r="S91" s="318">
        <f>SUM(S58+S26)</f>
        <v>558.33333333333337</v>
      </c>
      <c r="T91" s="354">
        <f t="shared" si="21"/>
        <v>1420.1776756433112</v>
      </c>
      <c r="U91" s="354">
        <f t="shared" si="21"/>
        <v>499.29333333333329</v>
      </c>
      <c r="V91" s="355">
        <f>S91/T100</f>
        <v>0.48779223487181561</v>
      </c>
      <c r="W91" s="353">
        <f t="shared" si="22"/>
        <v>1509.8752851817781</v>
      </c>
      <c r="X91" s="318">
        <f t="shared" si="22"/>
        <v>895</v>
      </c>
      <c r="Y91" s="354">
        <f t="shared" si="22"/>
        <v>1824.502737195385</v>
      </c>
      <c r="Z91" s="354">
        <f t="shared" si="22"/>
        <v>849.95</v>
      </c>
      <c r="AA91" s="355">
        <f>X91/Y100</f>
        <v>0.71644323955086875</v>
      </c>
      <c r="AB91" s="353">
        <f t="shared" si="23"/>
        <v>1450.1133890268291</v>
      </c>
      <c r="AC91" s="318">
        <f t="shared" si="23"/>
        <v>639</v>
      </c>
      <c r="AD91" s="354">
        <f t="shared" si="23"/>
        <v>1715.5752238035063</v>
      </c>
      <c r="AE91" s="354">
        <f t="shared" si="23"/>
        <v>611.21333333333325</v>
      </c>
      <c r="AF91" s="355">
        <f>AC91/AD100</f>
        <v>0.47557747186786836</v>
      </c>
      <c r="AG91" s="353">
        <f t="shared" si="24"/>
        <v>1552.514881458869</v>
      </c>
      <c r="AH91" s="318">
        <f t="shared" si="24"/>
        <v>350.33333333333337</v>
      </c>
      <c r="AI91" s="354">
        <f t="shared" si="24"/>
        <v>1806.7684742360377</v>
      </c>
      <c r="AJ91" s="354">
        <f t="shared" si="24"/>
        <v>259.33</v>
      </c>
      <c r="AK91" s="355">
        <f>AH91/AI100</f>
        <v>0.24014810123053629</v>
      </c>
      <c r="AL91" s="353">
        <f t="shared" si="25"/>
        <v>1492.3832633358334</v>
      </c>
      <c r="AM91" s="318">
        <f t="shared" si="25"/>
        <v>1132</v>
      </c>
      <c r="AN91" s="354">
        <f t="shared" si="25"/>
        <v>1728.7169734550528</v>
      </c>
      <c r="AO91" s="354">
        <f t="shared" si="25"/>
        <v>973.82</v>
      </c>
      <c r="AP91" s="355">
        <f>AM91/AN100</f>
        <v>0.74161085477202338</v>
      </c>
      <c r="AQ91" s="353">
        <f t="shared" si="26"/>
        <v>1656.2900775176422</v>
      </c>
      <c r="AR91" s="318">
        <f t="shared" si="26"/>
        <v>197.33333333333334</v>
      </c>
      <c r="AS91" s="354">
        <f t="shared" si="26"/>
        <v>1945.3516693143131</v>
      </c>
      <c r="AT91" s="354">
        <f t="shared" si="26"/>
        <v>171.85</v>
      </c>
      <c r="AU91" s="355">
        <f>AR91/AS100</f>
        <v>0.13928654701356233</v>
      </c>
      <c r="AV91" s="353">
        <f t="shared" si="27"/>
        <v>1515.4002455010552</v>
      </c>
      <c r="AW91" s="318">
        <f t="shared" si="27"/>
        <v>91.666666666666671</v>
      </c>
      <c r="AX91" s="354">
        <f t="shared" si="27"/>
        <v>1764.4005003645132</v>
      </c>
      <c r="AY91" s="354">
        <f t="shared" si="27"/>
        <v>87.873333333333335</v>
      </c>
      <c r="AZ91" s="355">
        <f>AW91/AX100</f>
        <v>7.3340823876145225E-2</v>
      </c>
      <c r="BA91" s="353">
        <f t="shared" si="28"/>
        <v>1424.2314062031555</v>
      </c>
      <c r="BB91" s="318">
        <f t="shared" si="28"/>
        <v>701</v>
      </c>
      <c r="BC91" s="354">
        <f t="shared" si="28"/>
        <v>1675.3649948355076</v>
      </c>
      <c r="BD91" s="354">
        <f t="shared" si="28"/>
        <v>726.02</v>
      </c>
      <c r="BE91" s="355">
        <f>BB91/BC100</f>
        <v>0.672382504114866</v>
      </c>
      <c r="BF91" s="353">
        <f t="shared" si="29"/>
        <v>1076.5074210244586</v>
      </c>
      <c r="BG91" s="318">
        <f t="shared" si="29"/>
        <v>917.66666666666663</v>
      </c>
      <c r="BH91" s="354">
        <f t="shared" si="29"/>
        <v>1237.7344859776292</v>
      </c>
      <c r="BI91" s="354">
        <f t="shared" si="29"/>
        <v>948.16666666666674</v>
      </c>
      <c r="BJ91" s="355">
        <f>BG91/BH100</f>
        <v>0.89848960405426703</v>
      </c>
      <c r="BK91" s="353">
        <f t="shared" si="4"/>
        <v>17143.148408648627</v>
      </c>
      <c r="BL91" s="318">
        <f t="shared" si="5"/>
        <v>8102.3333333333339</v>
      </c>
      <c r="BM91" s="354">
        <f>$BM$26+$BM$58</f>
        <v>20313.845776447899</v>
      </c>
      <c r="BN91" s="354">
        <f>$BN$26+$BN$58</f>
        <v>7410.5</v>
      </c>
      <c r="BO91" s="356">
        <f>BL91/BM100</f>
        <v>0.62073335200785551</v>
      </c>
      <c r="DJ91" s="321" t="s">
        <v>244</v>
      </c>
      <c r="DK91" s="322" t="s">
        <v>241</v>
      </c>
      <c r="DL91" s="322" t="s">
        <v>241</v>
      </c>
      <c r="DM91" s="322" t="s">
        <v>241</v>
      </c>
      <c r="DN91" s="322" t="s">
        <v>241</v>
      </c>
      <c r="DO91" s="322" t="s">
        <v>241</v>
      </c>
      <c r="DP91" s="319">
        <f>C124</f>
        <v>11126.306034580288</v>
      </c>
      <c r="DQ91" s="319">
        <f>G124</f>
        <v>8990.5415027178951</v>
      </c>
    </row>
    <row r="92" spans="1:122">
      <c r="A92" s="283" t="s">
        <v>1</v>
      </c>
      <c r="B92" s="283" t="s">
        <v>65</v>
      </c>
      <c r="C92" s="284">
        <f>C59+C13</f>
        <v>12523.654338745044</v>
      </c>
      <c r="D92" s="288">
        <f>D59+D13</f>
        <v>2580</v>
      </c>
      <c r="E92" s="326">
        <f>E59+E13</f>
        <v>2112.2896353900937</v>
      </c>
      <c r="F92" s="326">
        <f>F59+F13</f>
        <v>244.84333333333333</v>
      </c>
      <c r="G92" s="327">
        <f>D92/E100</f>
        <v>2.2257541611394251</v>
      </c>
      <c r="H92" s="284">
        <f>H59+H13</f>
        <v>8275.2193370299192</v>
      </c>
      <c r="I92" s="288">
        <f>I59+I13</f>
        <v>28448</v>
      </c>
      <c r="J92" s="326">
        <f>J59+J13</f>
        <v>1395.7315942608141</v>
      </c>
      <c r="K92" s="326">
        <f>K59+K13</f>
        <v>2699.7166666666667</v>
      </c>
      <c r="L92" s="328">
        <f>I92/J100</f>
        <v>27.148595808356561</v>
      </c>
      <c r="M92" s="290">
        <f>M59+M13</f>
        <v>1936.8882963019371</v>
      </c>
      <c r="N92" s="288">
        <f>N59+N13</f>
        <v>0</v>
      </c>
      <c r="O92" s="326">
        <f>O59+O13</f>
        <v>326.68332760746989</v>
      </c>
      <c r="P92" s="326">
        <f>P59+P13</f>
        <v>0</v>
      </c>
      <c r="Q92" s="327">
        <f>N92/O100</f>
        <v>0</v>
      </c>
      <c r="R92" s="284">
        <f>R59+R13</f>
        <v>6255.3007657347625</v>
      </c>
      <c r="S92" s="288">
        <f>S59+S13</f>
        <v>0</v>
      </c>
      <c r="T92" s="326">
        <f>T59+T13</f>
        <v>1055.0440483518878</v>
      </c>
      <c r="U92" s="326">
        <f>U59+U13</f>
        <v>0</v>
      </c>
      <c r="V92" s="327">
        <f>S92/T100</f>
        <v>0</v>
      </c>
      <c r="W92" s="284">
        <f>W59+W13</f>
        <v>4309.0724705731191</v>
      </c>
      <c r="X92" s="288">
        <f>X59+X13</f>
        <v>18096</v>
      </c>
      <c r="Y92" s="326">
        <f>Y59+Y13</f>
        <v>726.78539917674436</v>
      </c>
      <c r="Z92" s="326">
        <f>Z59+Z13</f>
        <v>1790.6000000000001</v>
      </c>
      <c r="AA92" s="327">
        <f>X92/Y100</f>
        <v>14.485761858002817</v>
      </c>
      <c r="AB92" s="284">
        <f>AB59+AB13</f>
        <v>10924.035098850443</v>
      </c>
      <c r="AC92" s="288">
        <f>AC59+AC13</f>
        <v>12727.666666666666</v>
      </c>
      <c r="AD92" s="326">
        <f>AD59+AD13</f>
        <v>1842.4914559125109</v>
      </c>
      <c r="AE92" s="326">
        <f>AE59+AE13</f>
        <v>1482.7733333333333</v>
      </c>
      <c r="AF92" s="327">
        <f>AC92/AD100</f>
        <v>9.472600213005121</v>
      </c>
      <c r="AG92" s="284">
        <f>AG59+AG13</f>
        <v>27080.774520114657</v>
      </c>
      <c r="AH92" s="288">
        <f>AH59+AH13</f>
        <v>69011</v>
      </c>
      <c r="AI92" s="326">
        <f>AI59+AI13</f>
        <v>4190.246779740618</v>
      </c>
      <c r="AJ92" s="326">
        <f>AJ59+AJ13</f>
        <v>8107.0333333333328</v>
      </c>
      <c r="AK92" s="327">
        <f>AH92/AI100</f>
        <v>47.305977014330743</v>
      </c>
      <c r="AL92" s="284">
        <f>AL59+AL13</f>
        <v>165567.64304167128</v>
      </c>
      <c r="AM92" s="288">
        <f>AM59+AM13</f>
        <v>337501.33333333331</v>
      </c>
      <c r="AN92" s="326">
        <f>AN59+AN13</f>
        <v>26208.61471451378</v>
      </c>
      <c r="AO92" s="326">
        <f>SUM(AO13+AO59)</f>
        <v>36280.28666666666</v>
      </c>
      <c r="AP92" s="327">
        <f>AM92/AN100</f>
        <v>221.10835008836654</v>
      </c>
      <c r="AQ92" s="284">
        <f>AQ59+AQ13</f>
        <v>198779.28779266545</v>
      </c>
      <c r="AR92" s="288">
        <f>AR59+AR13</f>
        <v>341059.33333333337</v>
      </c>
      <c r="AS92" s="326">
        <f>AS59+AS13</f>
        <v>31671.800166982124</v>
      </c>
      <c r="AT92" s="326">
        <f>AT59+AT13</f>
        <v>34893.48333333333</v>
      </c>
      <c r="AU92" s="327">
        <f>AR92/AS100</f>
        <v>240.73468006797751</v>
      </c>
      <c r="AV92" s="284">
        <f>AV59+AV13</f>
        <v>203990.54775677636</v>
      </c>
      <c r="AW92" s="288">
        <f>AW59+AW13</f>
        <v>343090</v>
      </c>
      <c r="AX92" s="326">
        <f>AX59+AX13</f>
        <v>32227.704607648921</v>
      </c>
      <c r="AY92" s="326">
        <f>AY59+AY13</f>
        <v>35342.453333333331</v>
      </c>
      <c r="AZ92" s="327">
        <f>AW92/AX100</f>
        <v>274.50003560363632</v>
      </c>
      <c r="BA92" s="284">
        <f>BA59+BA13</f>
        <v>45233.806566125953</v>
      </c>
      <c r="BB92" s="288">
        <f>BB59+BB13</f>
        <v>164029.33333333331</v>
      </c>
      <c r="BC92" s="326">
        <f>BC59+BC13</f>
        <v>7163.1949202690676</v>
      </c>
      <c r="BD92" s="326">
        <f>BD59+BD13</f>
        <v>17570.456666666669</v>
      </c>
      <c r="BE92" s="327">
        <f>BB92/BC100</f>
        <v>157.33302980735908</v>
      </c>
      <c r="BF92" s="284">
        <f>BF59+BF13</f>
        <v>14129.572373903045</v>
      </c>
      <c r="BG92" s="288">
        <f>BG59+BG13</f>
        <v>12148</v>
      </c>
      <c r="BH92" s="326">
        <f>BH59+BH13</f>
        <v>2383.1501948719829</v>
      </c>
      <c r="BI92" s="326">
        <f>BI59+BI13</f>
        <v>1275.6266666666666</v>
      </c>
      <c r="BJ92" s="327">
        <f>BG92/BH100</f>
        <v>11.894135535834984</v>
      </c>
      <c r="BK92" s="284">
        <f t="shared" si="4"/>
        <v>699005.80235849193</v>
      </c>
      <c r="BL92" s="288">
        <f t="shared" si="5"/>
        <v>1328690.6666666667</v>
      </c>
      <c r="BM92" s="326">
        <f>$BM$59+BM$13</f>
        <v>111303.73684472601</v>
      </c>
      <c r="BN92" s="326">
        <f>$BN$59+$BN$13</f>
        <v>139687.27333333335</v>
      </c>
      <c r="BO92" s="328">
        <f>BL92/BM100</f>
        <v>101.79322145491655</v>
      </c>
      <c r="DD92" s="310" t="s">
        <v>235</v>
      </c>
      <c r="DE92" s="310" t="s">
        <v>330</v>
      </c>
      <c r="DF92" s="310" t="s">
        <v>307</v>
      </c>
      <c r="DG92" s="310" t="s">
        <v>238</v>
      </c>
      <c r="DH92" s="283" t="s">
        <v>313</v>
      </c>
      <c r="DJ92" s="310" t="s">
        <v>240</v>
      </c>
      <c r="DK92" s="324" t="s">
        <v>241</v>
      </c>
      <c r="DL92" s="324" t="s">
        <v>241</v>
      </c>
      <c r="DM92" s="324" t="s">
        <v>241</v>
      </c>
      <c r="DN92" s="324" t="s">
        <v>241</v>
      </c>
      <c r="DO92" s="324" t="s">
        <v>241</v>
      </c>
      <c r="DP92" s="323">
        <f>D125</f>
        <v>2066.6666666666665</v>
      </c>
      <c r="DQ92" s="323">
        <f>H125</f>
        <v>333.99</v>
      </c>
    </row>
    <row r="93" spans="1:122" s="316" customFormat="1">
      <c r="A93" s="316" t="s">
        <v>1</v>
      </c>
      <c r="B93" s="316" t="s">
        <v>280</v>
      </c>
      <c r="C93" s="353">
        <f>C27</f>
        <v>285</v>
      </c>
      <c r="D93" s="318">
        <f>D27</f>
        <v>285</v>
      </c>
      <c r="E93" s="354">
        <f>E27</f>
        <v>552.9</v>
      </c>
      <c r="F93" s="354">
        <f>F27</f>
        <v>552.9</v>
      </c>
      <c r="G93" s="355">
        <f>D93/E100</f>
        <v>0.24586819221888997</v>
      </c>
      <c r="H93" s="353">
        <f>H27</f>
        <v>210</v>
      </c>
      <c r="I93" s="318">
        <f>I27</f>
        <v>210</v>
      </c>
      <c r="J93" s="354">
        <f>J27</f>
        <v>407.4</v>
      </c>
      <c r="K93" s="354">
        <f>K27</f>
        <v>407.4</v>
      </c>
      <c r="L93" s="356">
        <f>I93/J100</f>
        <v>0.20040794149869509</v>
      </c>
      <c r="M93" s="357">
        <f>M27</f>
        <v>440</v>
      </c>
      <c r="N93" s="318">
        <f>N27</f>
        <v>440</v>
      </c>
      <c r="O93" s="354">
        <f>O27</f>
        <v>990.13</v>
      </c>
      <c r="P93" s="354">
        <f>P27</f>
        <v>990.13</v>
      </c>
      <c r="Q93" s="355">
        <f>N93/O100</f>
        <v>0.39650367862295477</v>
      </c>
      <c r="R93" s="353">
        <f>R27</f>
        <v>330</v>
      </c>
      <c r="S93" s="318">
        <f>S27</f>
        <v>330</v>
      </c>
      <c r="T93" s="354">
        <f>T27</f>
        <v>755.96</v>
      </c>
      <c r="U93" s="354">
        <f>U27</f>
        <v>755.96</v>
      </c>
      <c r="V93" s="355">
        <f>S93/T100</f>
        <v>0.28830705225259545</v>
      </c>
      <c r="W93" s="353">
        <f>W27</f>
        <v>385</v>
      </c>
      <c r="X93" s="318">
        <f>X27</f>
        <v>385</v>
      </c>
      <c r="Y93" s="354">
        <f>Y27</f>
        <v>881.96</v>
      </c>
      <c r="Z93" s="354">
        <f>Z27</f>
        <v>881.96</v>
      </c>
      <c r="AA93" s="355">
        <f>X93/Y100</f>
        <v>0.30819066729283184</v>
      </c>
      <c r="AB93" s="353">
        <f>AB27</f>
        <v>0</v>
      </c>
      <c r="AC93" s="318">
        <f>AC27</f>
        <v>0</v>
      </c>
      <c r="AD93" s="354">
        <f>AD27</f>
        <v>0</v>
      </c>
      <c r="AE93" s="354">
        <f>AE27</f>
        <v>0</v>
      </c>
      <c r="AF93" s="355">
        <f>AC93/AD100</f>
        <v>0</v>
      </c>
      <c r="AG93" s="353">
        <f>AG27</f>
        <v>0</v>
      </c>
      <c r="AH93" s="318">
        <f>AH27</f>
        <v>0</v>
      </c>
      <c r="AI93" s="354">
        <f>AI27</f>
        <v>0</v>
      </c>
      <c r="AJ93" s="354">
        <f>AJ27</f>
        <v>0</v>
      </c>
      <c r="AK93" s="355">
        <f>AH93/AI100</f>
        <v>0</v>
      </c>
      <c r="AL93" s="353">
        <f>AL27</f>
        <v>0</v>
      </c>
      <c r="AM93" s="318">
        <f>AM27</f>
        <v>0</v>
      </c>
      <c r="AN93" s="354">
        <f>AN27</f>
        <v>0</v>
      </c>
      <c r="AO93" s="354">
        <f>AO27</f>
        <v>0</v>
      </c>
      <c r="AP93" s="355">
        <f>AM93/AN100</f>
        <v>0</v>
      </c>
      <c r="AQ93" s="353">
        <f>AQ27</f>
        <v>0</v>
      </c>
      <c r="AR93" s="318">
        <f>AR27</f>
        <v>0</v>
      </c>
      <c r="AS93" s="354">
        <f>AS27</f>
        <v>0</v>
      </c>
      <c r="AT93" s="354">
        <f>AT27</f>
        <v>0</v>
      </c>
      <c r="AU93" s="355">
        <f>AR93/AS100</f>
        <v>0</v>
      </c>
      <c r="AV93" s="353">
        <f>AV27</f>
        <v>342</v>
      </c>
      <c r="AW93" s="318">
        <f>AW27</f>
        <v>342</v>
      </c>
      <c r="AX93" s="354">
        <f>AX27</f>
        <v>799.82999999999993</v>
      </c>
      <c r="AY93" s="354">
        <f>AY27</f>
        <v>799.82999999999993</v>
      </c>
      <c r="AZ93" s="355">
        <f>AW93/AX100</f>
        <v>0.27362794653427269</v>
      </c>
      <c r="BA93" s="353">
        <f>BA27</f>
        <v>300</v>
      </c>
      <c r="BB93" s="318">
        <f>BB27</f>
        <v>300</v>
      </c>
      <c r="BC93" s="354">
        <f>BC27</f>
        <v>720</v>
      </c>
      <c r="BD93" s="354">
        <f>BD27</f>
        <v>720</v>
      </c>
      <c r="BE93" s="355">
        <f>BB93/BC100</f>
        <v>0.28775285482804536</v>
      </c>
      <c r="BF93" s="353">
        <f>BF27</f>
        <v>375</v>
      </c>
      <c r="BG93" s="318">
        <f>BG27</f>
        <v>375</v>
      </c>
      <c r="BH93" s="354">
        <f>BH27</f>
        <v>932.74</v>
      </c>
      <c r="BI93" s="354">
        <f>BI27</f>
        <v>932.74</v>
      </c>
      <c r="BJ93" s="355">
        <f>BG93/BH100</f>
        <v>0.36716338705450435</v>
      </c>
      <c r="BK93" s="353">
        <f t="shared" si="4"/>
        <v>2667</v>
      </c>
      <c r="BL93" s="318">
        <f t="shared" si="5"/>
        <v>2667</v>
      </c>
      <c r="BM93" s="354">
        <f>$BM$27</f>
        <v>1510.23</v>
      </c>
      <c r="BN93" s="354">
        <f>$BN$27</f>
        <v>1510.23</v>
      </c>
      <c r="BO93" s="356">
        <f>BL93/BM100</f>
        <v>0.20432334510284492</v>
      </c>
      <c r="BQ93" s="360"/>
      <c r="BR93" s="360">
        <f>BR94-BM93-BM87-BM77</f>
        <v>-353345.02100010205</v>
      </c>
      <c r="DJ93" s="321" t="s">
        <v>244</v>
      </c>
      <c r="DK93" s="322" t="s">
        <v>241</v>
      </c>
      <c r="DL93" s="322" t="s">
        <v>241</v>
      </c>
      <c r="DM93" s="322" t="s">
        <v>241</v>
      </c>
      <c r="DN93" s="322" t="s">
        <v>241</v>
      </c>
      <c r="DO93" s="322" t="s">
        <v>241</v>
      </c>
      <c r="DP93" s="319">
        <f>C125</f>
        <v>2445.8005066131664</v>
      </c>
      <c r="DQ93" s="319">
        <f>G125</f>
        <v>402.89503116418473</v>
      </c>
    </row>
    <row r="94" spans="1:122">
      <c r="A94" s="283" t="s">
        <v>1</v>
      </c>
      <c r="B94" s="283" t="s">
        <v>63</v>
      </c>
      <c r="C94" s="284">
        <f>C21+C47</f>
        <v>34163.667379434031</v>
      </c>
      <c r="D94" s="288">
        <f>D21+D47</f>
        <v>32773.666666666664</v>
      </c>
      <c r="E94" s="326">
        <f>E21+E47</f>
        <v>27303.011511379635</v>
      </c>
      <c r="F94" s="326">
        <f>F21+F47</f>
        <v>14851.376666666667</v>
      </c>
      <c r="G94" s="327">
        <f>D94/E100</f>
        <v>28.273691844623951</v>
      </c>
      <c r="H94" s="284">
        <f>H21+H47</f>
        <v>29466.85237508078</v>
      </c>
      <c r="I94" s="288">
        <f>I21+I47</f>
        <v>31899</v>
      </c>
      <c r="J94" s="326">
        <f>J21+J47</f>
        <v>22399.241202854399</v>
      </c>
      <c r="K94" s="326">
        <f>K21+K47</f>
        <v>17280.886666666669</v>
      </c>
      <c r="L94" s="328">
        <f>I94/J100</f>
        <v>30.441966313651783</v>
      </c>
      <c r="M94" s="290">
        <f>M21+M47</f>
        <v>32105.776918842785</v>
      </c>
      <c r="N94" s="288">
        <f>N21+N47</f>
        <v>30318</v>
      </c>
      <c r="O94" s="326">
        <f>O21+O47</f>
        <v>25163.365201114055</v>
      </c>
      <c r="P94" s="326">
        <f>P21+P47</f>
        <v>18418.63</v>
      </c>
      <c r="Q94" s="327">
        <f>N94/O100</f>
        <v>27.320905746569867</v>
      </c>
      <c r="R94" s="284">
        <f>R21+R47</f>
        <v>35773.225198595057</v>
      </c>
      <c r="S94" s="288">
        <f>S21+S47</f>
        <v>29859.666666666664</v>
      </c>
      <c r="T94" s="326">
        <f>T21+T47</f>
        <v>27027.324902704451</v>
      </c>
      <c r="U94" s="326">
        <f>U21+U47</f>
        <v>17830.996666666666</v>
      </c>
      <c r="V94" s="327">
        <f>S94/T100</f>
        <v>26.087128720944694</v>
      </c>
      <c r="W94" s="284">
        <f>W21+W47</f>
        <v>37554.658241116347</v>
      </c>
      <c r="X94" s="288">
        <f>X21+X47</f>
        <v>37792</v>
      </c>
      <c r="Y94" s="326">
        <f>Y21+Y47</f>
        <v>29946.466447404455</v>
      </c>
      <c r="Z94" s="326">
        <f>Z21+Z47</f>
        <v>24233.703333333335</v>
      </c>
      <c r="AA94" s="327">
        <f>X94/Y100</f>
        <v>30.252316099560261</v>
      </c>
      <c r="AB94" s="284">
        <f>AB21+AB47</f>
        <v>40428.437862977749</v>
      </c>
      <c r="AC94" s="288">
        <f>AC21+AC47</f>
        <v>39907.333333333336</v>
      </c>
      <c r="AD94" s="326">
        <f>AD21+AD47</f>
        <v>32395.621572550524</v>
      </c>
      <c r="AE94" s="326">
        <f>AE21+AE47</f>
        <v>26355.719999999998</v>
      </c>
      <c r="AF94" s="327">
        <f>AC94/AD100</f>
        <v>29.701140368787133</v>
      </c>
      <c r="AG94" s="284">
        <f>AG21+AG47</f>
        <v>45206.906971756209</v>
      </c>
      <c r="AH94" s="288">
        <f>AH21+AH47</f>
        <v>43570.666666666664</v>
      </c>
      <c r="AI94" s="326">
        <f>AI21+AI47</f>
        <v>34297.196808821624</v>
      </c>
      <c r="AJ94" s="326">
        <f>AJ21+AJ47</f>
        <v>23166.296666666665</v>
      </c>
      <c r="AK94" s="327">
        <f>AH94/AI100</f>
        <v>29.867020559510802</v>
      </c>
      <c r="AL94" s="284">
        <f>AL21+AL47</f>
        <v>45294.920516396145</v>
      </c>
      <c r="AM94" s="288">
        <f>AM21+AM47</f>
        <v>42912.333333333336</v>
      </c>
      <c r="AN94" s="326">
        <f>AN21+AN47</f>
        <v>34291.566041405458</v>
      </c>
      <c r="AO94" s="326">
        <f>AO21+AO47</f>
        <v>22861.653333333335</v>
      </c>
      <c r="AP94" s="327">
        <f>AM94/AN100</f>
        <v>28.113296999642515</v>
      </c>
      <c r="AQ94" s="284">
        <f>AQ21+AQ47</f>
        <v>46669.503848709253</v>
      </c>
      <c r="AR94" s="288">
        <f>AR21+AR47</f>
        <v>42042</v>
      </c>
      <c r="AS94" s="326">
        <f>AS21+AS47</f>
        <v>35538.136209785975</v>
      </c>
      <c r="AT94" s="326">
        <f>AT21+AT47</f>
        <v>19397.546666666665</v>
      </c>
      <c r="AU94" s="327">
        <f>AR94/AS100</f>
        <v>29.675092953771216</v>
      </c>
      <c r="AV94" s="284">
        <f>AV21+AV47</f>
        <v>41988.176671054411</v>
      </c>
      <c r="AW94" s="288">
        <f>AW21+AW47</f>
        <v>37616.666666666664</v>
      </c>
      <c r="AX94" s="326">
        <f>AX21+AX47</f>
        <v>31491.876364986048</v>
      </c>
      <c r="AY94" s="326">
        <f>AY21+AY47</f>
        <v>16872.263333333336</v>
      </c>
      <c r="AZ94" s="327">
        <f>AW94/AX100</f>
        <v>30.096407179719957</v>
      </c>
      <c r="BA94" s="284">
        <f>BA21+BA47</f>
        <v>35606.063707571528</v>
      </c>
      <c r="BB94" s="288">
        <f>BB21+BB47</f>
        <v>34752.333333333328</v>
      </c>
      <c r="BC94" s="326">
        <f>BC21+BC47</f>
        <v>26576.166879754706</v>
      </c>
      <c r="BD94" s="326">
        <f>BD21+BD47</f>
        <v>16035.276666666667</v>
      </c>
      <c r="BE94" s="327">
        <f>BB94/BC100</f>
        <v>33.333610428675023</v>
      </c>
      <c r="BF94" s="284">
        <f>BF21+BF47</f>
        <v>33847.655973157824</v>
      </c>
      <c r="BG94" s="288">
        <f>BG21+BG47</f>
        <v>34535.666666666664</v>
      </c>
      <c r="BH94" s="326">
        <f>BH21+BH47</f>
        <v>25421.626106251228</v>
      </c>
      <c r="BI94" s="326">
        <f>BI21+BI47</f>
        <v>16689.900000000001</v>
      </c>
      <c r="BJ94" s="327">
        <f>BG94/BH100</f>
        <v>33.813952926716468</v>
      </c>
      <c r="BK94" s="284">
        <f t="shared" si="4"/>
        <v>458105.84566469211</v>
      </c>
      <c r="BL94" s="288">
        <f t="shared" si="5"/>
        <v>437979.33333333331</v>
      </c>
      <c r="BM94" s="326">
        <f>$BM$21+$BM$47</f>
        <v>351851.59924901254</v>
      </c>
      <c r="BN94" s="326">
        <f>$BN$21+$BN$47</f>
        <v>233994.25</v>
      </c>
      <c r="BO94" s="328">
        <f>BL94/BM100</f>
        <v>33.554331635763262</v>
      </c>
      <c r="BP94" s="339"/>
      <c r="BR94" s="339">
        <f>BR95-BM102</f>
        <v>-338845.37416666676</v>
      </c>
      <c r="DD94" s="310" t="s">
        <v>235</v>
      </c>
      <c r="DE94" s="310" t="s">
        <v>330</v>
      </c>
      <c r="DF94" s="310" t="s">
        <v>355</v>
      </c>
      <c r="DG94" s="310" t="s">
        <v>238</v>
      </c>
      <c r="DH94" s="283" t="s">
        <v>356</v>
      </c>
      <c r="DJ94" s="310" t="s">
        <v>240</v>
      </c>
      <c r="DK94" s="324" t="s">
        <v>241</v>
      </c>
      <c r="DL94" s="324" t="s">
        <v>241</v>
      </c>
      <c r="DM94" s="324" t="s">
        <v>241</v>
      </c>
      <c r="DN94" s="324" t="s">
        <v>241</v>
      </c>
      <c r="DO94" s="324" t="s">
        <v>241</v>
      </c>
      <c r="DP94" s="323">
        <f>D130</f>
        <v>375</v>
      </c>
      <c r="DQ94" s="323">
        <f>H130</f>
        <v>932.74</v>
      </c>
    </row>
    <row r="95" spans="1:122">
      <c r="A95" s="283" t="s">
        <v>1</v>
      </c>
      <c r="E95" s="326"/>
      <c r="F95" s="326"/>
      <c r="J95" s="326"/>
      <c r="K95" s="326"/>
      <c r="O95" s="326"/>
      <c r="P95" s="326"/>
      <c r="T95" s="326"/>
      <c r="U95" s="326"/>
      <c r="Y95" s="326"/>
      <c r="Z95" s="326"/>
      <c r="AD95" s="326"/>
      <c r="AE95" s="326"/>
      <c r="AI95" s="326"/>
      <c r="AJ95" s="326"/>
      <c r="AS95" s="326"/>
      <c r="AT95" s="326"/>
      <c r="AX95" s="326"/>
      <c r="AY95" s="326"/>
      <c r="BC95" s="326"/>
      <c r="BD95" s="326"/>
      <c r="BH95" s="326"/>
      <c r="BP95" s="339"/>
      <c r="BR95" s="339">
        <f>1432353-BN96</f>
        <v>-246022.19083333341</v>
      </c>
      <c r="DD95" s="310" t="s">
        <v>235</v>
      </c>
      <c r="DE95" s="310" t="s">
        <v>330</v>
      </c>
      <c r="DF95" s="310" t="s">
        <v>357</v>
      </c>
      <c r="DG95" s="310" t="s">
        <v>238</v>
      </c>
      <c r="DH95" s="283" t="s">
        <v>358</v>
      </c>
      <c r="DJ95" s="310" t="s">
        <v>240</v>
      </c>
      <c r="DK95" s="324" t="s">
        <v>241</v>
      </c>
      <c r="DL95" s="324" t="s">
        <v>241</v>
      </c>
      <c r="DM95" s="324" t="s">
        <v>241</v>
      </c>
      <c r="DN95" s="324" t="s">
        <v>241</v>
      </c>
      <c r="DO95" s="324" t="s">
        <v>241</v>
      </c>
      <c r="DP95" s="323">
        <f>D131</f>
        <v>1800</v>
      </c>
      <c r="DQ95" s="323">
        <f>H131</f>
        <v>615.96</v>
      </c>
    </row>
    <row r="96" spans="1:122">
      <c r="A96" s="283" t="s">
        <v>1</v>
      </c>
      <c r="B96" s="283" t="s">
        <v>284</v>
      </c>
      <c r="C96" s="284">
        <f>SUM(C29+C61)</f>
        <v>609760.97783553146</v>
      </c>
      <c r="D96" s="288">
        <f>SUM(D29+D61)</f>
        <v>640344.2433333334</v>
      </c>
      <c r="E96" s="326">
        <f>SUM(E29+E61)</f>
        <v>143717.98768391259</v>
      </c>
      <c r="F96" s="326">
        <f>SUM(F29+F61)</f>
        <v>121024.37666666668</v>
      </c>
      <c r="G96" s="327">
        <f>D96/E100</f>
        <v>552.42204037241993</v>
      </c>
      <c r="H96" s="284">
        <f>SUM(H29+H61)</f>
        <v>454137.56943326967</v>
      </c>
      <c r="I96" s="288">
        <f>SUM(I29+I61)</f>
        <v>601661.33333333337</v>
      </c>
      <c r="J96" s="326">
        <f>SUM(J29+J61)</f>
        <v>107535.0646534682</v>
      </c>
      <c r="K96" s="326">
        <f>SUM(K29+K61)</f>
        <v>120917.52</v>
      </c>
      <c r="L96" s="328">
        <f>I96/J100</f>
        <v>574.17956806044549</v>
      </c>
      <c r="M96" s="290">
        <f>SUM(M29+M61)</f>
        <v>526707.79282675323</v>
      </c>
      <c r="N96" s="288">
        <f>SUM(N29+N61)</f>
        <v>530520.5</v>
      </c>
      <c r="O96" s="326">
        <f>SUM(O77:O94)</f>
        <v>133659.96005479555</v>
      </c>
      <c r="P96" s="326">
        <f>SUM(P77:P94)</f>
        <v>120887.35666666669</v>
      </c>
      <c r="Q96" s="327">
        <f>N96/O100</f>
        <v>478.07574962474831</v>
      </c>
      <c r="R96" s="284">
        <f>SUM(R29+R61)</f>
        <v>537674.29009548458</v>
      </c>
      <c r="S96" s="288">
        <f>SUM(S29+S61)</f>
        <v>508666.33333333337</v>
      </c>
      <c r="T96" s="326">
        <f>SUM(T29+T61)</f>
        <v>131977.08474526019</v>
      </c>
      <c r="U96" s="326">
        <f>SUM(U29+U61)</f>
        <v>107542.61999999998</v>
      </c>
      <c r="V96" s="327">
        <f>S96/T100</f>
        <v>444.40027619233177</v>
      </c>
      <c r="W96" s="284">
        <f>SUM(W29+W61)</f>
        <v>585694.00266783941</v>
      </c>
      <c r="X96" s="288">
        <f>SUM(X29+X61)</f>
        <v>728534</v>
      </c>
      <c r="Y96" s="326">
        <f>SUM(Y29+Y61)</f>
        <v>151163.35126544823</v>
      </c>
      <c r="Z96" s="326">
        <f>SUM(Z29+Z61)</f>
        <v>155099.97666666665</v>
      </c>
      <c r="AA96" s="327">
        <f>X96/Y100</f>
        <v>583.1879989753661</v>
      </c>
      <c r="AB96" s="284">
        <f>SUM(AB29+AB61)</f>
        <v>675490.0663890068</v>
      </c>
      <c r="AC96" s="288">
        <f>SUM(AC29+AC61)</f>
        <v>720702.27666666661</v>
      </c>
      <c r="AD96" s="326">
        <f>SUM(AD29+AD61)</f>
        <v>161519.93927190264</v>
      </c>
      <c r="AE96" s="326">
        <f>SUM(AE29+AE61)</f>
        <v>156436.64666666667</v>
      </c>
      <c r="AF96" s="327">
        <f>AC96/AD100</f>
        <v>536.38461143435097</v>
      </c>
      <c r="AG96" s="284">
        <f>SUM(AG29+AG61)</f>
        <v>755416.62755306019</v>
      </c>
      <c r="AH96" s="288">
        <f>SUM(AH29+AH61)</f>
        <v>737417</v>
      </c>
      <c r="AI96" s="326">
        <f>SUM(AI29+AI61)</f>
        <v>190537.2695827329</v>
      </c>
      <c r="AJ96" s="326">
        <f>SUM(AJ29+AJ61)</f>
        <v>147421.04666666666</v>
      </c>
      <c r="AK96" s="327">
        <f>AH96/AI100</f>
        <v>505.4879896245053</v>
      </c>
      <c r="AL96" s="284">
        <f>SUM(AL29+AL61)</f>
        <v>995116.54335742653</v>
      </c>
      <c r="AM96" s="288">
        <f>SUM(AM29+AM61)</f>
        <v>1159615</v>
      </c>
      <c r="AN96" s="286">
        <f>SUM(AN29+AN61)</f>
        <v>225508.77631132989</v>
      </c>
      <c r="AO96" s="286">
        <f>SUM(AO29+AO61)</f>
        <v>180759.36333333331</v>
      </c>
      <c r="AP96" s="327">
        <f>AM96/AN100</f>
        <v>759.70235985552995</v>
      </c>
      <c r="AQ96" s="284">
        <f>SUM(AQ29+AQ61)</f>
        <v>956724.28876784164</v>
      </c>
      <c r="AR96" s="288">
        <f>SUM(AR29+AR61)</f>
        <v>964905.83000000007</v>
      </c>
      <c r="AS96" s="326">
        <f>SUM(AS29+AS61)</f>
        <v>239265.49351044768</v>
      </c>
      <c r="AT96" s="326">
        <f>SUM(AT29+AT61)</f>
        <v>175385.56</v>
      </c>
      <c r="AU96" s="327">
        <f>AR96/AS100</f>
        <v>681.07297932747656</v>
      </c>
      <c r="AV96" s="284">
        <f>SUM(AV29+AV61)</f>
        <v>835455.88872878731</v>
      </c>
      <c r="AW96" s="288">
        <f>SUM(AW29+AW61)</f>
        <v>920030.33333333326</v>
      </c>
      <c r="AX96" s="326">
        <f>SUM(AX29+AX61)</f>
        <v>196898.90737626833</v>
      </c>
      <c r="AY96" s="326">
        <f>SUM(AY29+AY61)</f>
        <v>158557.24</v>
      </c>
      <c r="AZ96" s="327">
        <f>AW96/AX100</f>
        <v>736.09944695684919</v>
      </c>
      <c r="BA96" s="284">
        <f>SUM(BA29+BA61)</f>
        <v>540878.62323712208</v>
      </c>
      <c r="BB96" s="288">
        <f>SUM(BB29+BB61)</f>
        <v>625970</v>
      </c>
      <c r="BC96" s="326">
        <f>SUM(BC29+BC61)</f>
        <v>141002.35768133774</v>
      </c>
      <c r="BD96" s="326">
        <f>SUM(BD29+BD61)</f>
        <v>122774.56666666668</v>
      </c>
      <c r="BE96" s="327">
        <f>BB96/BC100</f>
        <v>600.41551512237186</v>
      </c>
      <c r="BF96" s="284">
        <f>SUM(BF29+BF61)</f>
        <v>535341.76733653515</v>
      </c>
      <c r="BG96" s="288">
        <f>SUM(BG29+BG61)</f>
        <v>659088.66666666663</v>
      </c>
      <c r="BH96" s="326">
        <f>SUM(BH29+BH61)</f>
        <v>123943.15039044009</v>
      </c>
      <c r="BI96" s="326">
        <f>SUM(BI29+BI61)</f>
        <v>120814.90999999997</v>
      </c>
      <c r="BJ96" s="327">
        <f>BG96/BH100</f>
        <v>645.3152725935214</v>
      </c>
      <c r="BK96" s="284">
        <f>SUM(BK29+BK61)</f>
        <v>7993078.9382286575</v>
      </c>
      <c r="BL96" s="288">
        <f>SUM(BL29+BL61)</f>
        <v>8782136.0166666675</v>
      </c>
      <c r="BM96" s="326">
        <f>SUM(BM77:BM94)</f>
        <v>1937483.3500273435</v>
      </c>
      <c r="BN96" s="326">
        <f>SUM(BN77:BN94)</f>
        <v>1678375.1908333334</v>
      </c>
      <c r="BO96" s="328">
        <f>BL96/BM100</f>
        <v>672.81417625553331</v>
      </c>
      <c r="BP96" s="339">
        <f>BN96+42329.66+59602.34</f>
        <v>1780307.1908333334</v>
      </c>
      <c r="BQ96" s="283">
        <f>1084571-1083927</f>
        <v>644</v>
      </c>
      <c r="BR96" s="283">
        <f>1714927-124915</f>
        <v>1590012</v>
      </c>
      <c r="BS96" s="339">
        <f>BM96-BR96</f>
        <v>347471.35002734349</v>
      </c>
      <c r="DJ96" s="310" t="s">
        <v>244</v>
      </c>
      <c r="DK96" s="324" t="s">
        <v>241</v>
      </c>
      <c r="DL96" s="324" t="s">
        <v>241</v>
      </c>
      <c r="DM96" s="324" t="s">
        <v>241</v>
      </c>
      <c r="DN96" s="324" t="s">
        <v>241</v>
      </c>
      <c r="DO96" s="324" t="s">
        <v>241</v>
      </c>
      <c r="DP96" s="323">
        <f>C131</f>
        <v>1800</v>
      </c>
      <c r="DQ96" s="283">
        <f>G131</f>
        <v>615.96</v>
      </c>
    </row>
    <row r="97" spans="1:121">
      <c r="A97" s="283" t="s">
        <v>1</v>
      </c>
      <c r="D97" s="305" t="s">
        <v>230</v>
      </c>
      <c r="E97" s="306" t="s">
        <v>218</v>
      </c>
      <c r="F97" s="306" t="s">
        <v>231</v>
      </c>
      <c r="I97" s="305" t="s">
        <v>230</v>
      </c>
      <c r="J97" s="306" t="s">
        <v>218</v>
      </c>
      <c r="K97" s="306" t="s">
        <v>231</v>
      </c>
      <c r="N97" s="305" t="s">
        <v>230</v>
      </c>
      <c r="O97" s="306" t="s">
        <v>218</v>
      </c>
      <c r="P97" s="306" t="s">
        <v>231</v>
      </c>
      <c r="S97" s="305" t="s">
        <v>230</v>
      </c>
      <c r="T97" s="306" t="s">
        <v>218</v>
      </c>
      <c r="U97" s="306" t="s">
        <v>231</v>
      </c>
      <c r="X97" s="305" t="s">
        <v>230</v>
      </c>
      <c r="Y97" s="306" t="s">
        <v>218</v>
      </c>
      <c r="Z97" s="306" t="s">
        <v>231</v>
      </c>
      <c r="AC97" s="305" t="s">
        <v>230</v>
      </c>
      <c r="AD97" s="306" t="s">
        <v>218</v>
      </c>
      <c r="AE97" s="306" t="s">
        <v>231</v>
      </c>
      <c r="AH97" s="305" t="s">
        <v>230</v>
      </c>
      <c r="AI97" s="306" t="s">
        <v>218</v>
      </c>
      <c r="AJ97" s="306" t="s">
        <v>231</v>
      </c>
      <c r="AM97" s="305" t="s">
        <v>230</v>
      </c>
      <c r="AN97" s="306" t="s">
        <v>218</v>
      </c>
      <c r="AO97" s="306" t="s">
        <v>231</v>
      </c>
      <c r="AR97" s="305" t="s">
        <v>230</v>
      </c>
      <c r="AS97" s="306" t="s">
        <v>218</v>
      </c>
      <c r="AT97" s="306" t="s">
        <v>231</v>
      </c>
      <c r="AW97" s="305" t="s">
        <v>230</v>
      </c>
      <c r="AX97" s="306" t="s">
        <v>218</v>
      </c>
      <c r="AY97" s="306" t="s">
        <v>231</v>
      </c>
      <c r="BB97" s="305" t="s">
        <v>230</v>
      </c>
      <c r="BC97" s="306" t="s">
        <v>218</v>
      </c>
      <c r="BD97" s="306" t="s">
        <v>231</v>
      </c>
      <c r="BG97" s="305" t="s">
        <v>230</v>
      </c>
      <c r="BH97" s="306" t="s">
        <v>218</v>
      </c>
      <c r="BI97" s="306" t="s">
        <v>231</v>
      </c>
      <c r="BL97" s="305" t="s">
        <v>230</v>
      </c>
      <c r="BM97" s="306" t="s">
        <v>218</v>
      </c>
      <c r="BN97" s="306" t="s">
        <v>231</v>
      </c>
      <c r="BO97" s="289" t="s">
        <v>182</v>
      </c>
      <c r="DD97" s="310" t="s">
        <v>235</v>
      </c>
      <c r="DE97" s="310" t="s">
        <v>330</v>
      </c>
      <c r="DF97" s="310" t="s">
        <v>314</v>
      </c>
      <c r="DG97" s="310" t="s">
        <v>238</v>
      </c>
      <c r="DH97" s="283" t="s">
        <v>359</v>
      </c>
      <c r="DJ97" s="310" t="s">
        <v>240</v>
      </c>
      <c r="DK97" s="324" t="s">
        <v>241</v>
      </c>
      <c r="DL97" s="324" t="s">
        <v>241</v>
      </c>
      <c r="DM97" s="324" t="s">
        <v>241</v>
      </c>
      <c r="DN97" s="324" t="s">
        <v>241</v>
      </c>
      <c r="DO97" s="324" t="s">
        <v>241</v>
      </c>
      <c r="DP97" s="323">
        <f>D116</f>
        <v>1936.3333333333333</v>
      </c>
      <c r="DQ97" s="323">
        <f>H116</f>
        <v>220.54999999999998</v>
      </c>
    </row>
    <row r="98" spans="1:121" s="331" customFormat="1">
      <c r="A98" s="331" t="s">
        <v>1</v>
      </c>
      <c r="B98" s="331" t="s">
        <v>233</v>
      </c>
      <c r="D98" s="288">
        <f>D64</f>
        <v>50.782666666666664</v>
      </c>
      <c r="E98" s="286">
        <f>E64</f>
        <v>73.166666666666671</v>
      </c>
      <c r="F98" s="286">
        <f>F64</f>
        <v>60.876666666666665</v>
      </c>
      <c r="G98" s="287"/>
      <c r="H98" s="284"/>
      <c r="I98" s="288">
        <f>I64</f>
        <v>42.330444444444446</v>
      </c>
      <c r="J98" s="286">
        <v>82.7</v>
      </c>
      <c r="K98" s="286">
        <f>K64</f>
        <v>44.163333333333334</v>
      </c>
      <c r="L98" s="289"/>
      <c r="M98" s="290"/>
      <c r="N98" s="288">
        <f>N64</f>
        <v>48.993333333333332</v>
      </c>
      <c r="O98" s="286">
        <f>O64</f>
        <v>55.233333333333327</v>
      </c>
      <c r="P98" s="286">
        <f>P64</f>
        <v>76.333333333333329</v>
      </c>
      <c r="Q98" s="287"/>
      <c r="S98" s="288">
        <f>S64</f>
        <v>64.100000000000009</v>
      </c>
      <c r="T98" s="286">
        <f>T64</f>
        <v>49.176666666666669</v>
      </c>
      <c r="U98" s="286">
        <f>U64</f>
        <v>70.523333333333326</v>
      </c>
      <c r="V98" s="287"/>
      <c r="X98" s="288">
        <f>X64</f>
        <v>25.861111111111111</v>
      </c>
      <c r="Y98" s="286">
        <f>Y64</f>
        <v>89.95</v>
      </c>
      <c r="Z98" s="286">
        <f>Z64</f>
        <v>68.766666666666666</v>
      </c>
      <c r="AA98" s="287"/>
      <c r="AC98" s="288">
        <f>AC64</f>
        <v>31.117777777777775</v>
      </c>
      <c r="AD98" s="286">
        <f>AD64</f>
        <v>28.580000000000002</v>
      </c>
      <c r="AE98" s="286">
        <f>AE64</f>
        <v>26.34</v>
      </c>
      <c r="AF98" s="287"/>
      <c r="AH98" s="288">
        <f>AH64</f>
        <v>14.76333333333333</v>
      </c>
      <c r="AI98" s="286">
        <f>AI64</f>
        <v>12.74</v>
      </c>
      <c r="AJ98" s="286">
        <f>AJ64</f>
        <v>12.950000000000001</v>
      </c>
      <c r="AK98" s="287"/>
      <c r="AM98" s="288">
        <f>AM64</f>
        <v>13.965555555555556</v>
      </c>
      <c r="AN98" s="286">
        <f>AN64</f>
        <v>23.7</v>
      </c>
      <c r="AO98" s="286">
        <f>AO64</f>
        <v>22.083333333333332</v>
      </c>
      <c r="AP98" s="287"/>
      <c r="AR98" s="288">
        <f>AR64</f>
        <v>24.245555555555555</v>
      </c>
      <c r="AS98" s="286">
        <f>AS64</f>
        <v>12.866666666666667</v>
      </c>
      <c r="AT98" s="286">
        <f>AT64</f>
        <v>11.733333333333333</v>
      </c>
      <c r="AU98" s="287"/>
      <c r="AW98" s="288">
        <f>AW64</f>
        <v>19.845777777777776</v>
      </c>
      <c r="AX98" s="286">
        <f>AX64</f>
        <v>14.386666666666668</v>
      </c>
      <c r="AY98" s="286">
        <f>AY64</f>
        <v>15.413333333333332</v>
      </c>
      <c r="AZ98" s="287"/>
      <c r="BB98" s="288">
        <f>BB64</f>
        <v>18.72711111111111</v>
      </c>
      <c r="BC98" s="286">
        <f>BC64</f>
        <v>8.586666666666666</v>
      </c>
      <c r="BD98" s="286">
        <f>BD64</f>
        <v>12.88</v>
      </c>
      <c r="BE98" s="287"/>
      <c r="BG98" s="288">
        <f>BG64</f>
        <v>29.108888888888885</v>
      </c>
      <c r="BH98" s="286">
        <f>BH64</f>
        <v>67.653333333333336</v>
      </c>
      <c r="BI98" s="286">
        <f>BI64</f>
        <v>57.366666666666667</v>
      </c>
      <c r="BJ98" s="287"/>
      <c r="BL98" s="330">
        <f>BL64</f>
        <v>31.986796296296301</v>
      </c>
      <c r="BM98" s="326">
        <f>BM64</f>
        <v>39.80694444444444</v>
      </c>
      <c r="BN98" s="326">
        <f>BN64</f>
        <v>34.879444444444445</v>
      </c>
      <c r="BO98" s="289" t="s">
        <v>182</v>
      </c>
      <c r="BP98" s="331">
        <f>BM100+1220.91</f>
        <v>14273.750333333333</v>
      </c>
      <c r="DJ98" s="337" t="s">
        <v>244</v>
      </c>
      <c r="DK98" s="338" t="s">
        <v>241</v>
      </c>
      <c r="DL98" s="338" t="s">
        <v>241</v>
      </c>
      <c r="DM98" s="338" t="s">
        <v>241</v>
      </c>
      <c r="DN98" s="338" t="s">
        <v>241</v>
      </c>
      <c r="DO98" s="338" t="s">
        <v>241</v>
      </c>
      <c r="DP98" s="336">
        <f>C116</f>
        <v>0</v>
      </c>
      <c r="DQ98" s="331">
        <f>G116</f>
        <v>0</v>
      </c>
    </row>
    <row r="99" spans="1:121" s="339" customFormat="1">
      <c r="A99" s="339" t="s">
        <v>1</v>
      </c>
      <c r="B99" s="339" t="s">
        <v>243</v>
      </c>
      <c r="D99" s="330">
        <f>D33+D65</f>
        <v>18221</v>
      </c>
      <c r="E99" s="326">
        <f>E33+F65</f>
        <v>16629.260000000002</v>
      </c>
      <c r="F99" s="286">
        <f>F65+F33</f>
        <v>16629.260000000002</v>
      </c>
      <c r="G99" s="327"/>
      <c r="H99" s="358"/>
      <c r="I99" s="330">
        <f t="shared" ref="I99:K100" si="30">I33+I65</f>
        <v>24660</v>
      </c>
      <c r="J99" s="326">
        <f t="shared" si="30"/>
        <v>23809</v>
      </c>
      <c r="K99" s="326">
        <f t="shared" si="30"/>
        <v>23809</v>
      </c>
      <c r="L99" s="328"/>
      <c r="M99" s="329"/>
      <c r="N99" s="330">
        <f t="shared" ref="N99:P100" si="31">N33+N65</f>
        <v>24221</v>
      </c>
      <c r="O99" s="326">
        <f t="shared" si="31"/>
        <v>22965.809999999998</v>
      </c>
      <c r="P99" s="326">
        <f t="shared" si="31"/>
        <v>22965.773333333334</v>
      </c>
      <c r="Q99" s="327"/>
      <c r="R99" s="341"/>
      <c r="S99" s="330">
        <f t="shared" ref="S99:U100" si="32">S33+S65</f>
        <v>18221</v>
      </c>
      <c r="T99" s="326">
        <f t="shared" si="32"/>
        <v>22033</v>
      </c>
      <c r="U99" s="326">
        <f t="shared" si="32"/>
        <v>24173.136666666665</v>
      </c>
      <c r="V99" s="327"/>
      <c r="W99" s="341"/>
      <c r="X99" s="330">
        <f t="shared" ref="X99:Z100" si="33">X33+X65</f>
        <v>24660</v>
      </c>
      <c r="Y99" s="326">
        <f t="shared" si="33"/>
        <v>19801.856666666667</v>
      </c>
      <c r="Z99" s="326">
        <f t="shared" si="33"/>
        <v>18310.666666666664</v>
      </c>
      <c r="AA99" s="327"/>
      <c r="AB99" s="341"/>
      <c r="AC99" s="330">
        <f t="shared" ref="AC99:AE100" si="34">AC33+AC65</f>
        <v>18221</v>
      </c>
      <c r="AD99" s="326">
        <f t="shared" si="34"/>
        <v>18221</v>
      </c>
      <c r="AE99" s="326">
        <f t="shared" si="34"/>
        <v>17436.45</v>
      </c>
      <c r="AF99" s="327"/>
      <c r="AG99" s="341"/>
      <c r="AH99" s="330">
        <f t="shared" ref="AH99:AJ100" si="35">AH33+AH65</f>
        <v>30660</v>
      </c>
      <c r="AI99" s="326">
        <f t="shared" si="35"/>
        <v>30660</v>
      </c>
      <c r="AJ99" s="326">
        <f t="shared" si="35"/>
        <v>25011.823333333334</v>
      </c>
      <c r="AK99" s="327"/>
      <c r="AL99" s="341"/>
      <c r="AM99" s="330">
        <f t="shared" ref="AM99:AO100" si="36">AM33+AM65</f>
        <v>19221</v>
      </c>
      <c r="AN99" s="326">
        <f t="shared" si="36"/>
        <v>21694.043333333335</v>
      </c>
      <c r="AO99" s="326">
        <f t="shared" si="36"/>
        <v>16665.91</v>
      </c>
      <c r="AP99" s="327"/>
      <c r="AQ99" s="341"/>
      <c r="AR99" s="330">
        <f t="shared" ref="AR99:AT100" si="37">AR33+AR65</f>
        <v>25660</v>
      </c>
      <c r="AS99" s="326">
        <f t="shared" si="37"/>
        <v>12249.826666666666</v>
      </c>
      <c r="AT99" s="326">
        <f t="shared" si="37"/>
        <v>5544.74</v>
      </c>
      <c r="AU99" s="327"/>
      <c r="AV99" s="341"/>
      <c r="AW99" s="330">
        <f t="shared" ref="AW99:AY100" si="38">AW33+AW65</f>
        <v>19221</v>
      </c>
      <c r="AX99" s="326">
        <f t="shared" si="38"/>
        <v>5916.6333333333332</v>
      </c>
      <c r="AY99" s="326">
        <f t="shared" si="38"/>
        <v>-735.55000000000018</v>
      </c>
      <c r="AZ99" s="327"/>
      <c r="BA99" s="341"/>
      <c r="BB99" s="330">
        <f t="shared" ref="BB99:BD100" si="39">BB33+BB65</f>
        <v>19221</v>
      </c>
      <c r="BC99" s="326">
        <f t="shared" si="39"/>
        <v>11793.006666666664</v>
      </c>
      <c r="BD99" s="326">
        <f t="shared" si="39"/>
        <v>8079.01</v>
      </c>
      <c r="BE99" s="327"/>
      <c r="BF99" s="341"/>
      <c r="BG99" s="330">
        <f t="shared" ref="BG99:BI100" si="40">BG33+BG65</f>
        <v>25660</v>
      </c>
      <c r="BH99" s="326">
        <f t="shared" si="40"/>
        <v>15406.646666666667</v>
      </c>
      <c r="BI99" s="326">
        <f t="shared" si="40"/>
        <v>15973.03</v>
      </c>
      <c r="BJ99" s="327"/>
      <c r="BK99" s="341"/>
      <c r="BL99" s="330">
        <f t="shared" ref="BL99:BN100" si="41">BL33+BL65</f>
        <v>237926.33333333331</v>
      </c>
      <c r="BM99" s="326">
        <f t="shared" si="41"/>
        <v>195054.79</v>
      </c>
      <c r="BN99" s="326">
        <f t="shared" si="41"/>
        <v>184242.83999999997</v>
      </c>
      <c r="BO99" s="289" t="s">
        <v>182</v>
      </c>
      <c r="BP99" s="339">
        <f>BP96/BP98</f>
        <v>124.72595843825302</v>
      </c>
      <c r="BQ99" s="339" t="s">
        <v>18</v>
      </c>
      <c r="BR99" s="339" t="s">
        <v>18</v>
      </c>
      <c r="BS99" s="339" t="s">
        <v>18</v>
      </c>
      <c r="BT99" s="339" t="s">
        <v>18</v>
      </c>
      <c r="BU99" s="339" t="s">
        <v>18</v>
      </c>
      <c r="BV99" s="339" t="s">
        <v>17</v>
      </c>
    </row>
    <row r="100" spans="1:121" s="344" customFormat="1">
      <c r="A100" s="344" t="s">
        <v>1</v>
      </c>
      <c r="B100" s="344" t="s">
        <v>296</v>
      </c>
      <c r="D100" s="288">
        <f>D34+D66</f>
        <v>1203.4773321323898</v>
      </c>
      <c r="E100" s="286">
        <f>E34+E66</f>
        <v>1159.1576666666667</v>
      </c>
      <c r="F100" s="286">
        <f>F34+F66</f>
        <v>1168.5956666666666</v>
      </c>
      <c r="G100" s="287"/>
      <c r="H100" s="284"/>
      <c r="I100" s="288">
        <f t="shared" si="30"/>
        <v>1077.5105216766488</v>
      </c>
      <c r="J100" s="286">
        <f t="shared" si="30"/>
        <v>1047.8626666666669</v>
      </c>
      <c r="K100" s="286">
        <f t="shared" si="30"/>
        <v>1097.6106666666667</v>
      </c>
      <c r="L100" s="289"/>
      <c r="M100" s="290"/>
      <c r="N100" s="288">
        <f t="shared" si="31"/>
        <v>1186.9831419062132</v>
      </c>
      <c r="O100" s="286">
        <f t="shared" si="31"/>
        <v>1109.6996666666666</v>
      </c>
      <c r="P100" s="286">
        <f t="shared" si="31"/>
        <v>1149.2503333333334</v>
      </c>
      <c r="Q100" s="287"/>
      <c r="S100" s="288">
        <f t="shared" si="32"/>
        <v>1153.5748304603158</v>
      </c>
      <c r="T100" s="286">
        <f t="shared" si="32"/>
        <v>1144.6129999999998</v>
      </c>
      <c r="U100" s="286">
        <f t="shared" si="32"/>
        <v>1132.248</v>
      </c>
      <c r="V100" s="287"/>
      <c r="X100" s="288">
        <f t="shared" si="33"/>
        <v>1324.4249291372241</v>
      </c>
      <c r="Y100" s="286">
        <f t="shared" si="33"/>
        <v>1249.2266666666667</v>
      </c>
      <c r="Z100" s="286">
        <f t="shared" si="33"/>
        <v>1351.04</v>
      </c>
      <c r="AA100" s="287"/>
      <c r="AC100" s="288">
        <f t="shared" si="34"/>
        <v>1443.8321192275732</v>
      </c>
      <c r="AD100" s="286">
        <f t="shared" si="34"/>
        <v>1343.6296666666667</v>
      </c>
      <c r="AE100" s="286">
        <f t="shared" si="34"/>
        <v>1429.6511233333333</v>
      </c>
      <c r="AF100" s="287"/>
      <c r="AH100" s="288">
        <f t="shared" si="35"/>
        <v>1619.5214516929357</v>
      </c>
      <c r="AI100" s="286">
        <f t="shared" si="35"/>
        <v>1458.8219999999999</v>
      </c>
      <c r="AJ100" s="286">
        <f t="shared" si="35"/>
        <v>1480.4889999999998</v>
      </c>
      <c r="AK100" s="287"/>
      <c r="AM100" s="288">
        <f t="shared" si="36"/>
        <v>1696.6870028678445</v>
      </c>
      <c r="AN100" s="286">
        <f t="shared" si="36"/>
        <v>1526.4070000000002</v>
      </c>
      <c r="AO100" s="286">
        <f t="shared" si="36"/>
        <v>1584.8440000000001</v>
      </c>
      <c r="AP100" s="287"/>
      <c r="AR100" s="288">
        <f t="shared" si="37"/>
        <v>1597.7650155646552</v>
      </c>
      <c r="AS100" s="286">
        <f t="shared" si="37"/>
        <v>1416.7436666666667</v>
      </c>
      <c r="AT100" s="286">
        <f t="shared" si="37"/>
        <v>1435.3230000000001</v>
      </c>
      <c r="AU100" s="287"/>
      <c r="AW100" s="288">
        <f t="shared" si="38"/>
        <v>1455.6599059029045</v>
      </c>
      <c r="AX100" s="286">
        <f t="shared" si="38"/>
        <v>1249.8723333333332</v>
      </c>
      <c r="AY100" s="286">
        <f t="shared" si="38"/>
        <v>1298.873</v>
      </c>
      <c r="AZ100" s="287"/>
      <c r="BB100" s="288">
        <f t="shared" si="39"/>
        <v>1208.0790863560212</v>
      </c>
      <c r="BC100" s="286">
        <f t="shared" si="39"/>
        <v>1042.5613333333331</v>
      </c>
      <c r="BD100" s="286">
        <f t="shared" si="39"/>
        <v>1083.924</v>
      </c>
      <c r="BE100" s="287"/>
      <c r="BG100" s="288">
        <f t="shared" si="40"/>
        <v>1134.8344056868259</v>
      </c>
      <c r="BH100" s="286">
        <f t="shared" si="40"/>
        <v>1021.3436666666666</v>
      </c>
      <c r="BI100" s="286">
        <f t="shared" si="40"/>
        <v>1175.8914056868259</v>
      </c>
      <c r="BJ100" s="287"/>
      <c r="BL100" s="330">
        <f t="shared" si="41"/>
        <v>14054.796742611552</v>
      </c>
      <c r="BM100" s="326">
        <f t="shared" si="41"/>
        <v>13052.840333333334</v>
      </c>
      <c r="BN100" s="286">
        <f t="shared" si="41"/>
        <v>13636.342529020159</v>
      </c>
      <c r="BO100" s="289" t="s">
        <v>182</v>
      </c>
      <c r="BQ100" s="344" t="s">
        <v>332</v>
      </c>
      <c r="BR100" s="344" t="s">
        <v>332</v>
      </c>
      <c r="BS100" s="344" t="s">
        <v>332</v>
      </c>
      <c r="BT100" s="344" t="s">
        <v>333</v>
      </c>
      <c r="BU100" s="344" t="s">
        <v>333</v>
      </c>
      <c r="BV100" s="344" t="s">
        <v>333</v>
      </c>
      <c r="DK100" s="349"/>
      <c r="DL100" s="349"/>
      <c r="DM100" s="349"/>
      <c r="DN100" s="349"/>
      <c r="DO100" s="349"/>
      <c r="DP100" s="349"/>
      <c r="DQ100" s="349"/>
    </row>
    <row r="101" spans="1:121" s="339" customFormat="1">
      <c r="A101" s="339" t="s">
        <v>1</v>
      </c>
      <c r="B101" s="339" t="s">
        <v>360</v>
      </c>
      <c r="D101" s="330">
        <f>SUM(E96/D100)</f>
        <v>119.41894030464609</v>
      </c>
      <c r="E101" s="326">
        <f>SUM(F96/E100)</f>
        <v>104.40717440509243</v>
      </c>
      <c r="F101" s="326">
        <v>85</v>
      </c>
      <c r="G101" s="332"/>
      <c r="H101" s="291"/>
      <c r="I101" s="330">
        <f>SUM(J96/I100)</f>
        <v>99.799549508007971</v>
      </c>
      <c r="J101" s="326">
        <f>SUM(K96/J100)</f>
        <v>115.39443463965378</v>
      </c>
      <c r="K101" s="361">
        <v>70</v>
      </c>
      <c r="L101" s="333"/>
      <c r="M101" s="334"/>
      <c r="N101" s="330">
        <f>SUM(O96/N100)</f>
        <v>112.60476693893635</v>
      </c>
      <c r="O101" s="326">
        <f>SUM(P96/O100)</f>
        <v>108.93700367576935</v>
      </c>
      <c r="P101" s="361">
        <v>98</v>
      </c>
      <c r="Q101" s="332"/>
      <c r="R101" s="340"/>
      <c r="S101" s="330">
        <f>SUM(T96/S100)</f>
        <v>114.40704257789399</v>
      </c>
      <c r="T101" s="326">
        <f>SUM(U96/T100)</f>
        <v>93.955441708245488</v>
      </c>
      <c r="U101" s="361">
        <v>79</v>
      </c>
      <c r="V101" s="332"/>
      <c r="W101" s="341"/>
      <c r="X101" s="330">
        <f>SUM(Y96/X100)</f>
        <v>114.13508454867369</v>
      </c>
      <c r="Y101" s="326">
        <f>SUM(Z96/Y100)</f>
        <v>124.15679300260426</v>
      </c>
      <c r="Z101" s="361">
        <v>110</v>
      </c>
      <c r="AA101" s="332"/>
      <c r="AB101" s="340"/>
      <c r="AC101" s="330">
        <f>SUM(AD96/AC100)</f>
        <v>111.86891960701995</v>
      </c>
      <c r="AD101" s="326">
        <f>SUM(AE96/AD100)</f>
        <v>116.4283958203761</v>
      </c>
      <c r="AE101" s="361">
        <v>91</v>
      </c>
      <c r="AF101" s="332"/>
      <c r="AG101" s="340"/>
      <c r="AH101" s="330">
        <f>SUM(AI96/AH100)</f>
        <v>117.65035244427199</v>
      </c>
      <c r="AI101" s="326">
        <f>SUM(AJ96/AI100)</f>
        <v>101.05485567578955</v>
      </c>
      <c r="AJ101" s="361">
        <v>63</v>
      </c>
      <c r="AK101" s="332"/>
      <c r="AL101" s="340"/>
      <c r="AM101" s="330">
        <f>SUM(AN96/AM100)</f>
        <v>132.91124169051869</v>
      </c>
      <c r="AN101" s="326">
        <f>SUM(AO96/AN100)</f>
        <v>118.42147168699651</v>
      </c>
      <c r="AO101" s="361">
        <v>61</v>
      </c>
      <c r="AP101" s="332"/>
      <c r="AQ101" s="340"/>
      <c r="AR101" s="330">
        <f>SUM(AS96/AR100)</f>
        <v>149.75011417801664</v>
      </c>
      <c r="AS101" s="326">
        <f>SUM(AT96/AS100)</f>
        <v>123.79484315087815</v>
      </c>
      <c r="AT101" s="361">
        <v>55</v>
      </c>
      <c r="AU101" s="332"/>
      <c r="AV101" s="340"/>
      <c r="AW101" s="330">
        <f>SUM(AX96/AW100)</f>
        <v>135.2643612548616</v>
      </c>
      <c r="AX101" s="326">
        <f>SUM(AY96/AX100)</f>
        <v>126.8587485068475</v>
      </c>
      <c r="AY101" s="361">
        <v>76</v>
      </c>
      <c r="AZ101" s="332"/>
      <c r="BA101" s="340"/>
      <c r="BB101" s="330">
        <f>SUM(BC96/BB100)</f>
        <v>116.7161647559424</v>
      </c>
      <c r="BC101" s="326">
        <f>SUM(BD96/BC100)</f>
        <v>117.76244019536504</v>
      </c>
      <c r="BD101" s="361">
        <v>85</v>
      </c>
      <c r="BE101" s="332"/>
      <c r="BF101" s="340"/>
      <c r="BG101" s="330">
        <f>SUM(BH96/BG100)</f>
        <v>109.21694810215686</v>
      </c>
      <c r="BH101" s="326">
        <f>SUM(BI96/BH100)</f>
        <v>118.2901641660936</v>
      </c>
      <c r="BI101" s="361">
        <v>86</v>
      </c>
      <c r="BJ101" s="332"/>
      <c r="BK101" s="340"/>
      <c r="BL101" s="330">
        <f>SUM(BM96/BL100)</f>
        <v>137.85210739855464</v>
      </c>
      <c r="BM101" s="326">
        <f>SUM(BN96/BM100)</f>
        <v>128.58313960580892</v>
      </c>
      <c r="BN101" s="361">
        <v>76.400000000000006</v>
      </c>
      <c r="BO101" s="289" t="s">
        <v>182</v>
      </c>
      <c r="BQ101" s="339" t="s">
        <v>230</v>
      </c>
      <c r="BR101" s="339" t="s">
        <v>218</v>
      </c>
      <c r="BS101" s="339" t="s">
        <v>335</v>
      </c>
      <c r="BT101" s="339" t="s">
        <v>230</v>
      </c>
      <c r="BU101" s="339" t="s">
        <v>218</v>
      </c>
      <c r="BV101" s="339" t="s">
        <v>335</v>
      </c>
      <c r="DK101" s="341"/>
      <c r="DL101" s="341"/>
      <c r="DM101" s="341"/>
      <c r="DN101" s="341"/>
      <c r="DO101" s="341"/>
      <c r="DP101" s="341"/>
      <c r="DQ101" s="341"/>
    </row>
    <row r="102" spans="1:121" s="339" customFormat="1">
      <c r="A102" s="339" t="s">
        <v>1</v>
      </c>
      <c r="B102" s="339" t="s">
        <v>253</v>
      </c>
      <c r="D102" s="330">
        <f>D36</f>
        <v>8900.7633333333342</v>
      </c>
      <c r="E102" s="326">
        <f>E36</f>
        <v>9180.65</v>
      </c>
      <c r="F102" s="326">
        <f>F36</f>
        <v>9606.0733333333337</v>
      </c>
      <c r="G102" s="287"/>
      <c r="H102" s="284"/>
      <c r="I102" s="330">
        <f>I36</f>
        <v>8900.7633333333342</v>
      </c>
      <c r="J102" s="326">
        <f>J36</f>
        <v>8706.9766666666674</v>
      </c>
      <c r="K102" s="326">
        <f>K36</f>
        <v>9132.5533333333333</v>
      </c>
      <c r="L102" s="289"/>
      <c r="M102" s="290"/>
      <c r="N102" s="330">
        <f>N36</f>
        <v>8900.7633333333342</v>
      </c>
      <c r="O102" s="326">
        <f>O36</f>
        <v>8612.3700000000008</v>
      </c>
      <c r="P102" s="326">
        <f>P36</f>
        <v>8178.5466666666662</v>
      </c>
      <c r="Q102" s="287"/>
      <c r="S102" s="288">
        <f>S36</f>
        <v>8293.0966666666664</v>
      </c>
      <c r="T102" s="286">
        <f>T36</f>
        <v>7803.6533333333327</v>
      </c>
      <c r="U102" s="286">
        <f>U36</f>
        <v>8583.5966666666664</v>
      </c>
      <c r="V102" s="287"/>
      <c r="X102" s="288">
        <f>X36</f>
        <v>8293.0966666666664</v>
      </c>
      <c r="Y102" s="286">
        <f>Y36</f>
        <v>5320.256666666668</v>
      </c>
      <c r="Z102" s="286">
        <f>Z36</f>
        <v>6100.2233333333324</v>
      </c>
      <c r="AA102" s="287"/>
      <c r="AC102" s="288">
        <f>AC36</f>
        <v>8835</v>
      </c>
      <c r="AD102" s="286">
        <f>AD36</f>
        <v>10841</v>
      </c>
      <c r="AE102" s="286">
        <f>AE36</f>
        <v>14002</v>
      </c>
      <c r="AF102" s="287"/>
      <c r="AH102" s="288">
        <f>AH36</f>
        <v>8835</v>
      </c>
      <c r="AI102" s="286">
        <f>AI36</f>
        <v>16626.843333333334</v>
      </c>
      <c r="AJ102" s="286">
        <f>AJ36</f>
        <v>8391.4933333333338</v>
      </c>
      <c r="AK102" s="287"/>
      <c r="AM102" s="288">
        <f>AM36</f>
        <v>8835</v>
      </c>
      <c r="AN102" s="286">
        <f>AN36</f>
        <v>14698.366666666667</v>
      </c>
      <c r="AO102" s="286">
        <f>AO36</f>
        <v>8391.4933333333338</v>
      </c>
      <c r="AP102" s="287"/>
      <c r="AR102" s="288">
        <f>AR36</f>
        <v>8835</v>
      </c>
      <c r="AS102" s="286">
        <f>AS36</f>
        <v>-5003.5999999999995</v>
      </c>
      <c r="AT102" s="286">
        <f>AT36</f>
        <v>-10792.4</v>
      </c>
      <c r="AU102" s="287"/>
      <c r="AW102" s="288">
        <f>AW36</f>
        <v>8835</v>
      </c>
      <c r="AX102" s="286">
        <f>AX36</f>
        <v>11220.976666666667</v>
      </c>
      <c r="AY102" s="286">
        <f>AY36</f>
        <v>9672</v>
      </c>
      <c r="AZ102" s="287"/>
      <c r="BB102" s="288">
        <f>BB36</f>
        <v>8835</v>
      </c>
      <c r="BC102" s="286">
        <f>BC36</f>
        <v>9372.2133333333331</v>
      </c>
      <c r="BD102" s="286">
        <f>BD36</f>
        <v>8835</v>
      </c>
      <c r="BE102" s="287"/>
      <c r="BG102" s="288">
        <f>BG36</f>
        <v>8835</v>
      </c>
      <c r="BH102" s="286">
        <f>BH36</f>
        <v>9372.2133333333331</v>
      </c>
      <c r="BI102" s="286">
        <f>BI36</f>
        <v>8835</v>
      </c>
      <c r="BJ102" s="287"/>
      <c r="BL102" s="288">
        <f>BL36</f>
        <v>93353.483333333337</v>
      </c>
      <c r="BM102" s="286">
        <f>BM36</f>
        <v>92823.183333333334</v>
      </c>
      <c r="BN102" s="286">
        <f>BN36</f>
        <v>83419.046666666676</v>
      </c>
      <c r="BO102" s="289" t="s">
        <v>182</v>
      </c>
      <c r="BQ102" s="339" t="s">
        <v>337</v>
      </c>
      <c r="BR102" s="339" t="s">
        <v>337</v>
      </c>
      <c r="BS102" s="339" t="s">
        <v>337</v>
      </c>
      <c r="BT102" s="339" t="s">
        <v>337</v>
      </c>
      <c r="BU102" s="339" t="s">
        <v>337</v>
      </c>
      <c r="BV102" s="339" t="s">
        <v>337</v>
      </c>
      <c r="DK102" s="341"/>
      <c r="DL102" s="341"/>
      <c r="DM102" s="341"/>
      <c r="DN102" s="341"/>
      <c r="DO102" s="341"/>
      <c r="DP102" s="341"/>
      <c r="DQ102" s="341"/>
    </row>
    <row r="103" spans="1:121">
      <c r="A103" s="283" t="s">
        <v>1</v>
      </c>
      <c r="BO103" s="289" t="s">
        <v>182</v>
      </c>
      <c r="DK103" s="323"/>
      <c r="DL103" s="323"/>
      <c r="DM103" s="323"/>
      <c r="DN103" s="323"/>
      <c r="DO103" s="323"/>
      <c r="DP103" s="323"/>
      <c r="DQ103" s="323"/>
    </row>
    <row r="104" spans="1:121">
      <c r="A104" s="283" t="s">
        <v>1</v>
      </c>
      <c r="BO104" s="289" t="s">
        <v>182</v>
      </c>
      <c r="BP104" s="283" t="s">
        <v>339</v>
      </c>
      <c r="BQ104" s="283">
        <f>D65</f>
        <v>10041</v>
      </c>
      <c r="BR104" s="283">
        <f>E65</f>
        <v>6521.84</v>
      </c>
      <c r="BS104" s="283">
        <f>F65</f>
        <v>6521.84</v>
      </c>
      <c r="BT104" s="283">
        <f>D66</f>
        <v>828.06733213238977</v>
      </c>
      <c r="BU104" s="283">
        <f>E66</f>
        <v>827.85766666666666</v>
      </c>
      <c r="BV104" s="283">
        <f>F66</f>
        <v>809.37899999999991</v>
      </c>
      <c r="DD104" s="283" t="s">
        <v>319</v>
      </c>
      <c r="DF104" s="282" t="s">
        <v>320</v>
      </c>
      <c r="DG104" s="282" t="s">
        <v>320</v>
      </c>
      <c r="DH104" s="283" t="s">
        <v>321</v>
      </c>
      <c r="DI104" s="282" t="s">
        <v>320</v>
      </c>
      <c r="DK104" s="283" t="s">
        <v>322</v>
      </c>
      <c r="DL104" s="282" t="s">
        <v>320</v>
      </c>
      <c r="DM104" s="282" t="s">
        <v>320</v>
      </c>
      <c r="DN104" s="282" t="s">
        <v>320</v>
      </c>
      <c r="DP104" s="283" t="s">
        <v>323</v>
      </c>
      <c r="DQ104" s="282" t="s">
        <v>320</v>
      </c>
    </row>
    <row r="105" spans="1:121">
      <c r="A105" s="282" t="s">
        <v>1</v>
      </c>
      <c r="B105" s="282" t="s">
        <v>1</v>
      </c>
      <c r="C105" s="295" t="s">
        <v>1</v>
      </c>
      <c r="D105" s="285" t="s">
        <v>1</v>
      </c>
      <c r="E105" s="296" t="s">
        <v>1</v>
      </c>
      <c r="F105" s="296" t="s">
        <v>1</v>
      </c>
      <c r="G105" s="297" t="s">
        <v>1</v>
      </c>
      <c r="H105" s="295" t="s">
        <v>1</v>
      </c>
      <c r="I105" s="285" t="s">
        <v>1</v>
      </c>
      <c r="J105" s="296" t="s">
        <v>1</v>
      </c>
      <c r="K105" s="296" t="s">
        <v>1</v>
      </c>
      <c r="L105" s="298" t="s">
        <v>1</v>
      </c>
      <c r="M105" s="299" t="s">
        <v>1</v>
      </c>
      <c r="N105" s="285" t="s">
        <v>1</v>
      </c>
      <c r="O105" s="296" t="s">
        <v>1</v>
      </c>
      <c r="P105" s="296" t="s">
        <v>1</v>
      </c>
      <c r="Q105" s="297" t="s">
        <v>1</v>
      </c>
      <c r="R105" s="295" t="s">
        <v>1</v>
      </c>
      <c r="S105" s="285" t="s">
        <v>1</v>
      </c>
      <c r="T105" s="296" t="s">
        <v>1</v>
      </c>
      <c r="U105" s="296" t="s">
        <v>1</v>
      </c>
      <c r="V105" s="297" t="s">
        <v>1</v>
      </c>
      <c r="W105" s="295" t="s">
        <v>1</v>
      </c>
      <c r="X105" s="285" t="s">
        <v>1</v>
      </c>
      <c r="Y105" s="296" t="s">
        <v>1</v>
      </c>
      <c r="Z105" s="296" t="s">
        <v>1</v>
      </c>
      <c r="AA105" s="297" t="s">
        <v>1</v>
      </c>
      <c r="AB105" s="295" t="s">
        <v>1</v>
      </c>
      <c r="AC105" s="285" t="s">
        <v>1</v>
      </c>
      <c r="AD105" s="296" t="s">
        <v>1</v>
      </c>
      <c r="AE105" s="296" t="s">
        <v>1</v>
      </c>
      <c r="AF105" s="297" t="s">
        <v>1</v>
      </c>
      <c r="AG105" s="295" t="s">
        <v>1</v>
      </c>
      <c r="AH105" s="285" t="s">
        <v>1</v>
      </c>
      <c r="AI105" s="296" t="s">
        <v>1</v>
      </c>
      <c r="AJ105" s="296" t="s">
        <v>1</v>
      </c>
      <c r="AK105" s="297" t="s">
        <v>1</v>
      </c>
      <c r="AL105" s="295" t="s">
        <v>1</v>
      </c>
      <c r="AM105" s="285" t="s">
        <v>1</v>
      </c>
      <c r="AN105" s="296" t="s">
        <v>1</v>
      </c>
      <c r="AO105" s="296" t="s">
        <v>1</v>
      </c>
      <c r="AP105" s="297" t="s">
        <v>1</v>
      </c>
      <c r="AQ105" s="295" t="s">
        <v>1</v>
      </c>
      <c r="AR105" s="285" t="s">
        <v>1</v>
      </c>
      <c r="AS105" s="296" t="s">
        <v>1</v>
      </c>
      <c r="AT105" s="296" t="s">
        <v>1</v>
      </c>
      <c r="AU105" s="297" t="s">
        <v>1</v>
      </c>
      <c r="AV105" s="295" t="s">
        <v>1</v>
      </c>
      <c r="AW105" s="285" t="s">
        <v>1</v>
      </c>
      <c r="AX105" s="296" t="s">
        <v>1</v>
      </c>
      <c r="AY105" s="296" t="s">
        <v>1</v>
      </c>
      <c r="AZ105" s="297" t="s">
        <v>1</v>
      </c>
      <c r="BA105" s="295" t="s">
        <v>1</v>
      </c>
      <c r="BB105" s="285" t="s">
        <v>1</v>
      </c>
      <c r="BC105" s="296" t="s">
        <v>1</v>
      </c>
      <c r="BD105" s="296" t="s">
        <v>1</v>
      </c>
      <c r="BE105" s="297" t="s">
        <v>1</v>
      </c>
      <c r="BF105" s="295" t="s">
        <v>1</v>
      </c>
      <c r="BG105" s="285" t="s">
        <v>1</v>
      </c>
      <c r="BH105" s="296" t="s">
        <v>1</v>
      </c>
      <c r="BI105" s="296" t="s">
        <v>1</v>
      </c>
      <c r="BJ105" s="297" t="s">
        <v>1</v>
      </c>
      <c r="BK105" s="295" t="s">
        <v>1</v>
      </c>
      <c r="BL105" s="285" t="s">
        <v>1</v>
      </c>
      <c r="BM105" s="296" t="s">
        <v>1</v>
      </c>
      <c r="BN105" s="296" t="s">
        <v>1</v>
      </c>
      <c r="BO105" s="298" t="s">
        <v>1</v>
      </c>
      <c r="BP105" s="283" t="s">
        <v>341</v>
      </c>
      <c r="BQ105" s="283">
        <f>D65+I65</f>
        <v>26521</v>
      </c>
      <c r="BR105" s="283">
        <f>E65+J65</f>
        <v>21074.84</v>
      </c>
      <c r="BS105" s="283">
        <f>F65+K65</f>
        <v>21074.84</v>
      </c>
      <c r="BT105" s="283">
        <f>BT104+I66</f>
        <v>1566.4978538090386</v>
      </c>
      <c r="BU105" s="283">
        <f>BU104+J66</f>
        <v>1557.3836666666668</v>
      </c>
      <c r="BV105" s="283">
        <f>BV104+K66</f>
        <v>1588.8530000000001</v>
      </c>
      <c r="DG105" s="283" t="s">
        <v>324</v>
      </c>
      <c r="DM105" s="283" t="s">
        <v>325</v>
      </c>
    </row>
    <row r="106" spans="1:121">
      <c r="AB106" s="291"/>
      <c r="BP106" s="283" t="s">
        <v>344</v>
      </c>
      <c r="BQ106" s="283">
        <f>BQ105+N65</f>
        <v>39562</v>
      </c>
      <c r="BR106" s="283">
        <f>BR105+O65</f>
        <v>34520.953333333331</v>
      </c>
      <c r="BS106" s="283">
        <f>BS105+P65</f>
        <v>34520.813333333332</v>
      </c>
      <c r="BT106" s="283">
        <f>BT105+N66</f>
        <v>2378.0709957152517</v>
      </c>
      <c r="BU106" s="283">
        <f>BU105+O66</f>
        <v>2294.1333333333337</v>
      </c>
      <c r="BV106" s="283">
        <f>BV105+P66</f>
        <v>2364.5166666666669</v>
      </c>
      <c r="DD106" s="323" t="s">
        <v>327</v>
      </c>
      <c r="DK106" s="323"/>
      <c r="DL106" s="323"/>
      <c r="DM106" s="323"/>
      <c r="DN106" s="323"/>
      <c r="DO106" s="323"/>
      <c r="DP106" s="323"/>
      <c r="DQ106" s="323"/>
    </row>
    <row r="107" spans="1:121">
      <c r="BP107" s="283" t="s">
        <v>346</v>
      </c>
      <c r="BQ107" s="283">
        <f>BQ106+S65</f>
        <v>49603</v>
      </c>
      <c r="BR107" s="283">
        <f>BR106+T65</f>
        <v>47496.953333333331</v>
      </c>
      <c r="BS107" s="283">
        <f>BS106+U65</f>
        <v>48273.346666666665</v>
      </c>
      <c r="BT107" s="283">
        <f>BT106+S66</f>
        <v>3137.2058261755674</v>
      </c>
      <c r="BU107" s="283">
        <f>BU106+T66</f>
        <v>3083.4963333333335</v>
      </c>
      <c r="BV107" s="283">
        <f>BV106+U66</f>
        <v>3150.2846666666669</v>
      </c>
      <c r="DD107" s="283" t="s">
        <v>361</v>
      </c>
      <c r="DK107" s="323"/>
      <c r="DL107" s="323"/>
      <c r="DM107" s="323"/>
      <c r="DN107" s="323"/>
      <c r="DO107" s="323"/>
      <c r="DP107" s="323"/>
      <c r="DQ107" s="323"/>
    </row>
    <row r="108" spans="1:121">
      <c r="B108" s="292"/>
      <c r="C108" s="291"/>
      <c r="D108" s="362"/>
      <c r="E108" s="361"/>
      <c r="F108" s="361"/>
      <c r="G108" s="332"/>
      <c r="H108" s="291"/>
      <c r="I108" s="362"/>
      <c r="J108" s="361"/>
      <c r="K108" s="361"/>
      <c r="L108" s="333"/>
      <c r="M108" s="334"/>
      <c r="N108" s="362"/>
      <c r="O108" s="361"/>
      <c r="P108" s="361"/>
      <c r="Q108" s="332"/>
      <c r="R108" s="291"/>
      <c r="S108" s="362"/>
      <c r="T108" s="361"/>
      <c r="U108" s="361"/>
      <c r="V108" s="332"/>
      <c r="W108" s="291"/>
      <c r="X108" s="362"/>
      <c r="Y108" s="361"/>
      <c r="Z108" s="361"/>
      <c r="AA108" s="332"/>
      <c r="AB108" s="291"/>
      <c r="AC108" s="362"/>
      <c r="AD108" s="361"/>
      <c r="AE108" s="361"/>
      <c r="AF108" s="332"/>
      <c r="AG108" s="291"/>
      <c r="AH108" s="362"/>
      <c r="AI108" s="361"/>
      <c r="AJ108" s="361"/>
      <c r="AK108" s="332"/>
      <c r="AL108" s="291"/>
      <c r="AM108" s="362"/>
      <c r="AN108" s="361"/>
      <c r="AO108" s="361"/>
      <c r="AP108" s="332"/>
      <c r="AQ108" s="291"/>
      <c r="AR108" s="362"/>
      <c r="AS108" s="361"/>
      <c r="AT108" s="361"/>
      <c r="AU108" s="332"/>
      <c r="AV108" s="291"/>
      <c r="AW108" s="362"/>
      <c r="BP108" s="283" t="s">
        <v>344</v>
      </c>
      <c r="BQ108" s="283">
        <f>BQ107+X65</f>
        <v>66083</v>
      </c>
      <c r="BR108" s="283">
        <f>BR107+Y65</f>
        <v>60367.93</v>
      </c>
      <c r="BS108" s="283">
        <f>BS107+Z65</f>
        <v>61634.013333333329</v>
      </c>
      <c r="BT108" s="283">
        <f>BT107+X66</f>
        <v>4054.0427553127915</v>
      </c>
      <c r="BU108" s="283">
        <f>BU107+Y66</f>
        <v>3962.3563333333336</v>
      </c>
      <c r="BV108" s="283">
        <f>BV107+Z66</f>
        <v>4118.0613333333331</v>
      </c>
      <c r="DH108" s="363" t="s">
        <v>362</v>
      </c>
      <c r="DK108" s="323"/>
      <c r="DL108" s="364" t="s">
        <v>363</v>
      </c>
      <c r="DM108" s="364" t="s">
        <v>364</v>
      </c>
      <c r="DN108" s="323"/>
      <c r="DO108" s="323"/>
      <c r="DP108" s="323"/>
      <c r="DQ108" s="323"/>
    </row>
    <row r="109" spans="1:121">
      <c r="B109" s="283" t="s">
        <v>365</v>
      </c>
      <c r="G109" s="332"/>
      <c r="M109" s="334"/>
      <c r="Y109" s="361"/>
      <c r="AW109" s="362"/>
      <c r="BP109" s="283" t="s">
        <v>339</v>
      </c>
      <c r="BQ109" s="283">
        <f>BQ108+AC65</f>
        <v>76124</v>
      </c>
      <c r="BR109" s="283">
        <f>BR108+AD65</f>
        <v>70408.929999999993</v>
      </c>
      <c r="BS109" s="283">
        <f>BS108+AE65</f>
        <v>71242.26999999999</v>
      </c>
      <c r="BT109" s="283">
        <f>BT108+AC66</f>
        <v>5051.5348745403644</v>
      </c>
      <c r="BU109" s="283">
        <f>BU108+AD66</f>
        <v>4906.1726666666673</v>
      </c>
      <c r="BV109" s="283">
        <f>BV108+AE66</f>
        <v>5141.0457900000001</v>
      </c>
      <c r="DK109" s="323"/>
      <c r="DL109" s="323"/>
      <c r="DM109" s="323"/>
      <c r="DN109" s="323"/>
      <c r="DO109" s="323"/>
      <c r="DP109" s="323"/>
      <c r="DQ109" s="323"/>
    </row>
    <row r="110" spans="1:121">
      <c r="B110" s="283" t="str">
        <f>D3</f>
        <v>3-year averages</v>
      </c>
      <c r="M110" s="334"/>
      <c r="Y110" s="361"/>
      <c r="AW110" s="362"/>
      <c r="BP110" s="283" t="s">
        <v>339</v>
      </c>
      <c r="BQ110" s="283">
        <f>BQ109+AH65</f>
        <v>95604</v>
      </c>
      <c r="BR110" s="283">
        <f>BR109+AI65</f>
        <v>89888.93</v>
      </c>
      <c r="BS110" s="283">
        <f>BS109+AJ65</f>
        <v>87212.533333333326</v>
      </c>
      <c r="BT110" s="283">
        <f>BT109+AH66</f>
        <v>6156.2083262332999</v>
      </c>
      <c r="BU110" s="283">
        <f>BU109+AI66</f>
        <v>5957.398000000001</v>
      </c>
      <c r="BV110" s="283">
        <f>BV109+AJ66</f>
        <v>6238.2114566666669</v>
      </c>
      <c r="DH110" s="283" t="s">
        <v>366</v>
      </c>
      <c r="DJ110" s="323"/>
      <c r="DK110" s="283" t="s">
        <v>367</v>
      </c>
      <c r="DL110" s="323" t="e">
        <f>DP67+DP69+DP71+DP73+DP75+DP77+DP79+DP81+DP83+DP85+DP87+DP89+DP91+DP93+#REF!+DP96+DP98</f>
        <v>#REF!</v>
      </c>
      <c r="DM110" s="323" t="e">
        <f>DQ67+DQ69+DQ71+DQ73+DQ75+DQ77+DQ79+DQ81+DQ83+DQ85+DQ87+DQ89+DQ91+DQ93+#REF!+DQ96+DQ96+DQ98</f>
        <v>#REF!</v>
      </c>
      <c r="DN110" s="283" t="s">
        <v>17</v>
      </c>
    </row>
    <row r="111" spans="1:121">
      <c r="B111" s="283">
        <f>B1</f>
        <v>0</v>
      </c>
      <c r="M111" s="334"/>
      <c r="Y111" s="361"/>
      <c r="AW111" s="362"/>
      <c r="BP111" s="283" t="s">
        <v>346</v>
      </c>
      <c r="BQ111" s="283">
        <f>BQ110+AM65</f>
        <v>106645</v>
      </c>
      <c r="BR111" s="283">
        <f>BR110+AN65</f>
        <v>104254.98333333332</v>
      </c>
      <c r="BS111" s="283">
        <f>BS110+AO65</f>
        <v>98869.173333333325</v>
      </c>
      <c r="BT111" s="283">
        <f>BT110+AM66</f>
        <v>7316.5953291011447</v>
      </c>
      <c r="BU111" s="283">
        <f>BU110+AN66</f>
        <v>7042.5916666666681</v>
      </c>
      <c r="BV111" s="283">
        <f>BV110+AO66</f>
        <v>7410.3287900000005</v>
      </c>
      <c r="DH111" s="283" t="s">
        <v>368</v>
      </c>
      <c r="DI111" s="323"/>
      <c r="DK111" s="283" t="s">
        <v>369</v>
      </c>
      <c r="DL111" s="323">
        <f>DP66+DP68+DP70+DP72+DP74+DP76+DP78+DP80+DP82+DP84+DP86+DP88+DP90+DP92+DP94+DP97</f>
        <v>239090.33333333334</v>
      </c>
      <c r="DM111" s="323">
        <f>DQ66+DQ68+DQ70+DQ72+DQ74+DQ76+DQ78+DQ80+DQ82+DQ84+DQ86+DQ88+DQ90+DQ92+DQ94+DQ95+DQ97</f>
        <v>48751.919999999991</v>
      </c>
    </row>
    <row r="112" spans="1:121">
      <c r="B112" s="283" t="s">
        <v>370</v>
      </c>
      <c r="F112" s="286" t="s">
        <v>371</v>
      </c>
      <c r="G112" s="287" t="s">
        <v>372</v>
      </c>
      <c r="H112" s="358">
        <f>SUM(H134-G134)</f>
        <v>-222.42309795181063</v>
      </c>
      <c r="M112" s="334"/>
      <c r="Y112" s="361"/>
      <c r="AW112" s="362"/>
      <c r="BP112" s="283" t="s">
        <v>347</v>
      </c>
      <c r="BQ112" s="283">
        <f>BQ111+AR65</f>
        <v>124125</v>
      </c>
      <c r="BR112" s="283">
        <f>BR111+AS65</f>
        <v>112885.25666666665</v>
      </c>
      <c r="BS112" s="283">
        <f>BS111+AT65</f>
        <v>103074.58333333333</v>
      </c>
      <c r="BT112" s="283">
        <f>BT111+AR66</f>
        <v>8384.9803446658007</v>
      </c>
      <c r="BU112" s="283">
        <f>BU111+AS66</f>
        <v>8066.8420000000015</v>
      </c>
      <c r="BV112" s="283">
        <f>BV111+AT66</f>
        <v>8457.0984566666666</v>
      </c>
      <c r="DH112" s="283" t="s">
        <v>373</v>
      </c>
      <c r="DI112" s="323">
        <f>H130+H131</f>
        <v>1548.7</v>
      </c>
      <c r="DN112" s="323"/>
      <c r="DO112" s="323"/>
      <c r="DP112" s="323"/>
      <c r="DQ112" s="323"/>
    </row>
    <row r="113" spans="2:121">
      <c r="M113" s="334"/>
      <c r="Y113" s="361"/>
      <c r="AW113" s="362"/>
      <c r="BP113" s="283" t="s">
        <v>348</v>
      </c>
      <c r="BQ113" s="283">
        <f>BQ112+AW65</f>
        <v>135166</v>
      </c>
      <c r="BR113" s="283">
        <f>BR112+AX65</f>
        <v>120118.35666666666</v>
      </c>
      <c r="BS113" s="283">
        <f>BS112+AY65</f>
        <v>108403.73333333332</v>
      </c>
      <c r="BT113" s="283">
        <f>BT112+AW66</f>
        <v>9400.8742505687042</v>
      </c>
      <c r="BU113" s="283">
        <f>BU112+AX66</f>
        <v>8912.7876666666689</v>
      </c>
      <c r="BV113" s="283">
        <f>BV112+AY66</f>
        <v>9300.1414566666663</v>
      </c>
      <c r="DL113" s="323"/>
      <c r="DM113" s="323"/>
      <c r="DN113" s="323"/>
      <c r="DO113" s="323"/>
      <c r="DP113" s="323"/>
      <c r="DQ113" s="323"/>
    </row>
    <row r="114" spans="2:121">
      <c r="C114" s="284" t="s">
        <v>216</v>
      </c>
      <c r="E114" s="286" t="s">
        <v>374</v>
      </c>
      <c r="G114" s="287" t="s">
        <v>345</v>
      </c>
      <c r="I114" s="305" t="s">
        <v>218</v>
      </c>
      <c r="M114" s="334"/>
      <c r="Y114" s="361"/>
      <c r="AW114" s="362"/>
      <c r="BP114" s="283" t="s">
        <v>349</v>
      </c>
      <c r="BQ114" s="283">
        <f>BQ113+BB65</f>
        <v>146207</v>
      </c>
      <c r="BR114" s="283">
        <f>BR113+BC65</f>
        <v>127720.93666666666</v>
      </c>
      <c r="BS114" s="283">
        <f>BS113+BD65</f>
        <v>114287.10333333332</v>
      </c>
      <c r="BT114" s="283">
        <f>BT113+BB66</f>
        <v>10245.653336924726</v>
      </c>
      <c r="BU114" s="283">
        <f>BU113+BC66</f>
        <v>9605.7890000000025</v>
      </c>
      <c r="BV114" s="283">
        <f>BV113+BD66</f>
        <v>10063.26879</v>
      </c>
      <c r="DH114" s="283" t="s">
        <v>375</v>
      </c>
      <c r="DK114" s="283" t="s">
        <v>367</v>
      </c>
      <c r="DL114" s="323" t="e">
        <f>DP14+DP16+DP18+DP20+DP22+DP26+DP28+DP30+DP32+DP34+DP37+DP38+DP40+#REF!+DP43+DP45+DP47</f>
        <v>#REF!</v>
      </c>
      <c r="DM114" s="323" t="e">
        <f>DQ14+DQ16+DQ18+DQ20+DQ22+DQ26+DQ28+DQ30+DQ32+DQ34+DQ37+DQ38+DQ40+#REF!+DQ43+DQ45+DQ47</f>
        <v>#REF!</v>
      </c>
      <c r="DN114" s="283" t="s">
        <v>376</v>
      </c>
      <c r="DO114" s="323"/>
      <c r="DP114" s="323"/>
      <c r="DQ114" s="323"/>
    </row>
    <row r="115" spans="2:121">
      <c r="C115" s="304" t="s">
        <v>230</v>
      </c>
      <c r="D115" s="305" t="s">
        <v>218</v>
      </c>
      <c r="E115" s="306" t="s">
        <v>230</v>
      </c>
      <c r="F115" s="306" t="s">
        <v>218</v>
      </c>
      <c r="G115" s="303" t="s">
        <v>230</v>
      </c>
      <c r="H115" s="304" t="s">
        <v>218</v>
      </c>
      <c r="I115" s="305" t="s">
        <v>55</v>
      </c>
      <c r="M115" s="334"/>
      <c r="Y115" s="361"/>
      <c r="AW115" s="362"/>
      <c r="BP115" s="283" t="s">
        <v>350</v>
      </c>
      <c r="BQ115" s="283">
        <f>BQ114+BG65</f>
        <v>163687</v>
      </c>
      <c r="BR115" s="283">
        <f>BR114+BH65</f>
        <v>139047.04666666666</v>
      </c>
      <c r="BS115" s="283">
        <f>BS114+BI65</f>
        <v>128047.46333333332</v>
      </c>
      <c r="BT115" s="283">
        <f>BT114+BG66</f>
        <v>11005.077742611553</v>
      </c>
      <c r="BU115" s="283">
        <f>BU114+BH66</f>
        <v>10287.386000000002</v>
      </c>
      <c r="BV115" s="283">
        <f>BV114+BI66</f>
        <v>10862.368195686826</v>
      </c>
      <c r="DK115" s="283" t="s">
        <v>369</v>
      </c>
      <c r="DL115" s="323" t="e">
        <f>DP13+DP15+DP17+DP19+DP21+DP25+DP27+DP29+DP31+DP33+DP35+#REF!+DP39+DP41+DP42+DP44+DP46</f>
        <v>#REF!</v>
      </c>
      <c r="DM115" s="323" t="e">
        <f>DQ13+DQ15+DQ17+DQ19+DQ21+DQ25+DQ27+DQ29+DQ31+DQ33+DQ35+#REF!+DQ39+DQ41+DQ42+DQ44+DQ46+DQ48</f>
        <v>#REF!</v>
      </c>
      <c r="DN115" s="323"/>
      <c r="DO115" s="323"/>
      <c r="DP115" s="323"/>
      <c r="DQ115" s="323"/>
    </row>
    <row r="116" spans="2:121">
      <c r="B116" s="283" t="s">
        <v>65</v>
      </c>
      <c r="C116" s="358">
        <f t="shared" ref="C116:C131" si="42">IF($C$2=1,+C13,IF($C$2=2,+H13,IF($C$2=3,+M13,IF($C$2=4,+R13,IF($C$2=5,+W13,IF($C$2=6,+AB13,IF($C$2=7,+AG13,IF($C$2=8,+AL13,IF($C$2=9,+AQ13,IF($C$2=10,+AV13,IF($C$2=11,+BA13,IF($C$2=12,+BF13,0))))))))))))</f>
        <v>0</v>
      </c>
      <c r="D116" s="288">
        <f t="shared" ref="D116:D131" si="43">IF($C$2=1,+D13,IF($C$2=2,+I13,IF($C$2=3,+N13,IF($C$2=4,+S13,IF($C$2=5,+X13,IF($C$2=6,+AC13,IF($C$2=7,+AH13,IF($C$2=8,+AM13,IF($C$2=9,+AR13,IF($C$2=10,+AW13,IF($C$2=11,+BB13,IF($C$2=12,+BG13,0))))))))))))</f>
        <v>1936.3333333333333</v>
      </c>
      <c r="E116" s="326">
        <f t="shared" ref="E116:E131" si="44">IF(C116=0,0,+G116/C116)</f>
        <v>0</v>
      </c>
      <c r="F116" s="326">
        <f t="shared" ref="F116:F131" si="45">IF(D116=0,0,+H116/D116)</f>
        <v>0.11390084351867791</v>
      </c>
      <c r="G116" s="327">
        <f t="shared" ref="G116:G131" si="46">IF($C$2=1,+E13,IF($C$2=2,+J13,IF($C$2=3,+O13,IF($C$2=4,+T13,IF($C$2=5,+Y13,IF($C$2=6,+AD13,IF($C$2=7,+AI13,IF($C$2=8,+AN13,IF($C$2=9,+AS13,IF($C$2=10,+AX13,IF($C$2=11,+BC13,IF($C$2=12,+BH13,0))))))))))))</f>
        <v>0</v>
      </c>
      <c r="H116" s="358">
        <f t="shared" ref="H116:H131" si="47">IF($C$2=1,+F13,IF($C$2=2,+K13,IF($C$2=3,+P13,IF($C$2=4,+U13,IF($C$2=5,+Z13,IF($C$2=6,+AE13,IF($C$2=7,+AJ13,IF($C$2=8,+AO13,IF($C$2=9,+AT13,IF($C$2=10,+AY13,IF($C$2=11,+BD13,IF($C$2=12,+BI13,0))))))))))))</f>
        <v>220.54999999999998</v>
      </c>
      <c r="I116" s="330">
        <f t="shared" ref="I116:I131" si="48">IF($C$2=1,+G13,IF($C$2=2,+L13,IF($C$2=3,+Q13,IF($C$2=4,+V13,IF($C$2=5,+AA13,IF($C$2=6,+AF13,IF($C$2=7,+AK13,IF($C$2=8,+AP13,IF($C$2=9,+AU13,IF($C$2=10,+AZ13,IF($C$2=11,+BE13,IF($C$2=12,+BJ13,0))))))))))))</f>
        <v>5.3667775314116781</v>
      </c>
      <c r="M116" s="334"/>
      <c r="Y116" s="361"/>
      <c r="AW116" s="362"/>
      <c r="DK116" s="323"/>
      <c r="DN116" s="323"/>
      <c r="DO116" s="323"/>
      <c r="DP116" s="323"/>
      <c r="DQ116" s="323"/>
    </row>
    <row r="117" spans="2:121">
      <c r="B117" s="283" t="s">
        <v>242</v>
      </c>
      <c r="C117" s="358">
        <f t="shared" si="42"/>
        <v>137540.95042203172</v>
      </c>
      <c r="D117" s="288">
        <f t="shared" si="43"/>
        <v>178361</v>
      </c>
      <c r="E117" s="326">
        <f t="shared" si="44"/>
        <v>0.14678034406745685</v>
      </c>
      <c r="F117" s="326">
        <f t="shared" si="45"/>
        <v>0.14241306488899852</v>
      </c>
      <c r="G117" s="327">
        <f t="shared" si="46"/>
        <v>20188.308026310839</v>
      </c>
      <c r="H117" s="358">
        <f t="shared" si="47"/>
        <v>25400.936666666665</v>
      </c>
      <c r="I117" s="330">
        <f t="shared" si="48"/>
        <v>534.92441361191197</v>
      </c>
      <c r="M117" s="334"/>
      <c r="Y117" s="361"/>
      <c r="AW117" s="362"/>
      <c r="DH117" s="323"/>
      <c r="DI117" s="323"/>
    </row>
    <row r="118" spans="2:121">
      <c r="B118" s="283" t="s">
        <v>245</v>
      </c>
      <c r="C118" s="358">
        <f t="shared" si="42"/>
        <v>0</v>
      </c>
      <c r="D118" s="288">
        <f t="shared" si="43"/>
        <v>0</v>
      </c>
      <c r="E118" s="326">
        <f t="shared" si="44"/>
        <v>0</v>
      </c>
      <c r="F118" s="326">
        <f t="shared" si="45"/>
        <v>0</v>
      </c>
      <c r="G118" s="327">
        <f t="shared" si="46"/>
        <v>0</v>
      </c>
      <c r="H118" s="358">
        <f t="shared" si="47"/>
        <v>0</v>
      </c>
      <c r="I118" s="330">
        <f t="shared" si="48"/>
        <v>0</v>
      </c>
      <c r="M118" s="334"/>
      <c r="Y118" s="361"/>
      <c r="AW118" s="362"/>
      <c r="DH118" s="323"/>
    </row>
    <row r="119" spans="2:121">
      <c r="B119" s="283" t="s">
        <v>61</v>
      </c>
      <c r="C119" s="358">
        <f t="shared" si="42"/>
        <v>19344.796234733352</v>
      </c>
      <c r="D119" s="288">
        <f t="shared" si="43"/>
        <v>21132</v>
      </c>
      <c r="E119" s="326">
        <f t="shared" si="44"/>
        <v>0.22712560889226746</v>
      </c>
      <c r="F119" s="326">
        <f t="shared" si="45"/>
        <v>0.20804419837213703</v>
      </c>
      <c r="G119" s="327">
        <f t="shared" si="46"/>
        <v>4393.6986237106557</v>
      </c>
      <c r="H119" s="358">
        <f t="shared" si="47"/>
        <v>4396.3899999999994</v>
      </c>
      <c r="I119" s="330">
        <f t="shared" si="48"/>
        <v>62.308133511898973</v>
      </c>
      <c r="M119" s="334"/>
      <c r="Y119" s="361"/>
      <c r="AW119" s="362"/>
      <c r="DK119" s="323"/>
      <c r="DL119" s="323"/>
      <c r="DM119" s="323"/>
      <c r="DN119" s="323"/>
      <c r="DO119" s="323"/>
      <c r="DP119" s="323"/>
      <c r="DQ119" s="323"/>
    </row>
    <row r="120" spans="2:121">
      <c r="B120" s="283" t="s">
        <v>66</v>
      </c>
      <c r="C120" s="358">
        <f t="shared" si="42"/>
        <v>12877.760274481472</v>
      </c>
      <c r="D120" s="288">
        <f t="shared" si="43"/>
        <v>13496.333333333334</v>
      </c>
      <c r="E120" s="326">
        <f t="shared" si="44"/>
        <v>0.27273788854552861</v>
      </c>
      <c r="F120" s="326">
        <f t="shared" si="45"/>
        <v>0.27353281138086888</v>
      </c>
      <c r="G120" s="327">
        <f t="shared" si="46"/>
        <v>3512.2531464575636</v>
      </c>
      <c r="H120" s="358">
        <f t="shared" si="47"/>
        <v>3691.69</v>
      </c>
      <c r="I120" s="330">
        <f t="shared" si="48"/>
        <v>39.791280657060121</v>
      </c>
      <c r="M120" s="334"/>
      <c r="Y120" s="361"/>
      <c r="AW120" s="362"/>
      <c r="DK120" s="323"/>
      <c r="DL120" s="323"/>
      <c r="DM120" s="323"/>
      <c r="DN120" s="323"/>
      <c r="DO120" s="323"/>
      <c r="DP120" s="323"/>
      <c r="DQ120" s="323"/>
    </row>
    <row r="121" spans="2:121">
      <c r="B121" s="283" t="s">
        <v>257</v>
      </c>
      <c r="C121" s="358">
        <f t="shared" si="42"/>
        <v>1084.6029594004069</v>
      </c>
      <c r="D121" s="288">
        <f t="shared" si="43"/>
        <v>300</v>
      </c>
      <c r="E121" s="326">
        <f t="shared" si="44"/>
        <v>0.80246328703229619</v>
      </c>
      <c r="F121" s="326">
        <f t="shared" si="45"/>
        <v>0.80629999999999991</v>
      </c>
      <c r="G121" s="327">
        <f t="shared" si="46"/>
        <v>870.35405592540667</v>
      </c>
      <c r="H121" s="358">
        <f t="shared" si="47"/>
        <v>241.89</v>
      </c>
      <c r="I121" s="330">
        <f t="shared" si="48"/>
        <v>0.83843380565104386</v>
      </c>
      <c r="M121" s="334"/>
      <c r="Y121" s="361"/>
      <c r="AW121" s="362"/>
      <c r="DK121" s="323"/>
      <c r="DL121" s="323"/>
      <c r="DM121" s="323"/>
      <c r="DN121" s="323"/>
      <c r="DO121" s="323"/>
      <c r="DP121" s="323"/>
      <c r="DQ121" s="323"/>
    </row>
    <row r="122" spans="2:121">
      <c r="B122" s="283" t="s">
        <v>62</v>
      </c>
      <c r="C122" s="358">
        <f t="shared" si="42"/>
        <v>0</v>
      </c>
      <c r="D122" s="288">
        <f t="shared" si="43"/>
        <v>0</v>
      </c>
      <c r="E122" s="326">
        <f t="shared" si="44"/>
        <v>0</v>
      </c>
      <c r="F122" s="326">
        <f t="shared" si="45"/>
        <v>0</v>
      </c>
      <c r="G122" s="327">
        <f t="shared" si="46"/>
        <v>0</v>
      </c>
      <c r="H122" s="358">
        <f t="shared" si="47"/>
        <v>0</v>
      </c>
      <c r="I122" s="330">
        <f t="shared" si="48"/>
        <v>0</v>
      </c>
      <c r="M122" s="334"/>
      <c r="Y122" s="361"/>
      <c r="AW122" s="362"/>
      <c r="DK122" s="323"/>
      <c r="DL122" s="323"/>
      <c r="DM122" s="323"/>
      <c r="DN122" s="323"/>
      <c r="DO122" s="323"/>
      <c r="DP122" s="323"/>
      <c r="DQ122" s="323"/>
    </row>
    <row r="123" spans="2:121">
      <c r="B123" s="283" t="s">
        <v>262</v>
      </c>
      <c r="C123" s="358">
        <f t="shared" si="42"/>
        <v>6618.9148259927933</v>
      </c>
      <c r="D123" s="288">
        <f t="shared" si="43"/>
        <v>6276.666666666667</v>
      </c>
      <c r="E123" s="326">
        <f t="shared" si="44"/>
        <v>0.34617299689701037</v>
      </c>
      <c r="F123" s="326">
        <f t="shared" si="45"/>
        <v>0.29220870950610722</v>
      </c>
      <c r="G123" s="327">
        <f t="shared" si="46"/>
        <v>2291.289581519979</v>
      </c>
      <c r="H123" s="358">
        <f t="shared" si="47"/>
        <v>1834.0966666666666</v>
      </c>
      <c r="I123" s="330">
        <f t="shared" si="48"/>
        <v>18.368505583909993</v>
      </c>
      <c r="M123" s="334"/>
      <c r="Y123" s="361"/>
      <c r="AW123" s="362"/>
    </row>
    <row r="124" spans="2:121">
      <c r="B124" s="283" t="s">
        <v>63</v>
      </c>
      <c r="C124" s="358">
        <f t="shared" si="42"/>
        <v>11126.306034580288</v>
      </c>
      <c r="D124" s="288">
        <f t="shared" si="43"/>
        <v>9792.3333333333339</v>
      </c>
      <c r="E124" s="326">
        <f t="shared" si="44"/>
        <v>0.80804370064741271</v>
      </c>
      <c r="F124" s="326">
        <f t="shared" si="45"/>
        <v>0.56838751404159715</v>
      </c>
      <c r="G124" s="327">
        <f t="shared" si="46"/>
        <v>8990.5415027178951</v>
      </c>
      <c r="H124" s="358">
        <f t="shared" si="47"/>
        <v>5565.84</v>
      </c>
      <c r="I124" s="330">
        <f t="shared" si="48"/>
        <v>28.567686712534933</v>
      </c>
      <c r="M124" s="334"/>
      <c r="Y124" s="361"/>
      <c r="AW124" s="362"/>
      <c r="DK124" s="323"/>
      <c r="DL124" s="323"/>
      <c r="DM124" s="323"/>
      <c r="DN124" s="323"/>
      <c r="DO124" s="323"/>
      <c r="DP124" s="323"/>
      <c r="DQ124" s="323"/>
    </row>
    <row r="125" spans="2:121">
      <c r="B125" s="283" t="s">
        <v>72</v>
      </c>
      <c r="C125" s="358">
        <f t="shared" si="42"/>
        <v>2445.8005066131664</v>
      </c>
      <c r="D125" s="288">
        <f t="shared" si="43"/>
        <v>2066.6666666666665</v>
      </c>
      <c r="E125" s="326">
        <f t="shared" si="44"/>
        <v>0.16472931053648995</v>
      </c>
      <c r="F125" s="326">
        <f t="shared" si="45"/>
        <v>0.16160806451612905</v>
      </c>
      <c r="G125" s="327">
        <f t="shared" si="46"/>
        <v>402.89503116418473</v>
      </c>
      <c r="H125" s="358">
        <f t="shared" si="47"/>
        <v>333.99</v>
      </c>
      <c r="I125" s="330">
        <f t="shared" si="48"/>
        <v>6.0747646891954545</v>
      </c>
      <c r="M125" s="334"/>
      <c r="Y125" s="361"/>
      <c r="AW125" s="362"/>
      <c r="DK125" s="323"/>
      <c r="DL125" s="323"/>
      <c r="DM125" s="323"/>
      <c r="DN125" s="323"/>
      <c r="DO125" s="323"/>
      <c r="DP125" s="323"/>
      <c r="DQ125" s="323"/>
    </row>
    <row r="126" spans="2:121">
      <c r="B126" s="283" t="s">
        <v>54</v>
      </c>
      <c r="C126" s="358">
        <f t="shared" si="42"/>
        <v>2673.66859714167</v>
      </c>
      <c r="D126" s="288">
        <f t="shared" si="43"/>
        <v>4008.6666666666665</v>
      </c>
      <c r="E126" s="326">
        <f t="shared" si="44"/>
        <v>0.67982177349885098</v>
      </c>
      <c r="F126" s="326">
        <f t="shared" si="45"/>
        <v>0.42421669715616167</v>
      </c>
      <c r="G126" s="327">
        <f t="shared" si="46"/>
        <v>1817.6181274570351</v>
      </c>
      <c r="H126" s="358">
        <f t="shared" si="47"/>
        <v>1700.5433333333333</v>
      </c>
      <c r="I126" s="330">
        <f t="shared" si="48"/>
        <v>11.544553377844673</v>
      </c>
      <c r="DK126" s="323"/>
      <c r="DL126" s="323"/>
      <c r="DM126" s="323"/>
      <c r="DN126" s="323"/>
      <c r="DO126" s="323"/>
      <c r="DP126" s="323"/>
      <c r="DQ126" s="323"/>
    </row>
    <row r="127" spans="2:121">
      <c r="B127" s="283" t="s">
        <v>269</v>
      </c>
      <c r="C127" s="358">
        <f t="shared" si="42"/>
        <v>4875.3916661722023</v>
      </c>
      <c r="D127" s="288">
        <f t="shared" si="43"/>
        <v>0</v>
      </c>
      <c r="E127" s="326">
        <f t="shared" si="44"/>
        <v>0.25294591747033052</v>
      </c>
      <c r="F127" s="326">
        <f t="shared" si="45"/>
        <v>0</v>
      </c>
      <c r="G127" s="327">
        <f t="shared" si="46"/>
        <v>1233.210418027131</v>
      </c>
      <c r="H127" s="358">
        <f t="shared" si="47"/>
        <v>0</v>
      </c>
      <c r="I127" s="330">
        <f t="shared" si="48"/>
        <v>0</v>
      </c>
      <c r="M127" s="334"/>
      <c r="Y127" s="361"/>
      <c r="AW127" s="362"/>
      <c r="DK127" s="323"/>
      <c r="DL127" s="323"/>
      <c r="DM127" s="323"/>
      <c r="DN127" s="323"/>
      <c r="DO127" s="323"/>
      <c r="DP127" s="323"/>
      <c r="DQ127" s="323"/>
    </row>
    <row r="128" spans="2:121">
      <c r="B128" s="283" t="s">
        <v>274</v>
      </c>
      <c r="C128" s="358">
        <f t="shared" si="42"/>
        <v>1341.8892075431838</v>
      </c>
      <c r="D128" s="288">
        <f t="shared" si="43"/>
        <v>1338.3333333333333</v>
      </c>
      <c r="E128" s="326">
        <f t="shared" si="44"/>
        <v>2.7762907427223049</v>
      </c>
      <c r="F128" s="326">
        <f t="shared" si="45"/>
        <v>2.8336637608966377</v>
      </c>
      <c r="G128" s="327">
        <f t="shared" si="46"/>
        <v>3725.4745846611113</v>
      </c>
      <c r="H128" s="358">
        <f t="shared" si="47"/>
        <v>3792.3866666666668</v>
      </c>
      <c r="I128" s="330">
        <f t="shared" si="48"/>
        <v>3.7199649266552193</v>
      </c>
      <c r="M128" s="334"/>
      <c r="Y128" s="361"/>
      <c r="AW128" s="362"/>
      <c r="DK128" s="323"/>
      <c r="DL128" s="323"/>
      <c r="DM128" s="323"/>
      <c r="DN128" s="323"/>
      <c r="DO128" s="323"/>
      <c r="DP128" s="323"/>
      <c r="DQ128" s="323"/>
    </row>
    <row r="129" spans="2:121">
      <c r="B129" s="283" t="s">
        <v>279</v>
      </c>
      <c r="C129" s="358">
        <f t="shared" si="42"/>
        <v>0</v>
      </c>
      <c r="D129" s="288">
        <f t="shared" si="43"/>
        <v>7</v>
      </c>
      <c r="E129" s="326">
        <f t="shared" si="44"/>
        <v>0</v>
      </c>
      <c r="F129" s="326">
        <f t="shared" si="45"/>
        <v>3.558095238095238</v>
      </c>
      <c r="G129" s="327">
        <f t="shared" si="46"/>
        <v>0</v>
      </c>
      <c r="H129" s="358">
        <f t="shared" si="47"/>
        <v>24.906666666666666</v>
      </c>
      <c r="I129" s="330">
        <f t="shared" si="48"/>
        <v>1.9563455465191022E-2</v>
      </c>
      <c r="M129" s="334"/>
      <c r="Y129" s="361"/>
      <c r="AW129" s="362"/>
    </row>
    <row r="130" spans="2:121">
      <c r="B130" s="283" t="s">
        <v>280</v>
      </c>
      <c r="C130" s="358">
        <f t="shared" si="42"/>
        <v>375</v>
      </c>
      <c r="D130" s="288">
        <f t="shared" si="43"/>
        <v>375</v>
      </c>
      <c r="E130" s="326">
        <f t="shared" si="44"/>
        <v>2.4873066666666666</v>
      </c>
      <c r="F130" s="326">
        <f t="shared" si="45"/>
        <v>2.4873066666666666</v>
      </c>
      <c r="G130" s="327">
        <f t="shared" si="46"/>
        <v>932.74</v>
      </c>
      <c r="H130" s="358">
        <f t="shared" si="47"/>
        <v>932.74</v>
      </c>
      <c r="I130" s="330">
        <f t="shared" si="48"/>
        <v>0.2519348597226701</v>
      </c>
      <c r="M130" s="334"/>
      <c r="Y130" s="361"/>
      <c r="AW130" s="362"/>
      <c r="DK130" s="323"/>
      <c r="DL130" s="323"/>
      <c r="DM130" s="323"/>
      <c r="DN130" s="323"/>
      <c r="DO130" s="323"/>
      <c r="DP130" s="323"/>
      <c r="DQ130" s="323"/>
    </row>
    <row r="131" spans="2:121">
      <c r="B131" s="283" t="s">
        <v>283</v>
      </c>
      <c r="C131" s="358">
        <f t="shared" si="42"/>
        <v>1800</v>
      </c>
      <c r="D131" s="288">
        <f t="shared" si="43"/>
        <v>1800</v>
      </c>
      <c r="E131" s="326">
        <f t="shared" si="44"/>
        <v>0.3422</v>
      </c>
      <c r="F131" s="326">
        <f t="shared" si="45"/>
        <v>0.3422</v>
      </c>
      <c r="G131" s="327">
        <f t="shared" si="46"/>
        <v>615.96</v>
      </c>
      <c r="H131" s="358">
        <f t="shared" si="47"/>
        <v>615.96</v>
      </c>
      <c r="I131" s="330">
        <f t="shared" si="48"/>
        <v>1.2092873266688164</v>
      </c>
      <c r="M131" s="334"/>
      <c r="Y131" s="361"/>
      <c r="AW131" s="362"/>
      <c r="DK131" s="323"/>
      <c r="DL131" s="323"/>
      <c r="DM131" s="323"/>
      <c r="DN131" s="323"/>
      <c r="DO131" s="323"/>
      <c r="DP131" s="323"/>
      <c r="DQ131" s="323"/>
    </row>
    <row r="132" spans="2:121">
      <c r="E132" s="326"/>
      <c r="F132" s="326"/>
      <c r="G132" s="327"/>
      <c r="H132" s="358"/>
      <c r="I132" s="330"/>
      <c r="M132" s="334"/>
      <c r="Y132" s="361"/>
      <c r="AW132" s="362"/>
      <c r="DK132" s="323"/>
      <c r="DL132" s="323"/>
      <c r="DM132" s="323"/>
      <c r="DN132" s="323"/>
      <c r="DO132" s="323"/>
      <c r="DP132" s="323"/>
      <c r="DQ132" s="323"/>
    </row>
    <row r="133" spans="2:121">
      <c r="E133" s="326"/>
      <c r="F133" s="326"/>
      <c r="G133" s="327"/>
      <c r="H133" s="358"/>
      <c r="I133" s="330"/>
      <c r="M133" s="334"/>
      <c r="Y133" s="361"/>
      <c r="AW133" s="362"/>
      <c r="DK133" s="323"/>
      <c r="DL133" s="323"/>
      <c r="DM133" s="323"/>
      <c r="DN133" s="323"/>
      <c r="DO133" s="323"/>
      <c r="DP133" s="323"/>
      <c r="DQ133" s="323"/>
    </row>
    <row r="134" spans="2:121">
      <c r="B134" s="283" t="s">
        <v>13</v>
      </c>
      <c r="C134" s="284">
        <f>SUM(C116:C131)</f>
        <v>202105.08072869023</v>
      </c>
      <c r="D134" s="288">
        <f>SUM(D116:D131)</f>
        <v>240890.33333333334</v>
      </c>
      <c r="E134" s="326">
        <f>IF(C134=0,0,+G134/C134)</f>
        <v>0.24232118718329457</v>
      </c>
      <c r="F134" s="326">
        <f>IF(D134=0,0,+H134/D134)</f>
        <v>0.20238221818780602</v>
      </c>
      <c r="G134" s="327">
        <f>SUM(G116:G131)</f>
        <v>48974.343097951802</v>
      </c>
      <c r="H134" s="358">
        <f>SUM(H116:H131)</f>
        <v>48751.919999999991</v>
      </c>
      <c r="I134" s="330">
        <f>SUM(I116:I131)</f>
        <v>712.98530004993074</v>
      </c>
      <c r="K134" s="326"/>
      <c r="M134" s="334"/>
      <c r="Y134" s="361"/>
      <c r="AW134" s="362"/>
      <c r="DK134" s="323"/>
      <c r="DL134" s="323"/>
      <c r="DM134" s="323"/>
      <c r="DN134" s="323"/>
      <c r="DO134" s="323"/>
      <c r="DP134" s="323"/>
      <c r="DQ134" s="323"/>
    </row>
    <row r="135" spans="2:121">
      <c r="G135" s="327"/>
      <c r="H135" s="358"/>
      <c r="K135" s="326"/>
      <c r="M135" s="334"/>
      <c r="Y135" s="361"/>
      <c r="AW135" s="362"/>
      <c r="DK135" s="323"/>
      <c r="DL135" s="323"/>
      <c r="DM135" s="323"/>
      <c r="DN135" s="323"/>
      <c r="DO135" s="323"/>
      <c r="DP135" s="323"/>
      <c r="DQ135" s="323"/>
    </row>
    <row r="136" spans="2:121">
      <c r="G136" s="327"/>
      <c r="H136" s="358"/>
      <c r="M136" s="334"/>
      <c r="T136" s="361"/>
      <c r="W136" s="358"/>
      <c r="Y136" s="361"/>
      <c r="AW136" s="362"/>
      <c r="DK136" s="323"/>
      <c r="DL136" s="323"/>
      <c r="DM136" s="323"/>
      <c r="DN136" s="323"/>
      <c r="DO136" s="323"/>
      <c r="DP136" s="323"/>
      <c r="DQ136" s="323"/>
    </row>
    <row r="137" spans="2:121">
      <c r="D137" s="288" t="s">
        <v>230</v>
      </c>
      <c r="F137" s="286" t="s">
        <v>218</v>
      </c>
      <c r="H137" s="284" t="s">
        <v>231</v>
      </c>
      <c r="M137" s="334"/>
      <c r="Y137" s="361"/>
      <c r="AW137" s="362"/>
      <c r="DK137" s="323"/>
      <c r="DL137" s="323"/>
      <c r="DM137" s="323"/>
      <c r="DN137" s="323"/>
      <c r="DO137" s="323"/>
      <c r="DP137" s="323"/>
      <c r="DQ137" s="323"/>
    </row>
    <row r="138" spans="2:121" s="339" customFormat="1">
      <c r="B138" s="339" t="s">
        <v>243</v>
      </c>
      <c r="C138" s="341"/>
      <c r="D138" s="330">
        <f>IF($C$2=1,+D33,IF($C$2=2,+I33,IF($C$2=3,+N33,IF($C$2=4,+S33,IF($C$2=5,+X33,IF($C$2=6,+AC33,IF($C$2=7,+AH33,IF($C$2=8,+AM33,IF($C$2=9,+AR33,IF($C$2=10,+AW33,IF($C$2=11,+BB33,IF($C$2=12,+BG33,0))))))))))))</f>
        <v>8180</v>
      </c>
      <c r="E138" s="286"/>
      <c r="F138" s="326">
        <f>IF($C$2=1,+E33,IF($C$2=2,+J33,IF($C$2=3,+O33,IF($C$2=4,+T33,IF($C$2=5,+Y33,IF($C$2=6,+AD33,IF($C$2=7,+AI33,IF($C$2=8,+AN33,IF($C$2=9,+AS33,IF($C$2=10,+AX33,IF($C$2=11,+BC33,IF($C$2=12,+BH33,0))))))))))))</f>
        <v>4080.5366666666669</v>
      </c>
      <c r="G138" s="287"/>
      <c r="H138" s="358">
        <f>IF($C$2=1,+F33,IF($C$2=2,+K33,IF($C$2=3,+P33,IF($C$2=4,+U33,IF($C$2=5,+Z33,IF($C$2=6,+AE33,IF($C$2=7,+AJ33,IF($C$2=8,+AO33,IF($C$2=9,+AT33,IF($C$2=10,+AY33,IF($C$2=11,+BD33,IF($C$2=12,+BI33,0))))))))))))</f>
        <v>2212.67</v>
      </c>
      <c r="I138" s="288"/>
      <c r="J138" s="286"/>
      <c r="K138" s="286"/>
      <c r="L138" s="289"/>
      <c r="M138" s="334"/>
      <c r="N138" s="288"/>
      <c r="O138" s="286"/>
      <c r="P138" s="286"/>
      <c r="Q138" s="287"/>
      <c r="S138" s="288"/>
      <c r="T138" s="286"/>
      <c r="U138" s="286"/>
      <c r="V138" s="287"/>
      <c r="X138" s="288"/>
      <c r="Y138" s="361"/>
      <c r="Z138" s="286"/>
      <c r="AA138" s="287"/>
      <c r="AC138" s="288"/>
      <c r="AD138" s="286"/>
      <c r="AE138" s="286"/>
      <c r="AF138" s="287"/>
      <c r="AH138" s="288"/>
      <c r="AI138" s="286"/>
      <c r="AJ138" s="286"/>
      <c r="AK138" s="287"/>
      <c r="AM138" s="288"/>
      <c r="AN138" s="286"/>
      <c r="AO138" s="286"/>
      <c r="AP138" s="287"/>
      <c r="AR138" s="288"/>
      <c r="AS138" s="286"/>
      <c r="AT138" s="286"/>
      <c r="AU138" s="287"/>
      <c r="AW138" s="362"/>
      <c r="AX138" s="286"/>
      <c r="AY138" s="286"/>
      <c r="AZ138" s="287"/>
      <c r="BB138" s="288"/>
      <c r="BC138" s="286"/>
      <c r="BD138" s="286"/>
      <c r="BE138" s="287"/>
      <c r="BG138" s="288"/>
      <c r="BH138" s="286"/>
      <c r="BI138" s="286"/>
      <c r="BJ138" s="287"/>
      <c r="BL138" s="288"/>
      <c r="BM138" s="286"/>
      <c r="BN138" s="286"/>
      <c r="BO138" s="289"/>
      <c r="DK138" s="341"/>
      <c r="DL138" s="341"/>
      <c r="DM138" s="341"/>
      <c r="DN138" s="341"/>
      <c r="DO138" s="341"/>
      <c r="DP138" s="341"/>
      <c r="DQ138" s="341"/>
    </row>
    <row r="139" spans="2:121">
      <c r="M139" s="334"/>
      <c r="Y139" s="361"/>
      <c r="AW139" s="362"/>
      <c r="DK139" s="323"/>
      <c r="DL139" s="323"/>
      <c r="DM139" s="323"/>
      <c r="DN139" s="323"/>
      <c r="DO139" s="323"/>
      <c r="DP139" s="323"/>
      <c r="DQ139" s="323"/>
    </row>
    <row r="140" spans="2:121">
      <c r="D140" s="288" t="s">
        <v>230</v>
      </c>
      <c r="F140" s="286" t="s">
        <v>218</v>
      </c>
      <c r="H140" s="284" t="s">
        <v>231</v>
      </c>
      <c r="M140" s="334"/>
      <c r="Y140" s="361"/>
      <c r="AW140" s="362"/>
      <c r="DK140" s="323"/>
      <c r="DL140" s="323"/>
      <c r="DM140" s="323"/>
      <c r="DN140" s="323"/>
      <c r="DO140" s="323"/>
      <c r="DP140" s="323"/>
      <c r="DQ140" s="323"/>
    </row>
    <row r="141" spans="2:121" s="344" customFormat="1">
      <c r="B141" s="344" t="s">
        <v>296</v>
      </c>
      <c r="D141" s="330">
        <f>IF($C$2=1,+D34,IF($C$2=2,+I34,IF($C$2=3,+N34,IF($C$2=4,+S34,IF($C$2=5,+X34,IF($C$2=6,+AC34,IF($C$2=7,+AH34,IF($C$2=8,+AM34,IF($C$2=9,+AR34,IF($C$2=10,+AW34,IF($C$2=11,+BB34,IF($C$2=12,+BG34,0))))))))))))</f>
        <v>375.41</v>
      </c>
      <c r="E141" s="286"/>
      <c r="F141" s="326">
        <f>IF($C$2=1,+E34,IF($C$2=2,+J34,IF($C$2=3,+O34,IF($C$2=4,+T34,IF($C$2=5,+Y34,IF($C$2=6,+AD34,IF($C$2=7,+AI34,IF($C$2=8,+AN34,IF($C$2=9,+AS34,IF($C$2=10,+AX34,IF($C$2=11,+BC34,IF($C$2=12,+BH34,0))))))))))))</f>
        <v>339.74666666666667</v>
      </c>
      <c r="G141" s="287"/>
      <c r="H141" s="358">
        <f>IF($C$2=1,+F34,IF($C$2=2,+K34,IF($C$2=3,+P34,IF($C$2=4,+U34,IF($C$2=5,+Z34,IF($C$2=6,+AE34,IF($C$2=7,+AJ34,IF($C$2=8,+AO34,IF($C$2=9,+AT34,IF($C$2=10,+AY34,IF($C$2=11,+BD34,IF($C$2=12,+BI34,0))))))))))))</f>
        <v>376.79200000000009</v>
      </c>
      <c r="I141" s="288"/>
      <c r="J141" s="286"/>
      <c r="K141" s="286"/>
      <c r="L141" s="289"/>
      <c r="M141" s="334"/>
      <c r="N141" s="362"/>
      <c r="O141" s="361"/>
      <c r="P141" s="326"/>
      <c r="Q141" s="332"/>
      <c r="R141" s="349"/>
      <c r="S141" s="362"/>
      <c r="T141" s="361"/>
      <c r="U141" s="286"/>
      <c r="V141" s="287"/>
      <c r="W141" s="349"/>
      <c r="X141" s="288"/>
      <c r="Y141" s="361"/>
      <c r="Z141" s="286"/>
      <c r="AA141" s="287"/>
      <c r="AC141" s="288"/>
      <c r="AD141" s="286"/>
      <c r="AE141" s="286"/>
      <c r="AF141" s="287"/>
      <c r="AH141" s="288"/>
      <c r="AI141" s="286"/>
      <c r="AJ141" s="286"/>
      <c r="AK141" s="287"/>
      <c r="AM141" s="288"/>
      <c r="AN141" s="286"/>
      <c r="AO141" s="286"/>
      <c r="AP141" s="287"/>
      <c r="AR141" s="288"/>
      <c r="AS141" s="286"/>
      <c r="AT141" s="286"/>
      <c r="AU141" s="287"/>
      <c r="AW141" s="362"/>
      <c r="AX141" s="286"/>
      <c r="AY141" s="286"/>
      <c r="AZ141" s="287"/>
      <c r="BB141" s="288"/>
      <c r="BC141" s="286"/>
      <c r="BD141" s="286"/>
      <c r="BE141" s="287"/>
      <c r="BG141" s="288"/>
      <c r="BH141" s="286"/>
      <c r="BI141" s="286"/>
      <c r="BJ141" s="287"/>
      <c r="BL141" s="288"/>
      <c r="BM141" s="286"/>
      <c r="BN141" s="286"/>
      <c r="BO141" s="289"/>
      <c r="DK141" s="349"/>
      <c r="DL141" s="349"/>
      <c r="DM141" s="349"/>
      <c r="DN141" s="349"/>
      <c r="DO141" s="349"/>
      <c r="DP141" s="349"/>
      <c r="DQ141" s="349"/>
    </row>
    <row r="142" spans="2:121">
      <c r="F142" s="286">
        <f>D141-F141</f>
        <v>35.663333333333355</v>
      </c>
      <c r="M142" s="334"/>
      <c r="Y142" s="361"/>
      <c r="AW142" s="362"/>
      <c r="DK142" s="323"/>
      <c r="DL142" s="323"/>
      <c r="DM142" s="323"/>
      <c r="DN142" s="323"/>
      <c r="DO142" s="323"/>
      <c r="DP142" s="323"/>
      <c r="DQ142" s="323"/>
    </row>
    <row r="143" spans="2:121" s="331" customFormat="1">
      <c r="B143" s="331" t="s">
        <v>293</v>
      </c>
      <c r="D143" s="330">
        <f>IF($C$2=1,+D32,IF($C$2=2,+I32,IF($C$2=3,+N32,IF($C$2=4,+S32,IF($C$2=5,+X32,IF($C$2=6,+AC32,IF($C$2=7,+AH32,IF($C$2=8,+AM32,IF($C$2=9,+AR32,IF($C$2=10,+AW32,IF($C$2=11,+BB32,IF($C$2=12,+BG32,0))))))))))))</f>
        <v>16.214222222222222</v>
      </c>
      <c r="E143" s="286"/>
      <c r="F143" s="326">
        <f>IF($C$2=1,+E32,IF($C$2=2,+J32,IF($C$2=3,+O32,IF($C$2=4,+T32,IF($C$2=5,+Y32,IF($C$2=6,+AD32,IF($C$2=7,+AI32,IF($C$2=8,+AN32,IF($C$2=9,+AS32,IF($C$2=10,+AX32,IF($C$2=11,+BC32,IF($C$2=12,+BH32,0))))))))))))</f>
        <v>17</v>
      </c>
      <c r="G143" s="287"/>
      <c r="H143" s="358">
        <f>IF($C$2=1,+F32,IF($C$2=2,+K32,IF($C$2=3,+P32,IF($C$2=4,+U32,IF($C$2=5,+Z32,IF($C$2=6,+AE32,IF($C$2=7,+AJ32,IF($C$2=8,+AO32,IF($C$2=9,+AT32,IF($C$2=10,+AY32,IF($C$2=11,+BD32,IF($C$2=12,+BI32,0))))))))))))</f>
        <v>7.82</v>
      </c>
      <c r="I143" s="288"/>
      <c r="J143" s="286"/>
      <c r="K143" s="286"/>
      <c r="L143" s="289"/>
      <c r="M143" s="334"/>
      <c r="N143" s="288"/>
      <c r="O143" s="286"/>
      <c r="P143" s="286"/>
      <c r="Q143" s="287"/>
      <c r="S143" s="288"/>
      <c r="T143" s="286"/>
      <c r="U143" s="286"/>
      <c r="V143" s="287"/>
      <c r="X143" s="288"/>
      <c r="Y143" s="361"/>
      <c r="Z143" s="286"/>
      <c r="AA143" s="287"/>
      <c r="AC143" s="288"/>
      <c r="AD143" s="286"/>
      <c r="AE143" s="286"/>
      <c r="AF143" s="287"/>
      <c r="AH143" s="288"/>
      <c r="AI143" s="286"/>
      <c r="AJ143" s="286"/>
      <c r="AK143" s="287"/>
      <c r="AM143" s="288"/>
      <c r="AN143" s="286"/>
      <c r="AO143" s="286"/>
      <c r="AP143" s="287"/>
      <c r="AR143" s="288"/>
      <c r="AS143" s="286"/>
      <c r="AT143" s="286"/>
      <c r="AU143" s="287"/>
      <c r="AW143" s="362"/>
      <c r="AX143" s="286"/>
      <c r="AY143" s="286"/>
      <c r="AZ143" s="287"/>
      <c r="BB143" s="288"/>
      <c r="BC143" s="286"/>
      <c r="BD143" s="286"/>
      <c r="BE143" s="287"/>
      <c r="BG143" s="288"/>
      <c r="BH143" s="286"/>
      <c r="BI143" s="286"/>
      <c r="BJ143" s="287"/>
      <c r="BL143" s="288"/>
      <c r="BM143" s="286"/>
      <c r="BN143" s="286"/>
      <c r="BO143" s="289"/>
      <c r="DK143" s="336"/>
      <c r="DL143" s="336"/>
      <c r="DM143" s="336"/>
      <c r="DN143" s="336"/>
      <c r="DO143" s="336"/>
      <c r="DP143" s="336"/>
      <c r="DQ143" s="336"/>
    </row>
    <row r="144" spans="2:121">
      <c r="M144" s="334"/>
      <c r="Y144" s="361"/>
      <c r="AW144" s="362"/>
      <c r="DK144" s="323"/>
      <c r="DL144" s="323"/>
      <c r="DM144" s="323"/>
      <c r="DN144" s="323"/>
      <c r="DO144" s="323"/>
      <c r="DP144" s="323"/>
      <c r="DQ144" s="323"/>
    </row>
    <row r="145" spans="1:121" s="339" customFormat="1">
      <c r="B145" s="339" t="s">
        <v>252</v>
      </c>
      <c r="D145" s="330">
        <f>IF($C$2=1,+D35,IF($C$2=2,+I35,IF($C$2=3,+N35,IF($C$2=4,+S35,IF($C$2=5,+X35,IF($C$2=6,+AC35,IF($C$2=7,+AH35,IF($C$2=8,+AM35,IF($C$2=9,+AR35,IF($C$2=10,+AW35,IF($C$2=11,+BB35,IF($C$2=12,+BG35,0))))))))))))</f>
        <v>125.29658432736285</v>
      </c>
      <c r="E145" s="361"/>
      <c r="F145" s="326">
        <f>IF($C$2=1,+E35,IF($C$2=2,+J35,IF($C$2=3,+O35,IF($C$2=4,+T35,IF($C$2=5,+Y35,IF($C$2=6,+AD35,IF($C$2=7,+AI35,IF($C$2=8,+AN35,IF($C$2=9,+AS35,IF($C$2=10,+AX35,IF($C$2=11,+BC35,IF($C$2=12,+BH35,0))))))))))))</f>
        <v>139.37899489473733</v>
      </c>
      <c r="G145" s="287"/>
      <c r="H145" s="358">
        <f>IF($C$2=1,+F35,IF($C$2=2,+K35,IF($C$2=3,+P35,IF($C$2=4,+U35,IF($C$2=5,+Z35,IF($C$2=6,+AE35,IF($C$2=7,+AJ35,IF($C$2=8,+AO35,IF($C$2=9,+AT35,IF($C$2=10,+AY35,IF($C$2=11,+BD35,IF($C$2=12,+BI35,0))))))))))))</f>
        <v>105.62469977424531</v>
      </c>
      <c r="I145" s="288"/>
      <c r="J145" s="286"/>
      <c r="K145" s="286"/>
      <c r="L145" s="289"/>
      <c r="M145" s="334"/>
      <c r="N145" s="288"/>
      <c r="O145" s="286"/>
      <c r="P145" s="286"/>
      <c r="Q145" s="287"/>
      <c r="S145" s="288"/>
      <c r="T145" s="286"/>
      <c r="U145" s="286"/>
      <c r="V145" s="287"/>
      <c r="X145" s="288"/>
      <c r="Y145" s="361"/>
      <c r="Z145" s="286"/>
      <c r="AA145" s="287"/>
      <c r="AC145" s="288"/>
      <c r="AD145" s="286"/>
      <c r="AE145" s="286"/>
      <c r="AF145" s="287"/>
      <c r="AH145" s="288"/>
      <c r="AI145" s="286"/>
      <c r="AJ145" s="286"/>
      <c r="AK145" s="287"/>
      <c r="AM145" s="288"/>
      <c r="AN145" s="286"/>
      <c r="AO145" s="286"/>
      <c r="AP145" s="287"/>
      <c r="AR145" s="288"/>
      <c r="AS145" s="286"/>
      <c r="AT145" s="286"/>
      <c r="AU145" s="287"/>
      <c r="AW145" s="362"/>
      <c r="AX145" s="286"/>
      <c r="AY145" s="286"/>
      <c r="AZ145" s="287"/>
      <c r="BB145" s="288"/>
      <c r="BC145" s="286"/>
      <c r="BD145" s="286"/>
      <c r="BE145" s="287"/>
      <c r="BG145" s="288"/>
      <c r="BH145" s="286"/>
      <c r="BI145" s="286"/>
      <c r="BJ145" s="287"/>
      <c r="BL145" s="288"/>
      <c r="BM145" s="286"/>
      <c r="BN145" s="286"/>
      <c r="BO145" s="289"/>
      <c r="DK145" s="341"/>
      <c r="DL145" s="341"/>
      <c r="DM145" s="341"/>
      <c r="DN145" s="341"/>
      <c r="DO145" s="341"/>
      <c r="DP145" s="341"/>
      <c r="DQ145" s="341"/>
    </row>
    <row r="146" spans="1:121" s="339" customFormat="1">
      <c r="D146" s="330"/>
      <c r="E146" s="361"/>
      <c r="F146" s="326"/>
      <c r="G146" s="287"/>
      <c r="H146" s="358"/>
      <c r="I146" s="288"/>
      <c r="J146" s="286"/>
      <c r="K146" s="286"/>
      <c r="L146" s="289"/>
      <c r="M146" s="334"/>
      <c r="N146" s="288"/>
      <c r="O146" s="286"/>
      <c r="P146" s="286"/>
      <c r="Q146" s="287"/>
      <c r="S146" s="288"/>
      <c r="T146" s="286"/>
      <c r="U146" s="286"/>
      <c r="V146" s="287"/>
      <c r="X146" s="288"/>
      <c r="Y146" s="361"/>
      <c r="Z146" s="286"/>
      <c r="AA146" s="287"/>
      <c r="AC146" s="288"/>
      <c r="AD146" s="286"/>
      <c r="AE146" s="286"/>
      <c r="AF146" s="287"/>
      <c r="AH146" s="288"/>
      <c r="AI146" s="286"/>
      <c r="AJ146" s="286"/>
      <c r="AK146" s="287"/>
      <c r="AM146" s="288"/>
      <c r="AN146" s="286"/>
      <c r="AO146" s="286"/>
      <c r="AP146" s="287"/>
      <c r="AR146" s="288"/>
      <c r="AS146" s="286"/>
      <c r="AT146" s="286"/>
      <c r="AU146" s="287"/>
      <c r="AW146" s="362"/>
      <c r="AX146" s="286"/>
      <c r="AY146" s="286"/>
      <c r="AZ146" s="287"/>
      <c r="BB146" s="288"/>
      <c r="BC146" s="286"/>
      <c r="BD146" s="286"/>
      <c r="BE146" s="287"/>
      <c r="BG146" s="288"/>
      <c r="BH146" s="286"/>
      <c r="BI146" s="286"/>
      <c r="BJ146" s="287"/>
      <c r="BL146" s="288"/>
      <c r="BM146" s="286"/>
      <c r="BN146" s="286"/>
      <c r="BO146" s="289"/>
      <c r="DK146" s="341"/>
      <c r="DL146" s="341"/>
      <c r="DM146" s="341"/>
      <c r="DN146" s="341"/>
      <c r="DO146" s="341"/>
      <c r="DP146" s="341"/>
      <c r="DQ146" s="341"/>
    </row>
    <row r="147" spans="1:121" s="339" customFormat="1">
      <c r="B147" s="339" t="s">
        <v>377</v>
      </c>
      <c r="D147" s="330">
        <f>IF($C$2=1,+D36,IF($C$2=2,+I36,IF($C$2=3,+N36,IF($C$2=4,+S36,IF($C$2=5,+X36,IF($C$2=6,+AC36,IF($C$2=7,+AH36,IF($C$2=8,+AM36,IF($C$2=9,+AR36,IF($C$2=10,+AW36,IF($C$2=11,+BB36,IF($C$2=12,+BG36,0))))))))))))</f>
        <v>8835</v>
      </c>
      <c r="E147" s="361"/>
      <c r="F147" s="326">
        <f>IF($C$2=1,+E36,IF($C$2=2,+J36,IF($C$2=3,+O36,IF($C$2=4,+T36,IF($C$2=5,+Y36,IF($C$2=6,+AD36,IF($C$2=7,+AI36,IF($C$2=8,+AN36,IF($C$2=9,+AS36,IF($C$2=10,+AX36,IF($C$2=11,+BC36,IF($C$2=12,+BH36,0))))))))))))</f>
        <v>9372.2133333333331</v>
      </c>
      <c r="G147" s="287"/>
      <c r="H147" s="358">
        <f>IF($C$2=1,+F36,IF($C$2=2,+K36,IF($C$2=3,+P36,IF($C$2=4,+U36,IF($C$2=5,+Z36,IF($C$2=6,+AE36,IF($C$2=7,+AJ36,IF($C$2=8,+AO36,IF($C$2=9,+AT36,IF($C$2=10,+AY36,IF($C$2=11,+BD36,IF($C$2=12,+BI36,0))))))))))))</f>
        <v>8835</v>
      </c>
      <c r="I147" s="288"/>
      <c r="J147" s="286"/>
      <c r="K147" s="286"/>
      <c r="L147" s="289"/>
      <c r="M147" s="334"/>
      <c r="N147" s="288"/>
      <c r="O147" s="286"/>
      <c r="P147" s="286"/>
      <c r="Q147" s="287"/>
      <c r="S147" s="288"/>
      <c r="T147" s="286"/>
      <c r="U147" s="286"/>
      <c r="V147" s="287"/>
      <c r="X147" s="288"/>
      <c r="Y147" s="361"/>
      <c r="Z147" s="286"/>
      <c r="AA147" s="287"/>
      <c r="AC147" s="288"/>
      <c r="AD147" s="286"/>
      <c r="AE147" s="286"/>
      <c r="AF147" s="287"/>
      <c r="AH147" s="288"/>
      <c r="AI147" s="286"/>
      <c r="AJ147" s="286"/>
      <c r="AK147" s="287"/>
      <c r="AM147" s="288"/>
      <c r="AN147" s="286"/>
      <c r="AO147" s="286"/>
      <c r="AP147" s="287"/>
      <c r="AR147" s="288"/>
      <c r="AS147" s="286"/>
      <c r="AT147" s="286"/>
      <c r="AU147" s="287"/>
      <c r="AW147" s="362"/>
      <c r="AX147" s="286"/>
      <c r="AY147" s="286"/>
      <c r="AZ147" s="287"/>
      <c r="BB147" s="288"/>
      <c r="BC147" s="286"/>
      <c r="BD147" s="286"/>
      <c r="BE147" s="287"/>
      <c r="BG147" s="288"/>
      <c r="BH147" s="286"/>
      <c r="BI147" s="286"/>
      <c r="BJ147" s="287"/>
      <c r="BL147" s="288"/>
      <c r="BM147" s="286"/>
      <c r="BN147" s="286"/>
      <c r="BO147" s="289"/>
      <c r="DK147" s="341"/>
      <c r="DL147" s="341"/>
      <c r="DM147" s="341"/>
      <c r="DN147" s="341"/>
      <c r="DO147" s="341"/>
      <c r="DP147" s="341"/>
      <c r="DQ147" s="341"/>
    </row>
    <row r="148" spans="1:121" s="339" customFormat="1">
      <c r="D148" s="288"/>
      <c r="E148" s="286"/>
      <c r="F148" s="286"/>
      <c r="G148" s="287"/>
      <c r="H148" s="284"/>
      <c r="I148" s="288"/>
      <c r="J148" s="286"/>
      <c r="K148" s="286"/>
      <c r="L148" s="289"/>
      <c r="M148" s="334"/>
      <c r="N148" s="288"/>
      <c r="O148" s="286"/>
      <c r="P148" s="286"/>
      <c r="Q148" s="287"/>
      <c r="S148" s="288"/>
      <c r="T148" s="286"/>
      <c r="U148" s="286"/>
      <c r="V148" s="287"/>
      <c r="X148" s="288"/>
      <c r="Y148" s="361"/>
      <c r="Z148" s="286"/>
      <c r="AA148" s="287"/>
      <c r="AC148" s="288"/>
      <c r="AD148" s="286"/>
      <c r="AE148" s="286"/>
      <c r="AF148" s="287"/>
      <c r="AH148" s="288"/>
      <c r="AI148" s="286"/>
      <c r="AJ148" s="286"/>
      <c r="AK148" s="287"/>
      <c r="AM148" s="288"/>
      <c r="AN148" s="286"/>
      <c r="AO148" s="286"/>
      <c r="AP148" s="287"/>
      <c r="AR148" s="288"/>
      <c r="AS148" s="286"/>
      <c r="AT148" s="286"/>
      <c r="AU148" s="287"/>
      <c r="AW148" s="362"/>
      <c r="AX148" s="286"/>
      <c r="AY148" s="286"/>
      <c r="AZ148" s="287"/>
      <c r="BB148" s="288"/>
      <c r="BC148" s="286"/>
      <c r="BD148" s="286"/>
      <c r="BE148" s="287"/>
      <c r="BG148" s="288"/>
      <c r="BH148" s="286"/>
      <c r="BI148" s="286"/>
      <c r="BJ148" s="287"/>
      <c r="BL148" s="288"/>
      <c r="BM148" s="286"/>
      <c r="BN148" s="286"/>
      <c r="BO148" s="289"/>
      <c r="DK148" s="341"/>
      <c r="DL148" s="341"/>
      <c r="DM148" s="341"/>
      <c r="DN148" s="341"/>
      <c r="DO148" s="341"/>
      <c r="DP148" s="341"/>
      <c r="DQ148" s="341"/>
    </row>
    <row r="149" spans="1:121" s="339" customFormat="1">
      <c r="A149" s="341" t="s">
        <v>192</v>
      </c>
      <c r="B149" s="339" t="s">
        <v>378</v>
      </c>
      <c r="D149" s="288"/>
      <c r="E149" s="286"/>
      <c r="F149" s="286"/>
      <c r="G149" s="287"/>
      <c r="H149" s="284"/>
      <c r="I149" s="288"/>
      <c r="J149" s="286"/>
      <c r="K149" s="286"/>
      <c r="L149" s="289"/>
      <c r="M149" s="334"/>
      <c r="N149" s="288"/>
      <c r="O149" s="286"/>
      <c r="P149" s="286"/>
      <c r="Q149" s="287"/>
      <c r="S149" s="288"/>
      <c r="T149" s="286"/>
      <c r="U149" s="286"/>
      <c r="V149" s="287"/>
      <c r="X149" s="288"/>
      <c r="Y149" s="361"/>
      <c r="Z149" s="286"/>
      <c r="AA149" s="287"/>
      <c r="AC149" s="288"/>
      <c r="AD149" s="286"/>
      <c r="AE149" s="286"/>
      <c r="AF149" s="287"/>
      <c r="AH149" s="288"/>
      <c r="AI149" s="286"/>
      <c r="AJ149" s="286"/>
      <c r="AK149" s="287"/>
      <c r="AM149" s="288"/>
      <c r="AN149" s="286"/>
      <c r="AO149" s="286"/>
      <c r="AP149" s="287"/>
      <c r="AR149" s="288"/>
      <c r="AS149" s="286"/>
      <c r="AT149" s="286"/>
      <c r="AU149" s="287"/>
      <c r="AW149" s="362"/>
      <c r="AX149" s="286"/>
      <c r="AY149" s="286"/>
      <c r="AZ149" s="287"/>
      <c r="BB149" s="288"/>
      <c r="BC149" s="286"/>
      <c r="BD149" s="286"/>
      <c r="BE149" s="287"/>
      <c r="BG149" s="288"/>
      <c r="BH149" s="286"/>
      <c r="BI149" s="286"/>
      <c r="BJ149" s="287"/>
      <c r="BL149" s="288"/>
      <c r="BM149" s="286"/>
      <c r="BN149" s="286"/>
      <c r="BO149" s="289"/>
      <c r="DK149" s="341"/>
      <c r="DL149" s="341"/>
      <c r="DM149" s="341"/>
      <c r="DN149" s="341"/>
      <c r="DO149" s="341"/>
      <c r="DP149" s="341"/>
      <c r="DQ149" s="341"/>
    </row>
    <row r="150" spans="1:121" s="339" customFormat="1">
      <c r="A150" s="341" t="s">
        <v>192</v>
      </c>
      <c r="B150" s="339" t="s">
        <v>379</v>
      </c>
      <c r="D150" s="288"/>
      <c r="E150" s="286"/>
      <c r="F150" s="286"/>
      <c r="G150" s="327">
        <f>IF(D141=0,0,(F141-D141)*(C134/D141)*E134)</f>
        <v>-4652.4821466750718</v>
      </c>
      <c r="H150" s="284">
        <f>G150/H134</f>
        <v>-9.5431772670185558E-2</v>
      </c>
      <c r="I150" s="288"/>
      <c r="J150" s="286"/>
      <c r="K150" s="286"/>
      <c r="L150" s="289"/>
      <c r="M150" s="334"/>
      <c r="N150" s="288"/>
      <c r="O150" s="286"/>
      <c r="P150" s="286"/>
      <c r="Q150" s="287"/>
      <c r="S150" s="288"/>
      <c r="T150" s="286"/>
      <c r="U150" s="286"/>
      <c r="V150" s="287"/>
      <c r="X150" s="288"/>
      <c r="Y150" s="361"/>
      <c r="Z150" s="286"/>
      <c r="AA150" s="287"/>
      <c r="AC150" s="288"/>
      <c r="AD150" s="286"/>
      <c r="AE150" s="286"/>
      <c r="AF150" s="287"/>
      <c r="AH150" s="288"/>
      <c r="AI150" s="286"/>
      <c r="AJ150" s="286"/>
      <c r="AK150" s="287"/>
      <c r="AM150" s="288"/>
      <c r="AN150" s="286"/>
      <c r="AO150" s="286"/>
      <c r="AP150" s="287"/>
      <c r="AR150" s="288"/>
      <c r="AS150" s="286"/>
      <c r="AT150" s="286"/>
      <c r="AU150" s="287"/>
      <c r="AW150" s="362"/>
      <c r="AX150" s="286"/>
      <c r="AY150" s="286"/>
      <c r="AZ150" s="287"/>
      <c r="BB150" s="288"/>
      <c r="BC150" s="286"/>
      <c r="BD150" s="286"/>
      <c r="BE150" s="287"/>
      <c r="BG150" s="288"/>
      <c r="BH150" s="286"/>
      <c r="BI150" s="286"/>
      <c r="BJ150" s="287"/>
      <c r="BL150" s="288"/>
      <c r="BM150" s="286"/>
      <c r="BN150" s="286"/>
      <c r="BO150" s="289"/>
      <c r="DK150" s="341"/>
      <c r="DL150" s="341"/>
      <c r="DM150" s="341"/>
      <c r="DN150" s="341"/>
      <c r="DO150" s="341"/>
      <c r="DP150" s="341"/>
      <c r="DQ150" s="341"/>
    </row>
    <row r="151" spans="1:121" s="339" customFormat="1">
      <c r="A151" s="341" t="s">
        <v>192</v>
      </c>
      <c r="B151" s="339" t="s">
        <v>380</v>
      </c>
      <c r="D151" s="288"/>
      <c r="E151" s="286"/>
      <c r="F151" s="286"/>
      <c r="G151" s="327">
        <f>IF(D141=0,0,(D134/F141-C134/D141)*(F141*E134))</f>
        <v>14050.970603036158</v>
      </c>
      <c r="H151" s="284">
        <f>G151/H134</f>
        <v>0.28821368682579396</v>
      </c>
      <c r="I151" s="288"/>
      <c r="J151" s="286"/>
      <c r="K151" s="286"/>
      <c r="L151" s="289"/>
      <c r="M151" s="334"/>
      <c r="N151" s="288"/>
      <c r="O151" s="286"/>
      <c r="P151" s="286"/>
      <c r="Q151" s="287"/>
      <c r="S151" s="288"/>
      <c r="T151" s="286"/>
      <c r="U151" s="286"/>
      <c r="V151" s="287"/>
      <c r="X151" s="288"/>
      <c r="Y151" s="361"/>
      <c r="Z151" s="286"/>
      <c r="AA151" s="287"/>
      <c r="AC151" s="288"/>
      <c r="AD151" s="286"/>
      <c r="AE151" s="286"/>
      <c r="AF151" s="287"/>
      <c r="AH151" s="288"/>
      <c r="AI151" s="286"/>
      <c r="AJ151" s="286"/>
      <c r="AK151" s="287"/>
      <c r="AM151" s="288"/>
      <c r="AN151" s="286"/>
      <c r="AO151" s="286"/>
      <c r="AP151" s="287"/>
      <c r="AR151" s="288"/>
      <c r="AS151" s="286"/>
      <c r="AT151" s="286"/>
      <c r="AU151" s="287"/>
      <c r="AW151" s="362"/>
      <c r="AX151" s="286"/>
      <c r="AY151" s="286"/>
      <c r="AZ151" s="287"/>
      <c r="BB151" s="288"/>
      <c r="BC151" s="286"/>
      <c r="BD151" s="286"/>
      <c r="BE151" s="287"/>
      <c r="BG151" s="288"/>
      <c r="BH151" s="286"/>
      <c r="BI151" s="286"/>
      <c r="BJ151" s="287"/>
      <c r="BL151" s="288"/>
      <c r="BM151" s="286"/>
      <c r="BN151" s="286"/>
      <c r="BO151" s="289"/>
      <c r="DK151" s="341"/>
      <c r="DL151" s="341"/>
      <c r="DM151" s="341"/>
      <c r="DN151" s="341"/>
      <c r="DO151" s="341"/>
      <c r="DP151" s="341"/>
      <c r="DQ151" s="341"/>
    </row>
    <row r="152" spans="1:121" s="339" customFormat="1">
      <c r="A152" s="341" t="s">
        <v>192</v>
      </c>
      <c r="B152" s="339" t="s">
        <v>381</v>
      </c>
      <c r="D152" s="288"/>
      <c r="E152" s="286"/>
      <c r="F152" s="286"/>
      <c r="G152" s="327">
        <f>(F134-E134)*D134</f>
        <v>-9620.911554312901</v>
      </c>
      <c r="H152" s="284">
        <f>G152/H134</f>
        <v>-0.19734425955558063</v>
      </c>
      <c r="I152" s="288"/>
      <c r="J152" s="286"/>
      <c r="K152" s="286"/>
      <c r="L152" s="289"/>
      <c r="M152" s="334"/>
      <c r="N152" s="288"/>
      <c r="O152" s="286"/>
      <c r="P152" s="286"/>
      <c r="Q152" s="287"/>
      <c r="S152" s="288"/>
      <c r="T152" s="286"/>
      <c r="U152" s="286"/>
      <c r="V152" s="287"/>
      <c r="X152" s="288"/>
      <c r="Y152" s="361"/>
      <c r="Z152" s="286"/>
      <c r="AA152" s="287"/>
      <c r="AC152" s="288"/>
      <c r="AD152" s="286"/>
      <c r="AE152" s="286"/>
      <c r="AF152" s="287"/>
      <c r="AH152" s="288"/>
      <c r="AI152" s="286"/>
      <c r="AJ152" s="286"/>
      <c r="AK152" s="287"/>
      <c r="AM152" s="288"/>
      <c r="AN152" s="286"/>
      <c r="AO152" s="286"/>
      <c r="AP152" s="287"/>
      <c r="AR152" s="288"/>
      <c r="AS152" s="286"/>
      <c r="AT152" s="286"/>
      <c r="AU152" s="287"/>
      <c r="AW152" s="362"/>
      <c r="AX152" s="286"/>
      <c r="AY152" s="286"/>
      <c r="AZ152" s="287"/>
      <c r="BB152" s="288"/>
      <c r="BC152" s="286"/>
      <c r="BD152" s="286"/>
      <c r="BE152" s="287"/>
      <c r="BG152" s="288"/>
      <c r="BH152" s="286"/>
      <c r="BI152" s="286"/>
      <c r="BJ152" s="287"/>
      <c r="BL152" s="288"/>
      <c r="BM152" s="286"/>
      <c r="BN152" s="286"/>
      <c r="BO152" s="289"/>
      <c r="DK152" s="341"/>
      <c r="DL152" s="341"/>
      <c r="DM152" s="341"/>
      <c r="DN152" s="341"/>
      <c r="DO152" s="341"/>
      <c r="DP152" s="341"/>
      <c r="DQ152" s="341"/>
    </row>
    <row r="153" spans="1:121" s="339" customFormat="1">
      <c r="A153" s="341" t="s">
        <v>192</v>
      </c>
      <c r="B153" s="339" t="s">
        <v>382</v>
      </c>
      <c r="D153" s="288"/>
      <c r="E153" s="286"/>
      <c r="F153" s="286"/>
      <c r="G153" s="327">
        <f>SUM(G150:G152)</f>
        <v>-222.42309795181427</v>
      </c>
      <c r="H153" s="284">
        <f>G153/H134</f>
        <v>-4.5623453999722331E-3</v>
      </c>
      <c r="I153" s="288"/>
      <c r="J153" s="286"/>
      <c r="K153" s="286"/>
      <c r="L153" s="289"/>
      <c r="M153" s="334"/>
      <c r="N153" s="288"/>
      <c r="O153" s="286"/>
      <c r="P153" s="286"/>
      <c r="Q153" s="287"/>
      <c r="S153" s="288"/>
      <c r="T153" s="286"/>
      <c r="U153" s="286"/>
      <c r="V153" s="287"/>
      <c r="X153" s="288"/>
      <c r="Y153" s="361"/>
      <c r="Z153" s="286"/>
      <c r="AA153" s="287"/>
      <c r="AC153" s="288"/>
      <c r="AD153" s="286"/>
      <c r="AE153" s="286"/>
      <c r="AF153" s="287"/>
      <c r="AH153" s="288"/>
      <c r="AI153" s="286"/>
      <c r="AJ153" s="286"/>
      <c r="AK153" s="287"/>
      <c r="AM153" s="288"/>
      <c r="AN153" s="286"/>
      <c r="AO153" s="286"/>
      <c r="AP153" s="287"/>
      <c r="AR153" s="288"/>
      <c r="AS153" s="286"/>
      <c r="AT153" s="286"/>
      <c r="AU153" s="287"/>
      <c r="AW153" s="362"/>
      <c r="AX153" s="286"/>
      <c r="AY153" s="286"/>
      <c r="AZ153" s="287"/>
      <c r="BB153" s="288"/>
      <c r="BC153" s="286"/>
      <c r="BD153" s="286"/>
      <c r="BE153" s="287"/>
      <c r="BG153" s="288"/>
      <c r="BH153" s="286"/>
      <c r="BI153" s="286"/>
      <c r="BJ153" s="287"/>
      <c r="BL153" s="288"/>
      <c r="BM153" s="286"/>
      <c r="BN153" s="286"/>
      <c r="BO153" s="289"/>
      <c r="DK153" s="341"/>
      <c r="DL153" s="341"/>
      <c r="DM153" s="341"/>
      <c r="DN153" s="341"/>
      <c r="DO153" s="341"/>
      <c r="DP153" s="341"/>
      <c r="DQ153" s="341"/>
    </row>
    <row r="154" spans="1:121">
      <c r="M154" s="334"/>
      <c r="Y154" s="361"/>
      <c r="AW154" s="362"/>
      <c r="DK154" s="323"/>
      <c r="DL154" s="323"/>
      <c r="DM154" s="323"/>
      <c r="DN154" s="323"/>
      <c r="DO154" s="323"/>
      <c r="DP154" s="323"/>
      <c r="DQ154" s="323"/>
    </row>
    <row r="155" spans="1:121">
      <c r="DK155" s="323"/>
      <c r="DL155" s="323"/>
      <c r="DM155" s="323"/>
      <c r="DN155" s="323"/>
      <c r="DO155" s="323"/>
      <c r="DP155" s="323"/>
      <c r="DQ155" s="323"/>
    </row>
    <row r="156" spans="1:121">
      <c r="DK156" s="323"/>
      <c r="DL156" s="323"/>
      <c r="DM156" s="323"/>
      <c r="DN156" s="323"/>
      <c r="DO156" s="323"/>
      <c r="DP156" s="323"/>
      <c r="DQ156" s="323"/>
    </row>
    <row r="157" spans="1:121">
      <c r="M157" s="334"/>
      <c r="Y157" s="361"/>
      <c r="AW157" s="362"/>
      <c r="DK157" s="323"/>
      <c r="DL157" s="323"/>
      <c r="DM157" s="323"/>
      <c r="DN157" s="323"/>
      <c r="DO157" s="323"/>
      <c r="DP157" s="323"/>
      <c r="DQ157" s="323"/>
    </row>
    <row r="158" spans="1:121">
      <c r="M158" s="334"/>
      <c r="Y158" s="361"/>
      <c r="AW158" s="362"/>
      <c r="DK158" s="323"/>
      <c r="DL158" s="323"/>
      <c r="DM158" s="323"/>
      <c r="DN158" s="323"/>
      <c r="DO158" s="323"/>
      <c r="DP158" s="323"/>
      <c r="DQ158" s="323"/>
    </row>
    <row r="159" spans="1:121">
      <c r="M159" s="334"/>
      <c r="Y159" s="361"/>
      <c r="AW159" s="362"/>
      <c r="DK159" s="323"/>
      <c r="DL159" s="323"/>
      <c r="DM159" s="323"/>
      <c r="DN159" s="323"/>
      <c r="DO159" s="323"/>
      <c r="DP159" s="323"/>
      <c r="DQ159" s="323"/>
    </row>
    <row r="160" spans="1:121">
      <c r="M160" s="334"/>
      <c r="Y160" s="361"/>
      <c r="AW160" s="362"/>
      <c r="DK160" s="323"/>
      <c r="DL160" s="323"/>
      <c r="DM160" s="323"/>
      <c r="DN160" s="323"/>
      <c r="DO160" s="323"/>
      <c r="DP160" s="323"/>
      <c r="DQ160" s="323"/>
    </row>
    <row r="161" spans="1:121">
      <c r="M161" s="334"/>
      <c r="Y161" s="361"/>
      <c r="AW161" s="362"/>
      <c r="DK161" s="323"/>
      <c r="DL161" s="323"/>
      <c r="DM161" s="323"/>
      <c r="DN161" s="323"/>
      <c r="DO161" s="323"/>
      <c r="DP161" s="323"/>
      <c r="DQ161" s="323"/>
    </row>
    <row r="162" spans="1:121">
      <c r="M162" s="334"/>
      <c r="Y162" s="361"/>
      <c r="AW162" s="362"/>
      <c r="DK162" s="323"/>
      <c r="DL162" s="323"/>
      <c r="DM162" s="323"/>
      <c r="DN162" s="323"/>
      <c r="DO162" s="323"/>
      <c r="DP162" s="323"/>
      <c r="DQ162" s="323"/>
    </row>
    <row r="163" spans="1:121">
      <c r="A163" s="323" t="s">
        <v>327</v>
      </c>
      <c r="M163" s="334"/>
      <c r="Y163" s="361"/>
      <c r="AW163" s="362"/>
      <c r="DK163" s="323"/>
      <c r="DL163" s="323"/>
      <c r="DM163" s="323"/>
      <c r="DN163" s="323"/>
      <c r="DO163" s="323"/>
      <c r="DP163" s="323"/>
      <c r="DQ163" s="323"/>
    </row>
    <row r="164" spans="1:121">
      <c r="B164" s="283" t="str">
        <f>B109</f>
        <v xml:space="preserve">Richmond Rd. </v>
      </c>
      <c r="M164" s="334"/>
      <c r="Y164" s="361"/>
      <c r="AW164" s="362"/>
      <c r="DK164" s="323"/>
      <c r="DL164" s="323"/>
      <c r="DM164" s="323"/>
      <c r="DN164" s="323"/>
      <c r="DO164" s="323"/>
      <c r="DP164" s="323"/>
      <c r="DQ164" s="323"/>
    </row>
    <row r="165" spans="1:121">
      <c r="B165" s="283" t="str">
        <f>D3</f>
        <v>3-year averages</v>
      </c>
      <c r="M165" s="334"/>
      <c r="Y165" s="361"/>
      <c r="AW165" s="362"/>
      <c r="DK165" s="323"/>
      <c r="DL165" s="323"/>
      <c r="DM165" s="323"/>
      <c r="DN165" s="323"/>
      <c r="DO165" s="323"/>
      <c r="DP165" s="323"/>
      <c r="DQ165" s="323"/>
    </row>
    <row r="166" spans="1:121">
      <c r="M166" s="334"/>
      <c r="Y166" s="361"/>
      <c r="AW166" s="362"/>
      <c r="DK166" s="323"/>
      <c r="DL166" s="323"/>
      <c r="DM166" s="323"/>
      <c r="DN166" s="323"/>
      <c r="DO166" s="323"/>
      <c r="DP166" s="323"/>
      <c r="DQ166" s="323"/>
    </row>
    <row r="167" spans="1:121">
      <c r="B167" s="283" t="s">
        <v>383</v>
      </c>
      <c r="M167" s="334"/>
      <c r="Y167" s="361"/>
      <c r="AW167" s="362"/>
      <c r="DK167" s="323"/>
      <c r="DL167" s="323"/>
      <c r="DM167" s="323"/>
      <c r="DN167" s="323"/>
      <c r="DO167" s="323"/>
      <c r="DP167" s="323"/>
      <c r="DQ167" s="323"/>
    </row>
    <row r="168" spans="1:121">
      <c r="B168" s="283" t="s">
        <v>384</v>
      </c>
      <c r="E168" s="286" t="s">
        <v>385</v>
      </c>
      <c r="F168" s="326">
        <f>F217</f>
        <v>-222.42309795180336</v>
      </c>
      <c r="M168" s="334"/>
      <c r="Y168" s="361"/>
      <c r="AW168" s="362"/>
      <c r="DK168" s="323"/>
      <c r="DL168" s="323"/>
      <c r="DM168" s="323"/>
      <c r="DN168" s="323"/>
      <c r="DO168" s="323"/>
      <c r="DP168" s="323"/>
      <c r="DQ168" s="323"/>
    </row>
    <row r="169" spans="1:121">
      <c r="M169" s="334"/>
      <c r="Y169" s="361"/>
      <c r="AW169" s="362"/>
      <c r="DK169" s="323"/>
      <c r="DL169" s="323"/>
      <c r="DM169" s="323"/>
      <c r="DN169" s="323"/>
      <c r="DO169" s="323"/>
      <c r="DP169" s="323"/>
      <c r="DQ169" s="323"/>
    </row>
    <row r="170" spans="1:121">
      <c r="D170" s="305" t="s">
        <v>386</v>
      </c>
      <c r="E170" s="306" t="s">
        <v>387</v>
      </c>
      <c r="F170" s="306" t="s">
        <v>388</v>
      </c>
      <c r="M170" s="334"/>
      <c r="Y170" s="361"/>
      <c r="AW170" s="362"/>
      <c r="DK170" s="323"/>
      <c r="DL170" s="323"/>
      <c r="DM170" s="323"/>
      <c r="DN170" s="323"/>
      <c r="DO170" s="323"/>
      <c r="DP170" s="323"/>
      <c r="DQ170" s="323"/>
    </row>
    <row r="171" spans="1:121">
      <c r="M171" s="334"/>
      <c r="Y171" s="361"/>
      <c r="AW171" s="362"/>
      <c r="DK171" s="323"/>
      <c r="DM171" s="323"/>
      <c r="DN171" s="323"/>
      <c r="DO171" s="323"/>
      <c r="DP171" s="323"/>
      <c r="DQ171" s="323"/>
    </row>
    <row r="172" spans="1:121">
      <c r="B172" s="283" t="s">
        <v>389</v>
      </c>
      <c r="M172" s="334"/>
      <c r="Y172" s="361"/>
      <c r="AW172" s="362"/>
      <c r="DK172" s="323"/>
      <c r="DL172" s="323"/>
      <c r="DM172" s="323"/>
      <c r="DN172" s="323"/>
      <c r="DO172" s="323"/>
      <c r="DP172" s="323"/>
      <c r="DQ172" s="323"/>
    </row>
    <row r="173" spans="1:121" s="339" customFormat="1">
      <c r="B173" s="339" t="s">
        <v>242</v>
      </c>
      <c r="C173" s="339" t="s">
        <v>390</v>
      </c>
      <c r="D173" s="330">
        <f>G117</f>
        <v>20188.308026310839</v>
      </c>
      <c r="E173" s="326">
        <f>H117</f>
        <v>25400.936666666665</v>
      </c>
      <c r="F173" s="326">
        <f>E173-D173</f>
        <v>5212.6286403558261</v>
      </c>
      <c r="G173" s="287"/>
      <c r="H173" s="284"/>
      <c r="I173" s="288"/>
      <c r="J173" s="286"/>
      <c r="K173" s="286"/>
      <c r="L173" s="289"/>
      <c r="M173" s="334"/>
      <c r="N173" s="288"/>
      <c r="O173" s="286"/>
      <c r="P173" s="286"/>
      <c r="Q173" s="287"/>
      <c r="S173" s="288"/>
      <c r="T173" s="286"/>
      <c r="U173" s="286"/>
      <c r="V173" s="287"/>
      <c r="X173" s="288"/>
      <c r="Y173" s="361"/>
      <c r="Z173" s="286"/>
      <c r="AA173" s="287"/>
      <c r="AC173" s="288"/>
      <c r="AD173" s="286"/>
      <c r="AE173" s="286"/>
      <c r="AF173" s="287"/>
      <c r="AH173" s="288"/>
      <c r="AI173" s="286"/>
      <c r="AJ173" s="286"/>
      <c r="AK173" s="287"/>
      <c r="AM173" s="288"/>
      <c r="AN173" s="286"/>
      <c r="AO173" s="286"/>
      <c r="AP173" s="287"/>
      <c r="AR173" s="288"/>
      <c r="AS173" s="286"/>
      <c r="AT173" s="286"/>
      <c r="AU173" s="287"/>
      <c r="AW173" s="362"/>
      <c r="AX173" s="286"/>
      <c r="AY173" s="286"/>
      <c r="AZ173" s="287"/>
      <c r="BB173" s="288"/>
      <c r="BC173" s="286"/>
      <c r="BD173" s="286"/>
      <c r="BE173" s="287"/>
      <c r="BG173" s="288"/>
      <c r="BH173" s="286"/>
      <c r="BI173" s="286"/>
      <c r="BJ173" s="287"/>
      <c r="BL173" s="288"/>
      <c r="BM173" s="286"/>
      <c r="BN173" s="286"/>
      <c r="BO173" s="289"/>
      <c r="DK173" s="341"/>
      <c r="DL173" s="341"/>
      <c r="DM173" s="341"/>
      <c r="DN173" s="341"/>
      <c r="DO173" s="341"/>
      <c r="DP173" s="341"/>
      <c r="DQ173" s="341"/>
    </row>
    <row r="174" spans="1:121" s="339" customFormat="1">
      <c r="B174" s="365" t="s">
        <v>391</v>
      </c>
      <c r="C174" s="339" t="s">
        <v>390</v>
      </c>
      <c r="D174" s="330">
        <f>G116</f>
        <v>0</v>
      </c>
      <c r="E174" s="326">
        <f>H116</f>
        <v>220.54999999999998</v>
      </c>
      <c r="F174" s="326">
        <f>E174-D174</f>
        <v>220.54999999999998</v>
      </c>
      <c r="G174" s="287"/>
      <c r="H174" s="284"/>
      <c r="I174" s="288"/>
      <c r="J174" s="286"/>
      <c r="K174" s="286"/>
      <c r="L174" s="289"/>
      <c r="M174" s="334"/>
      <c r="N174" s="288"/>
      <c r="O174" s="286"/>
      <c r="P174" s="286"/>
      <c r="Q174" s="287"/>
      <c r="S174" s="288"/>
      <c r="T174" s="286"/>
      <c r="U174" s="286"/>
      <c r="V174" s="287"/>
      <c r="X174" s="288"/>
      <c r="Y174" s="361"/>
      <c r="Z174" s="286"/>
      <c r="AA174" s="287"/>
      <c r="AC174" s="288"/>
      <c r="AD174" s="286"/>
      <c r="AE174" s="286"/>
      <c r="AF174" s="287"/>
      <c r="AH174" s="288"/>
      <c r="AI174" s="286"/>
      <c r="AJ174" s="286"/>
      <c r="AK174" s="287"/>
      <c r="AM174" s="288"/>
      <c r="AN174" s="286"/>
      <c r="AO174" s="286"/>
      <c r="AP174" s="287"/>
      <c r="AR174" s="288"/>
      <c r="AS174" s="286"/>
      <c r="AT174" s="286"/>
      <c r="AU174" s="287"/>
      <c r="AW174" s="362"/>
      <c r="AX174" s="286"/>
      <c r="AY174" s="286"/>
      <c r="AZ174" s="287"/>
      <c r="BB174" s="288"/>
      <c r="BC174" s="286"/>
      <c r="BD174" s="286"/>
      <c r="BE174" s="287"/>
      <c r="BG174" s="288"/>
      <c r="BH174" s="286"/>
      <c r="BI174" s="286"/>
      <c r="BJ174" s="287"/>
      <c r="BL174" s="288"/>
      <c r="BM174" s="286"/>
      <c r="BN174" s="286"/>
      <c r="BO174" s="289"/>
      <c r="DK174" s="341"/>
      <c r="DL174" s="341"/>
      <c r="DM174" s="341"/>
      <c r="DN174" s="341"/>
      <c r="DO174" s="341"/>
      <c r="DP174" s="341"/>
      <c r="DQ174" s="341"/>
    </row>
    <row r="175" spans="1:121" s="339" customFormat="1">
      <c r="B175" s="365" t="s">
        <v>392</v>
      </c>
      <c r="C175" s="339" t="s">
        <v>393</v>
      </c>
      <c r="D175" s="330">
        <f>G123</f>
        <v>2291.289581519979</v>
      </c>
      <c r="E175" s="326">
        <f>H123</f>
        <v>1834.0966666666666</v>
      </c>
      <c r="F175" s="326">
        <f>E175-D175</f>
        <v>-457.19291485331246</v>
      </c>
      <c r="G175" s="287"/>
      <c r="H175" s="284"/>
      <c r="I175" s="288"/>
      <c r="J175" s="286"/>
      <c r="K175" s="286"/>
      <c r="L175" s="289"/>
      <c r="M175" s="334"/>
      <c r="N175" s="288"/>
      <c r="O175" s="286"/>
      <c r="P175" s="286"/>
      <c r="Q175" s="287"/>
      <c r="S175" s="288"/>
      <c r="T175" s="286"/>
      <c r="U175" s="286"/>
      <c r="V175" s="287"/>
      <c r="X175" s="288"/>
      <c r="Y175" s="361"/>
      <c r="Z175" s="286"/>
      <c r="AA175" s="287"/>
      <c r="AC175" s="288"/>
      <c r="AD175" s="286"/>
      <c r="AE175" s="286"/>
      <c r="AF175" s="287"/>
      <c r="AH175" s="288"/>
      <c r="AI175" s="286"/>
      <c r="AJ175" s="286"/>
      <c r="AK175" s="287"/>
      <c r="AM175" s="288"/>
      <c r="AN175" s="286"/>
      <c r="AO175" s="286"/>
      <c r="AP175" s="287"/>
      <c r="AR175" s="288"/>
      <c r="AS175" s="286"/>
      <c r="AT175" s="286"/>
      <c r="AU175" s="287"/>
      <c r="AW175" s="362"/>
      <c r="AX175" s="286"/>
      <c r="AY175" s="286"/>
      <c r="AZ175" s="287"/>
      <c r="BB175" s="288"/>
      <c r="BC175" s="286"/>
      <c r="BD175" s="286"/>
      <c r="BE175" s="287"/>
      <c r="BG175" s="288"/>
      <c r="BH175" s="286"/>
      <c r="BI175" s="286"/>
      <c r="BJ175" s="287"/>
      <c r="BL175" s="288"/>
      <c r="BM175" s="286"/>
      <c r="BN175" s="286"/>
      <c r="BO175" s="289"/>
      <c r="DK175" s="341"/>
      <c r="DL175" s="341"/>
      <c r="DM175" s="341"/>
      <c r="DN175" s="341"/>
      <c r="DO175" s="341"/>
      <c r="DP175" s="341"/>
      <c r="DQ175" s="341"/>
    </row>
    <row r="176" spans="1:121" s="339" customFormat="1">
      <c r="D176" s="330"/>
      <c r="E176" s="326"/>
      <c r="F176" s="326"/>
      <c r="G176" s="287"/>
      <c r="H176" s="284"/>
      <c r="I176" s="288"/>
      <c r="J176" s="286"/>
      <c r="K176" s="286"/>
      <c r="L176" s="289"/>
      <c r="M176" s="334"/>
      <c r="N176" s="288"/>
      <c r="O176" s="286"/>
      <c r="P176" s="286"/>
      <c r="Q176" s="287"/>
      <c r="S176" s="288"/>
      <c r="T176" s="286"/>
      <c r="U176" s="286"/>
      <c r="V176" s="287"/>
      <c r="X176" s="288"/>
      <c r="Y176" s="361"/>
      <c r="Z176" s="286"/>
      <c r="AA176" s="287"/>
      <c r="AC176" s="288"/>
      <c r="AD176" s="286"/>
      <c r="AE176" s="286"/>
      <c r="AF176" s="287"/>
      <c r="AH176" s="288"/>
      <c r="AI176" s="286"/>
      <c r="AJ176" s="286"/>
      <c r="AK176" s="287"/>
      <c r="AM176" s="288"/>
      <c r="AN176" s="286"/>
      <c r="AO176" s="286"/>
      <c r="AP176" s="287"/>
      <c r="AR176" s="288"/>
      <c r="AS176" s="286"/>
      <c r="AT176" s="286"/>
      <c r="AU176" s="287"/>
      <c r="AW176" s="362"/>
      <c r="AX176" s="286"/>
      <c r="AY176" s="286"/>
      <c r="AZ176" s="287"/>
      <c r="BB176" s="288"/>
      <c r="BC176" s="286"/>
      <c r="BD176" s="286"/>
      <c r="BE176" s="287"/>
      <c r="BG176" s="288"/>
      <c r="BH176" s="286"/>
      <c r="BI176" s="286"/>
      <c r="BJ176" s="287"/>
      <c r="BL176" s="288"/>
      <c r="BM176" s="286"/>
      <c r="BN176" s="286"/>
      <c r="BO176" s="289"/>
      <c r="DK176" s="341"/>
      <c r="DL176" s="341"/>
      <c r="DM176" s="341"/>
      <c r="DN176" s="341"/>
      <c r="DO176" s="341"/>
      <c r="DP176" s="341"/>
      <c r="DQ176" s="341"/>
    </row>
    <row r="177" spans="2:121" s="339" customFormat="1">
      <c r="B177" s="365" t="s">
        <v>394</v>
      </c>
      <c r="C177" s="339" t="s">
        <v>395</v>
      </c>
      <c r="D177" s="330">
        <f>G129</f>
        <v>0</v>
      </c>
      <c r="E177" s="326">
        <f>H129</f>
        <v>24.906666666666666</v>
      </c>
      <c r="F177" s="326">
        <f>E177-D177</f>
        <v>24.906666666666666</v>
      </c>
      <c r="G177" s="287"/>
      <c r="H177" s="284"/>
      <c r="I177" s="288"/>
      <c r="J177" s="286"/>
      <c r="K177" s="286"/>
      <c r="L177" s="289"/>
      <c r="M177" s="334"/>
      <c r="N177" s="288"/>
      <c r="O177" s="286"/>
      <c r="P177" s="286"/>
      <c r="Q177" s="287"/>
      <c r="S177" s="288"/>
      <c r="T177" s="286"/>
      <c r="U177" s="286"/>
      <c r="V177" s="287"/>
      <c r="X177" s="288"/>
      <c r="Y177" s="361"/>
      <c r="Z177" s="286"/>
      <c r="AA177" s="287"/>
      <c r="AC177" s="288"/>
      <c r="AD177" s="286"/>
      <c r="AE177" s="286"/>
      <c r="AF177" s="287"/>
      <c r="AH177" s="288"/>
      <c r="AI177" s="286"/>
      <c r="AJ177" s="286"/>
      <c r="AK177" s="287"/>
      <c r="AM177" s="288"/>
      <c r="AN177" s="286"/>
      <c r="AO177" s="286"/>
      <c r="AP177" s="287"/>
      <c r="AR177" s="288"/>
      <c r="AS177" s="286"/>
      <c r="AT177" s="286"/>
      <c r="AU177" s="287"/>
      <c r="AW177" s="362"/>
      <c r="AX177" s="286"/>
      <c r="AY177" s="286"/>
      <c r="AZ177" s="287"/>
      <c r="BB177" s="288"/>
      <c r="BC177" s="286"/>
      <c r="BD177" s="286"/>
      <c r="BE177" s="287"/>
      <c r="BG177" s="288"/>
      <c r="BH177" s="286"/>
      <c r="BI177" s="286"/>
      <c r="BJ177" s="287"/>
      <c r="BL177" s="288"/>
      <c r="BM177" s="286"/>
      <c r="BN177" s="286"/>
      <c r="BO177" s="289"/>
      <c r="DK177" s="341"/>
      <c r="DL177" s="341"/>
      <c r="DM177" s="341"/>
      <c r="DN177" s="341"/>
      <c r="DO177" s="341"/>
      <c r="DP177" s="341"/>
      <c r="DQ177" s="341"/>
    </row>
    <row r="178" spans="2:121" s="339" customFormat="1">
      <c r="B178" s="339" t="s">
        <v>396</v>
      </c>
      <c r="D178" s="330"/>
      <c r="E178" s="326"/>
      <c r="F178" s="326"/>
      <c r="G178" s="287"/>
      <c r="H178" s="284"/>
      <c r="I178" s="288"/>
      <c r="J178" s="286"/>
      <c r="K178" s="286"/>
      <c r="L178" s="289"/>
      <c r="M178" s="334"/>
      <c r="N178" s="288"/>
      <c r="O178" s="286"/>
      <c r="P178" s="286"/>
      <c r="Q178" s="287"/>
      <c r="S178" s="288"/>
      <c r="T178" s="286"/>
      <c r="U178" s="286"/>
      <c r="V178" s="287"/>
      <c r="X178" s="288"/>
      <c r="Y178" s="361"/>
      <c r="Z178" s="286"/>
      <c r="AA178" s="287"/>
      <c r="AC178" s="288"/>
      <c r="AD178" s="286"/>
      <c r="AE178" s="286"/>
      <c r="AF178" s="287"/>
      <c r="AH178" s="288"/>
      <c r="AI178" s="286"/>
      <c r="AJ178" s="286"/>
      <c r="AK178" s="287"/>
      <c r="AM178" s="288"/>
      <c r="AN178" s="286"/>
      <c r="AO178" s="286"/>
      <c r="AP178" s="287"/>
      <c r="AR178" s="288"/>
      <c r="AS178" s="286"/>
      <c r="AT178" s="286"/>
      <c r="AU178" s="287"/>
      <c r="AW178" s="362"/>
      <c r="AX178" s="286"/>
      <c r="AY178" s="286"/>
      <c r="AZ178" s="287"/>
      <c r="BB178" s="288"/>
      <c r="BC178" s="286"/>
      <c r="BD178" s="286"/>
      <c r="BE178" s="287"/>
      <c r="BG178" s="288"/>
      <c r="BH178" s="286"/>
      <c r="BI178" s="286"/>
      <c r="BJ178" s="287"/>
      <c r="BL178" s="288"/>
      <c r="BM178" s="286"/>
      <c r="BN178" s="286"/>
      <c r="BO178" s="289"/>
      <c r="DK178" s="341"/>
      <c r="DL178" s="341"/>
      <c r="DM178" s="341"/>
      <c r="DN178" s="341"/>
      <c r="DO178" s="341"/>
      <c r="DP178" s="341"/>
      <c r="DQ178" s="341"/>
    </row>
    <row r="179" spans="2:121" s="339" customFormat="1">
      <c r="B179" s="339" t="s">
        <v>397</v>
      </c>
      <c r="D179" s="330">
        <f>SUM(D173:D177)</f>
        <v>22479.597607830816</v>
      </c>
      <c r="E179" s="326">
        <f>SUM(E173:E177)</f>
        <v>27480.489999999998</v>
      </c>
      <c r="F179" s="326">
        <f>E179-D179</f>
        <v>5000.8923921691821</v>
      </c>
      <c r="G179" s="287"/>
      <c r="H179" s="284"/>
      <c r="I179" s="288"/>
      <c r="J179" s="286"/>
      <c r="K179" s="286"/>
      <c r="L179" s="289"/>
      <c r="M179" s="334"/>
      <c r="N179" s="288"/>
      <c r="O179" s="286"/>
      <c r="P179" s="286"/>
      <c r="Q179" s="287"/>
      <c r="S179" s="288"/>
      <c r="T179" s="286"/>
      <c r="U179" s="286"/>
      <c r="V179" s="287"/>
      <c r="X179" s="288"/>
      <c r="Y179" s="361"/>
      <c r="Z179" s="286"/>
      <c r="AA179" s="287"/>
      <c r="AC179" s="288"/>
      <c r="AD179" s="286"/>
      <c r="AE179" s="286"/>
      <c r="AF179" s="287"/>
      <c r="AH179" s="288"/>
      <c r="AI179" s="286"/>
      <c r="AJ179" s="286"/>
      <c r="AK179" s="287"/>
      <c r="AM179" s="288"/>
      <c r="AN179" s="286"/>
      <c r="AO179" s="286"/>
      <c r="AP179" s="287"/>
      <c r="AR179" s="288"/>
      <c r="AS179" s="286"/>
      <c r="AT179" s="286"/>
      <c r="AU179" s="287"/>
      <c r="AW179" s="362"/>
      <c r="AX179" s="286"/>
      <c r="AY179" s="286"/>
      <c r="AZ179" s="287"/>
      <c r="BB179" s="288"/>
      <c r="BC179" s="286"/>
      <c r="BD179" s="286"/>
      <c r="BE179" s="287"/>
      <c r="BG179" s="288"/>
      <c r="BH179" s="286"/>
      <c r="BI179" s="286"/>
      <c r="BJ179" s="287"/>
      <c r="BL179" s="288"/>
      <c r="BM179" s="286"/>
      <c r="BN179" s="286"/>
      <c r="BO179" s="289"/>
      <c r="DK179" s="341"/>
      <c r="DL179" s="341"/>
      <c r="DM179" s="341"/>
      <c r="DN179" s="341"/>
      <c r="DO179" s="341"/>
      <c r="DP179" s="341"/>
      <c r="DQ179" s="341"/>
    </row>
    <row r="180" spans="2:121" s="339" customFormat="1">
      <c r="B180" s="339" t="s">
        <v>396</v>
      </c>
      <c r="D180" s="330"/>
      <c r="E180" s="326"/>
      <c r="F180" s="326"/>
      <c r="G180" s="287"/>
      <c r="H180" s="284"/>
      <c r="I180" s="288"/>
      <c r="J180" s="286"/>
      <c r="K180" s="286"/>
      <c r="L180" s="289"/>
      <c r="M180" s="334"/>
      <c r="N180" s="288"/>
      <c r="O180" s="286"/>
      <c r="P180" s="286"/>
      <c r="Q180" s="287"/>
      <c r="S180" s="288"/>
      <c r="T180" s="286"/>
      <c r="U180" s="286"/>
      <c r="V180" s="287"/>
      <c r="X180" s="288"/>
      <c r="Y180" s="361"/>
      <c r="Z180" s="286"/>
      <c r="AA180" s="287"/>
      <c r="AC180" s="288"/>
      <c r="AD180" s="286"/>
      <c r="AE180" s="286"/>
      <c r="AF180" s="287"/>
      <c r="AH180" s="288"/>
      <c r="AI180" s="286"/>
      <c r="AJ180" s="286"/>
      <c r="AK180" s="287"/>
      <c r="AM180" s="288"/>
      <c r="AN180" s="286"/>
      <c r="AO180" s="286"/>
      <c r="AP180" s="287"/>
      <c r="AR180" s="288"/>
      <c r="AS180" s="286"/>
      <c r="AT180" s="286"/>
      <c r="AU180" s="287"/>
      <c r="AW180" s="362"/>
      <c r="AX180" s="286"/>
      <c r="AY180" s="286"/>
      <c r="AZ180" s="287"/>
      <c r="BB180" s="288"/>
      <c r="BC180" s="286"/>
      <c r="BD180" s="286"/>
      <c r="BE180" s="287"/>
      <c r="BG180" s="288"/>
      <c r="BH180" s="286"/>
      <c r="BI180" s="286"/>
      <c r="BJ180" s="287"/>
      <c r="BL180" s="288"/>
      <c r="BM180" s="286"/>
      <c r="BN180" s="286"/>
      <c r="BO180" s="289"/>
      <c r="DK180" s="341"/>
      <c r="DL180" s="341"/>
      <c r="DM180" s="341"/>
      <c r="DN180" s="341"/>
      <c r="DO180" s="341"/>
      <c r="DP180" s="341"/>
      <c r="DQ180" s="341"/>
    </row>
    <row r="181" spans="2:121" s="339" customFormat="1">
      <c r="D181" s="330"/>
      <c r="E181" s="326"/>
      <c r="F181" s="326"/>
      <c r="G181" s="287"/>
      <c r="H181" s="284"/>
      <c r="I181" s="288"/>
      <c r="J181" s="286"/>
      <c r="K181" s="286"/>
      <c r="L181" s="289"/>
      <c r="M181" s="334"/>
      <c r="N181" s="288"/>
      <c r="O181" s="286"/>
      <c r="P181" s="286"/>
      <c r="Q181" s="287"/>
      <c r="S181" s="288"/>
      <c r="T181" s="286"/>
      <c r="U181" s="286"/>
      <c r="V181" s="287"/>
      <c r="X181" s="288"/>
      <c r="Y181" s="361"/>
      <c r="Z181" s="286"/>
      <c r="AA181" s="287"/>
      <c r="AC181" s="288"/>
      <c r="AD181" s="286"/>
      <c r="AE181" s="286"/>
      <c r="AF181" s="287"/>
      <c r="AH181" s="288"/>
      <c r="AI181" s="286"/>
      <c r="AJ181" s="286"/>
      <c r="AK181" s="287"/>
      <c r="AM181" s="288"/>
      <c r="AN181" s="286"/>
      <c r="AO181" s="286"/>
      <c r="AP181" s="287"/>
      <c r="AR181" s="288"/>
      <c r="AS181" s="286"/>
      <c r="AT181" s="286"/>
      <c r="AU181" s="287"/>
      <c r="AW181" s="362"/>
      <c r="AX181" s="286"/>
      <c r="AY181" s="286"/>
      <c r="AZ181" s="287"/>
      <c r="BB181" s="288"/>
      <c r="BC181" s="286"/>
      <c r="BD181" s="286"/>
      <c r="BE181" s="287"/>
      <c r="BG181" s="288"/>
      <c r="BH181" s="286"/>
      <c r="BI181" s="286"/>
      <c r="BJ181" s="287"/>
      <c r="BL181" s="288"/>
      <c r="BM181" s="286"/>
      <c r="BN181" s="286"/>
      <c r="BO181" s="289"/>
      <c r="DK181" s="341"/>
      <c r="DL181" s="341"/>
      <c r="DM181" s="341"/>
      <c r="DN181" s="341"/>
      <c r="DO181" s="341"/>
      <c r="DP181" s="341"/>
      <c r="DQ181" s="341"/>
    </row>
    <row r="182" spans="2:121" s="339" customFormat="1">
      <c r="B182" s="339" t="s">
        <v>398</v>
      </c>
      <c r="D182" s="330"/>
      <c r="E182" s="326"/>
      <c r="F182" s="326"/>
      <c r="G182" s="287"/>
      <c r="H182" s="284"/>
      <c r="I182" s="288"/>
      <c r="J182" s="286"/>
      <c r="K182" s="286"/>
      <c r="L182" s="289"/>
      <c r="M182" s="334"/>
      <c r="N182" s="288"/>
      <c r="O182" s="286"/>
      <c r="P182" s="286"/>
      <c r="Q182" s="287"/>
      <c r="S182" s="288"/>
      <c r="T182" s="286"/>
      <c r="U182" s="286"/>
      <c r="V182" s="287"/>
      <c r="X182" s="288"/>
      <c r="Y182" s="361"/>
      <c r="Z182" s="286"/>
      <c r="AA182" s="287"/>
      <c r="AC182" s="288"/>
      <c r="AD182" s="286"/>
      <c r="AE182" s="286"/>
      <c r="AF182" s="287"/>
      <c r="AH182" s="288"/>
      <c r="AI182" s="286"/>
      <c r="AJ182" s="286"/>
      <c r="AK182" s="287"/>
      <c r="AM182" s="288"/>
      <c r="AN182" s="286"/>
      <c r="AO182" s="286"/>
      <c r="AP182" s="287"/>
      <c r="AR182" s="288"/>
      <c r="AS182" s="286"/>
      <c r="AT182" s="286"/>
      <c r="AU182" s="287"/>
      <c r="AW182" s="362"/>
      <c r="AX182" s="286"/>
      <c r="AY182" s="286"/>
      <c r="AZ182" s="287"/>
      <c r="BB182" s="288"/>
      <c r="BC182" s="286"/>
      <c r="BD182" s="286"/>
      <c r="BE182" s="287"/>
      <c r="BG182" s="288"/>
      <c r="BH182" s="286"/>
      <c r="BI182" s="286"/>
      <c r="BJ182" s="287"/>
      <c r="BL182" s="288"/>
      <c r="BM182" s="286"/>
      <c r="BN182" s="286"/>
      <c r="BO182" s="289"/>
      <c r="DK182" s="341"/>
      <c r="DL182" s="341"/>
      <c r="DM182" s="341"/>
      <c r="DN182" s="341"/>
      <c r="DO182" s="341"/>
      <c r="DP182" s="341"/>
      <c r="DQ182" s="341"/>
    </row>
    <row r="183" spans="2:121" s="339" customFormat="1">
      <c r="B183" s="365" t="s">
        <v>399</v>
      </c>
      <c r="C183" s="339" t="s">
        <v>393</v>
      </c>
      <c r="D183" s="330">
        <f>G119</f>
        <v>4393.6986237106557</v>
      </c>
      <c r="E183" s="326">
        <f>H119</f>
        <v>4396.3899999999994</v>
      </c>
      <c r="F183" s="326">
        <f>E183-D183</f>
        <v>2.6913762893436797</v>
      </c>
      <c r="G183" s="287"/>
      <c r="H183" s="284"/>
      <c r="I183" s="288"/>
      <c r="J183" s="286"/>
      <c r="K183" s="286"/>
      <c r="L183" s="289"/>
      <c r="M183" s="334"/>
      <c r="N183" s="288"/>
      <c r="O183" s="286"/>
      <c r="P183" s="286"/>
      <c r="Q183" s="287"/>
      <c r="S183" s="288"/>
      <c r="T183" s="286"/>
      <c r="U183" s="286"/>
      <c r="V183" s="287"/>
      <c r="X183" s="288"/>
      <c r="Y183" s="361"/>
      <c r="Z183" s="286"/>
      <c r="AA183" s="287"/>
      <c r="AC183" s="288"/>
      <c r="AD183" s="286"/>
      <c r="AE183" s="286"/>
      <c r="AF183" s="287"/>
      <c r="AH183" s="288"/>
      <c r="AI183" s="286"/>
      <c r="AJ183" s="286"/>
      <c r="AK183" s="287"/>
      <c r="AM183" s="288"/>
      <c r="AN183" s="286"/>
      <c r="AO183" s="286"/>
      <c r="AP183" s="287"/>
      <c r="AR183" s="288"/>
      <c r="AS183" s="286"/>
      <c r="AT183" s="286"/>
      <c r="AU183" s="287"/>
      <c r="AW183" s="362"/>
      <c r="AX183" s="286"/>
      <c r="AY183" s="286"/>
      <c r="AZ183" s="287"/>
      <c r="BB183" s="288"/>
      <c r="BC183" s="286"/>
      <c r="BD183" s="286"/>
      <c r="BE183" s="287"/>
      <c r="BG183" s="288"/>
      <c r="BH183" s="286"/>
      <c r="BI183" s="286"/>
      <c r="BJ183" s="287"/>
      <c r="BL183" s="288"/>
      <c r="BM183" s="286"/>
      <c r="BN183" s="286"/>
      <c r="BO183" s="289"/>
      <c r="DK183" s="341"/>
      <c r="DL183" s="341"/>
      <c r="DM183" s="341"/>
      <c r="DN183" s="341"/>
      <c r="DO183" s="341"/>
      <c r="DP183" s="341"/>
      <c r="DQ183" s="341"/>
    </row>
    <row r="184" spans="2:121" s="339" customFormat="1">
      <c r="B184" s="365" t="s">
        <v>400</v>
      </c>
      <c r="C184" s="339" t="s">
        <v>393</v>
      </c>
      <c r="D184" s="330">
        <f>G126</f>
        <v>1817.6181274570351</v>
      </c>
      <c r="E184" s="326">
        <f>H126</f>
        <v>1700.5433333333333</v>
      </c>
      <c r="F184" s="326">
        <f>E184-D184</f>
        <v>-117.07479412370185</v>
      </c>
      <c r="G184" s="287"/>
      <c r="H184" s="284"/>
      <c r="I184" s="288"/>
      <c r="J184" s="286"/>
      <c r="K184" s="286"/>
      <c r="L184" s="289"/>
      <c r="M184" s="334"/>
      <c r="N184" s="288"/>
      <c r="O184" s="286"/>
      <c r="P184" s="286"/>
      <c r="Q184" s="287"/>
      <c r="S184" s="288"/>
      <c r="T184" s="286"/>
      <c r="U184" s="286"/>
      <c r="V184" s="287"/>
      <c r="X184" s="288"/>
      <c r="Y184" s="361"/>
      <c r="Z184" s="286"/>
      <c r="AA184" s="287"/>
      <c r="AC184" s="288"/>
      <c r="AD184" s="286"/>
      <c r="AE184" s="286"/>
      <c r="AF184" s="287"/>
      <c r="AH184" s="288"/>
      <c r="AI184" s="286"/>
      <c r="AJ184" s="286"/>
      <c r="AK184" s="287"/>
      <c r="AM184" s="288"/>
      <c r="AN184" s="286"/>
      <c r="AO184" s="286"/>
      <c r="AP184" s="287"/>
      <c r="AR184" s="288"/>
      <c r="AS184" s="286"/>
      <c r="AT184" s="286"/>
      <c r="AU184" s="287"/>
      <c r="AW184" s="362"/>
      <c r="AX184" s="286"/>
      <c r="AY184" s="286"/>
      <c r="AZ184" s="287"/>
      <c r="BB184" s="288"/>
      <c r="BC184" s="286"/>
      <c r="BD184" s="286"/>
      <c r="BE184" s="287"/>
      <c r="BG184" s="288"/>
      <c r="BH184" s="286"/>
      <c r="BI184" s="286"/>
      <c r="BJ184" s="287"/>
      <c r="BL184" s="288"/>
      <c r="BM184" s="286"/>
      <c r="BN184" s="286"/>
      <c r="BO184" s="289"/>
      <c r="DK184" s="341"/>
      <c r="DL184" s="341"/>
      <c r="DM184" s="341"/>
      <c r="DN184" s="341"/>
      <c r="DO184" s="341"/>
      <c r="DP184" s="341"/>
      <c r="DQ184" s="341"/>
    </row>
    <row r="185" spans="2:121" s="339" customFormat="1">
      <c r="B185" s="365" t="s">
        <v>401</v>
      </c>
      <c r="C185" s="339" t="s">
        <v>402</v>
      </c>
      <c r="D185" s="330">
        <f>G125</f>
        <v>402.89503116418473</v>
      </c>
      <c r="E185" s="326">
        <f>H125</f>
        <v>333.99</v>
      </c>
      <c r="F185" s="326">
        <f>E185-D185</f>
        <v>-68.90503116418472</v>
      </c>
      <c r="G185" s="287"/>
      <c r="H185" s="284"/>
      <c r="I185" s="288"/>
      <c r="J185" s="286"/>
      <c r="K185" s="286"/>
      <c r="L185" s="289"/>
      <c r="M185" s="334"/>
      <c r="N185" s="288"/>
      <c r="O185" s="286"/>
      <c r="P185" s="286"/>
      <c r="Q185" s="287"/>
      <c r="S185" s="288"/>
      <c r="T185" s="286"/>
      <c r="U185" s="286"/>
      <c r="V185" s="287"/>
      <c r="X185" s="288"/>
      <c r="Y185" s="361"/>
      <c r="Z185" s="286"/>
      <c r="AA185" s="287"/>
      <c r="AC185" s="288"/>
      <c r="AD185" s="286"/>
      <c r="AE185" s="286"/>
      <c r="AF185" s="287"/>
      <c r="AH185" s="288"/>
      <c r="AI185" s="286"/>
      <c r="AJ185" s="286"/>
      <c r="AK185" s="287"/>
      <c r="AM185" s="288"/>
      <c r="AN185" s="286"/>
      <c r="AO185" s="286"/>
      <c r="AP185" s="287"/>
      <c r="AR185" s="288"/>
      <c r="AS185" s="286"/>
      <c r="AT185" s="286"/>
      <c r="AU185" s="287"/>
      <c r="AW185" s="362"/>
      <c r="AX185" s="286"/>
      <c r="AY185" s="286"/>
      <c r="AZ185" s="287"/>
      <c r="BB185" s="288"/>
      <c r="BC185" s="286"/>
      <c r="BD185" s="286"/>
      <c r="BE185" s="287"/>
      <c r="BG185" s="288"/>
      <c r="BH185" s="286"/>
      <c r="BI185" s="286"/>
      <c r="BJ185" s="287"/>
      <c r="BL185" s="288"/>
      <c r="BM185" s="286"/>
      <c r="BN185" s="286"/>
      <c r="BO185" s="289"/>
      <c r="DK185" s="341"/>
      <c r="DL185" s="341"/>
      <c r="DM185" s="341"/>
      <c r="DN185" s="341"/>
      <c r="DO185" s="341"/>
      <c r="DP185" s="341"/>
      <c r="DQ185" s="341"/>
    </row>
    <row r="186" spans="2:121" s="339" customFormat="1">
      <c r="B186" s="339" t="s">
        <v>396</v>
      </c>
      <c r="D186" s="330"/>
      <c r="E186" s="326"/>
      <c r="F186" s="326"/>
      <c r="G186" s="287"/>
      <c r="H186" s="284"/>
      <c r="I186" s="288"/>
      <c r="J186" s="286"/>
      <c r="K186" s="286"/>
      <c r="L186" s="289"/>
      <c r="M186" s="334"/>
      <c r="N186" s="288"/>
      <c r="O186" s="286"/>
      <c r="P186" s="286"/>
      <c r="Q186" s="287"/>
      <c r="S186" s="288"/>
      <c r="T186" s="286"/>
      <c r="U186" s="286"/>
      <c r="V186" s="287"/>
      <c r="X186" s="288"/>
      <c r="Y186" s="361"/>
      <c r="Z186" s="286"/>
      <c r="AA186" s="287"/>
      <c r="AC186" s="288"/>
      <c r="AD186" s="286"/>
      <c r="AE186" s="286"/>
      <c r="AF186" s="287"/>
      <c r="AH186" s="288"/>
      <c r="AI186" s="286"/>
      <c r="AJ186" s="286"/>
      <c r="AK186" s="287"/>
      <c r="AM186" s="288"/>
      <c r="AN186" s="286"/>
      <c r="AO186" s="286"/>
      <c r="AP186" s="287"/>
      <c r="AR186" s="288"/>
      <c r="AS186" s="286"/>
      <c r="AT186" s="286"/>
      <c r="AU186" s="287"/>
      <c r="AW186" s="362"/>
      <c r="AX186" s="286"/>
      <c r="AY186" s="286"/>
      <c r="AZ186" s="287"/>
      <c r="BB186" s="288"/>
      <c r="BC186" s="286"/>
      <c r="BD186" s="286"/>
      <c r="BE186" s="287"/>
      <c r="BG186" s="288"/>
      <c r="BH186" s="286"/>
      <c r="BI186" s="286"/>
      <c r="BJ186" s="287"/>
      <c r="BL186" s="288"/>
      <c r="BM186" s="286"/>
      <c r="BN186" s="286"/>
      <c r="BO186" s="289"/>
      <c r="DK186" s="341"/>
      <c r="DL186" s="341"/>
      <c r="DM186" s="341"/>
      <c r="DN186" s="341"/>
      <c r="DO186" s="341"/>
      <c r="DP186" s="341"/>
      <c r="DQ186" s="341"/>
    </row>
    <row r="187" spans="2:121" s="339" customFormat="1">
      <c r="B187" s="339" t="s">
        <v>403</v>
      </c>
      <c r="D187" s="330">
        <f>SUM(D183:D185)</f>
        <v>6614.2117823318758</v>
      </c>
      <c r="E187" s="326">
        <f>SUM(E183:E185)</f>
        <v>6430.9233333333323</v>
      </c>
      <c r="F187" s="326">
        <f>E187-D187</f>
        <v>-183.28844899854357</v>
      </c>
      <c r="G187" s="287"/>
      <c r="H187" s="284"/>
      <c r="I187" s="288"/>
      <c r="J187" s="286"/>
      <c r="K187" s="286"/>
      <c r="L187" s="289"/>
      <c r="M187" s="334"/>
      <c r="N187" s="288"/>
      <c r="O187" s="286"/>
      <c r="P187" s="286"/>
      <c r="Q187" s="287"/>
      <c r="S187" s="288"/>
      <c r="T187" s="286"/>
      <c r="U187" s="286"/>
      <c r="V187" s="287"/>
      <c r="X187" s="288"/>
      <c r="Y187" s="361"/>
      <c r="Z187" s="286"/>
      <c r="AA187" s="287"/>
      <c r="AC187" s="288"/>
      <c r="AD187" s="286"/>
      <c r="AE187" s="286"/>
      <c r="AF187" s="287"/>
      <c r="AH187" s="288"/>
      <c r="AI187" s="286"/>
      <c r="AJ187" s="286"/>
      <c r="AK187" s="287"/>
      <c r="AM187" s="288"/>
      <c r="AN187" s="286"/>
      <c r="AO187" s="286"/>
      <c r="AP187" s="287"/>
      <c r="AR187" s="288"/>
      <c r="AS187" s="286"/>
      <c r="AT187" s="286"/>
      <c r="AU187" s="287"/>
      <c r="AW187" s="362"/>
      <c r="AX187" s="286"/>
      <c r="AY187" s="286"/>
      <c r="AZ187" s="287"/>
      <c r="BB187" s="288"/>
      <c r="BC187" s="286"/>
      <c r="BD187" s="286"/>
      <c r="BE187" s="287"/>
      <c r="BG187" s="288"/>
      <c r="BH187" s="286"/>
      <c r="BI187" s="286"/>
      <c r="BJ187" s="287"/>
      <c r="BL187" s="288"/>
      <c r="BM187" s="286"/>
      <c r="BN187" s="286"/>
      <c r="BO187" s="289"/>
      <c r="DK187" s="341"/>
      <c r="DL187" s="341"/>
      <c r="DM187" s="341"/>
      <c r="DN187" s="341"/>
      <c r="DO187" s="341"/>
      <c r="DP187" s="341"/>
      <c r="DQ187" s="341"/>
    </row>
    <row r="188" spans="2:121" s="339" customFormat="1">
      <c r="B188" s="339" t="s">
        <v>396</v>
      </c>
      <c r="D188" s="330"/>
      <c r="E188" s="326"/>
      <c r="F188" s="326"/>
      <c r="G188" s="287"/>
      <c r="H188" s="284"/>
      <c r="I188" s="288"/>
      <c r="J188" s="286"/>
      <c r="K188" s="286"/>
      <c r="L188" s="289"/>
      <c r="M188" s="334"/>
      <c r="N188" s="288"/>
      <c r="O188" s="286"/>
      <c r="P188" s="286"/>
      <c r="Q188" s="287"/>
      <c r="S188" s="288"/>
      <c r="T188" s="286"/>
      <c r="U188" s="286"/>
      <c r="V188" s="287"/>
      <c r="X188" s="288"/>
      <c r="Y188" s="361"/>
      <c r="Z188" s="286"/>
      <c r="AA188" s="287"/>
      <c r="AC188" s="288"/>
      <c r="AD188" s="286"/>
      <c r="AE188" s="286"/>
      <c r="AF188" s="287"/>
      <c r="AH188" s="288"/>
      <c r="AI188" s="286"/>
      <c r="AJ188" s="286"/>
      <c r="AK188" s="287"/>
      <c r="AM188" s="288"/>
      <c r="AN188" s="286"/>
      <c r="AO188" s="286"/>
      <c r="AP188" s="287"/>
      <c r="AR188" s="288"/>
      <c r="AS188" s="286"/>
      <c r="AT188" s="286"/>
      <c r="AU188" s="287"/>
      <c r="AW188" s="362"/>
      <c r="AX188" s="286"/>
      <c r="AY188" s="286"/>
      <c r="AZ188" s="287"/>
      <c r="BB188" s="288"/>
      <c r="BC188" s="286"/>
      <c r="BD188" s="286"/>
      <c r="BE188" s="287"/>
      <c r="BG188" s="288"/>
      <c r="BH188" s="286"/>
      <c r="BI188" s="286"/>
      <c r="BJ188" s="287"/>
      <c r="BL188" s="288"/>
      <c r="BM188" s="286"/>
      <c r="BN188" s="286"/>
      <c r="BO188" s="289"/>
      <c r="DK188" s="341"/>
      <c r="DL188" s="341"/>
      <c r="DM188" s="341"/>
      <c r="DN188" s="341"/>
      <c r="DO188" s="341"/>
      <c r="DP188" s="341"/>
      <c r="DQ188" s="341"/>
    </row>
    <row r="189" spans="2:121" s="339" customFormat="1">
      <c r="B189" s="339" t="s">
        <v>404</v>
      </c>
      <c r="D189" s="330"/>
      <c r="E189" s="326"/>
      <c r="F189" s="326"/>
      <c r="G189" s="287"/>
      <c r="H189" s="284"/>
      <c r="I189" s="288"/>
      <c r="J189" s="286"/>
      <c r="K189" s="286"/>
      <c r="L189" s="289"/>
      <c r="M189" s="334"/>
      <c r="N189" s="288"/>
      <c r="O189" s="286"/>
      <c r="P189" s="286"/>
      <c r="Q189" s="287"/>
      <c r="S189" s="288"/>
      <c r="T189" s="286"/>
      <c r="U189" s="286"/>
      <c r="V189" s="287"/>
      <c r="X189" s="288"/>
      <c r="Y189" s="361"/>
      <c r="Z189" s="286"/>
      <c r="AA189" s="287"/>
      <c r="AC189" s="288"/>
      <c r="AD189" s="286"/>
      <c r="AE189" s="286"/>
      <c r="AF189" s="287"/>
      <c r="AH189" s="288"/>
      <c r="AI189" s="286"/>
      <c r="AJ189" s="286"/>
      <c r="AK189" s="287"/>
      <c r="AM189" s="288"/>
      <c r="AN189" s="286"/>
      <c r="AO189" s="286"/>
      <c r="AP189" s="287"/>
      <c r="AR189" s="288"/>
      <c r="AS189" s="286"/>
      <c r="AT189" s="286"/>
      <c r="AU189" s="287"/>
      <c r="AW189" s="362"/>
      <c r="AX189" s="286"/>
      <c r="AY189" s="286"/>
      <c r="AZ189" s="287"/>
      <c r="BB189" s="288"/>
      <c r="BC189" s="286"/>
      <c r="BD189" s="286"/>
      <c r="BE189" s="287"/>
      <c r="BG189" s="288"/>
      <c r="BH189" s="286"/>
      <c r="BI189" s="286"/>
      <c r="BJ189" s="287"/>
      <c r="BL189" s="288"/>
      <c r="BM189" s="286"/>
      <c r="BN189" s="286"/>
      <c r="BO189" s="289"/>
      <c r="DK189" s="341"/>
      <c r="DL189" s="341"/>
      <c r="DM189" s="341"/>
      <c r="DN189" s="341"/>
      <c r="DO189" s="341"/>
      <c r="DP189" s="341"/>
      <c r="DQ189" s="341"/>
    </row>
    <row r="190" spans="2:121" s="339" customFormat="1">
      <c r="D190" s="330"/>
      <c r="E190" s="326"/>
      <c r="F190" s="326"/>
      <c r="G190" s="287"/>
      <c r="H190" s="284"/>
      <c r="I190" s="288"/>
      <c r="J190" s="286"/>
      <c r="K190" s="286"/>
      <c r="L190" s="289"/>
      <c r="M190" s="334"/>
      <c r="N190" s="288"/>
      <c r="O190" s="286"/>
      <c r="P190" s="286"/>
      <c r="Q190" s="287"/>
      <c r="S190" s="288"/>
      <c r="T190" s="286"/>
      <c r="U190" s="286"/>
      <c r="V190" s="287"/>
      <c r="X190" s="288"/>
      <c r="Y190" s="361"/>
      <c r="Z190" s="286"/>
      <c r="AA190" s="287"/>
      <c r="AC190" s="288"/>
      <c r="AD190" s="286"/>
      <c r="AE190" s="286"/>
      <c r="AF190" s="287"/>
      <c r="AH190" s="288"/>
      <c r="AI190" s="286"/>
      <c r="AJ190" s="286"/>
      <c r="AK190" s="287"/>
      <c r="AM190" s="288"/>
      <c r="AN190" s="286"/>
      <c r="AO190" s="286"/>
      <c r="AP190" s="287"/>
      <c r="AR190" s="288"/>
      <c r="AS190" s="286"/>
      <c r="AT190" s="286"/>
      <c r="AU190" s="287"/>
      <c r="AW190" s="362"/>
      <c r="AX190" s="286"/>
      <c r="AY190" s="286"/>
      <c r="AZ190" s="287"/>
      <c r="BB190" s="288"/>
      <c r="BC190" s="286"/>
      <c r="BD190" s="286"/>
      <c r="BE190" s="287"/>
      <c r="BG190" s="288"/>
      <c r="BH190" s="286"/>
      <c r="BI190" s="286"/>
      <c r="BJ190" s="287"/>
      <c r="BL190" s="288"/>
      <c r="BM190" s="286"/>
      <c r="BN190" s="286"/>
      <c r="BO190" s="289"/>
      <c r="DK190" s="341"/>
      <c r="DL190" s="341"/>
      <c r="DM190" s="341"/>
      <c r="DN190" s="341"/>
      <c r="DO190" s="341"/>
      <c r="DP190" s="341"/>
      <c r="DQ190" s="341"/>
    </row>
    <row r="191" spans="2:121" s="339" customFormat="1">
      <c r="B191" s="365" t="s">
        <v>405</v>
      </c>
      <c r="C191" s="339" t="s">
        <v>395</v>
      </c>
      <c r="D191" s="330">
        <f>G118</f>
        <v>0</v>
      </c>
      <c r="E191" s="326">
        <f>H118</f>
        <v>0</v>
      </c>
      <c r="F191" s="326">
        <f>E191-D191</f>
        <v>0</v>
      </c>
      <c r="G191" s="287"/>
      <c r="H191" s="284"/>
      <c r="I191" s="288"/>
      <c r="J191" s="286"/>
      <c r="K191" s="286"/>
      <c r="L191" s="289"/>
      <c r="M191" s="334"/>
      <c r="N191" s="288"/>
      <c r="O191" s="286"/>
      <c r="P191" s="286"/>
      <c r="Q191" s="287"/>
      <c r="S191" s="288"/>
      <c r="T191" s="286"/>
      <c r="U191" s="286"/>
      <c r="V191" s="287"/>
      <c r="X191" s="288"/>
      <c r="Y191" s="361"/>
      <c r="Z191" s="286"/>
      <c r="AA191" s="287"/>
      <c r="AC191" s="288"/>
      <c r="AD191" s="286"/>
      <c r="AE191" s="286"/>
      <c r="AF191" s="287"/>
      <c r="AH191" s="288"/>
      <c r="AI191" s="286"/>
      <c r="AJ191" s="286"/>
      <c r="AK191" s="287"/>
      <c r="AM191" s="288"/>
      <c r="AN191" s="286"/>
      <c r="AO191" s="286"/>
      <c r="AP191" s="287"/>
      <c r="AR191" s="288"/>
      <c r="AS191" s="286"/>
      <c r="AT191" s="286"/>
      <c r="AU191" s="287"/>
      <c r="AW191" s="362"/>
      <c r="AX191" s="286"/>
      <c r="AY191" s="286"/>
      <c r="AZ191" s="287"/>
      <c r="BB191" s="288"/>
      <c r="BC191" s="286"/>
      <c r="BD191" s="286"/>
      <c r="BE191" s="287"/>
      <c r="BG191" s="288"/>
      <c r="BH191" s="286"/>
      <c r="BI191" s="286"/>
      <c r="BJ191" s="287"/>
      <c r="BL191" s="288"/>
      <c r="BM191" s="286"/>
      <c r="BN191" s="286"/>
      <c r="BO191" s="289"/>
      <c r="DK191" s="341"/>
      <c r="DL191" s="341"/>
      <c r="DM191" s="341"/>
      <c r="DN191" s="341"/>
      <c r="DO191" s="341"/>
      <c r="DP191" s="341"/>
      <c r="DQ191" s="341"/>
    </row>
    <row r="192" spans="2:121" s="339" customFormat="1">
      <c r="D192" s="330"/>
      <c r="E192" s="326"/>
      <c r="F192" s="326"/>
      <c r="G192" s="287"/>
      <c r="H192" s="284"/>
      <c r="I192" s="288"/>
      <c r="J192" s="286"/>
      <c r="K192" s="286"/>
      <c r="L192" s="289"/>
      <c r="M192" s="334"/>
      <c r="N192" s="288"/>
      <c r="O192" s="286"/>
      <c r="P192" s="286"/>
      <c r="Q192" s="287"/>
      <c r="S192" s="288"/>
      <c r="T192" s="286"/>
      <c r="U192" s="286"/>
      <c r="V192" s="287"/>
      <c r="X192" s="288"/>
      <c r="Y192" s="361"/>
      <c r="Z192" s="286"/>
      <c r="AA192" s="287"/>
      <c r="AC192" s="288"/>
      <c r="AD192" s="286"/>
      <c r="AE192" s="286"/>
      <c r="AF192" s="287"/>
      <c r="AH192" s="288"/>
      <c r="AI192" s="286"/>
      <c r="AJ192" s="286"/>
      <c r="AK192" s="287"/>
      <c r="AM192" s="288"/>
      <c r="AN192" s="286"/>
      <c r="AO192" s="286"/>
      <c r="AP192" s="287"/>
      <c r="AR192" s="288"/>
      <c r="AS192" s="286"/>
      <c r="AT192" s="286"/>
      <c r="AU192" s="287"/>
      <c r="AW192" s="362"/>
      <c r="AX192" s="286"/>
      <c r="AY192" s="286"/>
      <c r="AZ192" s="287"/>
      <c r="BB192" s="288"/>
      <c r="BC192" s="286"/>
      <c r="BD192" s="286"/>
      <c r="BE192" s="287"/>
      <c r="BG192" s="288"/>
      <c r="BH192" s="286"/>
      <c r="BI192" s="286"/>
      <c r="BJ192" s="287"/>
      <c r="BL192" s="288"/>
      <c r="BM192" s="286"/>
      <c r="BN192" s="286"/>
      <c r="BO192" s="289"/>
      <c r="DK192" s="341"/>
      <c r="DL192" s="341"/>
      <c r="DM192" s="341"/>
      <c r="DN192" s="341"/>
      <c r="DO192" s="341"/>
      <c r="DP192" s="341"/>
      <c r="DQ192" s="341"/>
    </row>
    <row r="193" spans="2:121" s="339" customFormat="1">
      <c r="B193" s="365" t="s">
        <v>406</v>
      </c>
      <c r="C193" s="339" t="s">
        <v>390</v>
      </c>
      <c r="D193" s="330">
        <f>G124</f>
        <v>8990.5415027178951</v>
      </c>
      <c r="E193" s="326">
        <f>H124</f>
        <v>5565.84</v>
      </c>
      <c r="F193" s="326">
        <f>E193-D193</f>
        <v>-3424.701502717895</v>
      </c>
      <c r="G193" s="287"/>
      <c r="H193" s="284"/>
      <c r="I193" s="288"/>
      <c r="J193" s="286"/>
      <c r="K193" s="286"/>
      <c r="L193" s="289"/>
      <c r="M193" s="334"/>
      <c r="N193" s="288"/>
      <c r="O193" s="286"/>
      <c r="P193" s="286"/>
      <c r="Q193" s="287"/>
      <c r="S193" s="288"/>
      <c r="T193" s="286"/>
      <c r="U193" s="286"/>
      <c r="V193" s="287"/>
      <c r="X193" s="288"/>
      <c r="Y193" s="361"/>
      <c r="Z193" s="286"/>
      <c r="AA193" s="287"/>
      <c r="AC193" s="288"/>
      <c r="AD193" s="286"/>
      <c r="AE193" s="286"/>
      <c r="AF193" s="287"/>
      <c r="AH193" s="288"/>
      <c r="AI193" s="286"/>
      <c r="AJ193" s="286"/>
      <c r="AK193" s="287"/>
      <c r="AM193" s="288"/>
      <c r="AN193" s="286"/>
      <c r="AO193" s="286"/>
      <c r="AP193" s="287"/>
      <c r="AR193" s="288"/>
      <c r="AS193" s="286"/>
      <c r="AT193" s="286"/>
      <c r="AU193" s="287"/>
      <c r="AW193" s="362"/>
      <c r="AX193" s="286"/>
      <c r="AY193" s="286"/>
      <c r="AZ193" s="287"/>
      <c r="BB193" s="288"/>
      <c r="BC193" s="286"/>
      <c r="BD193" s="286"/>
      <c r="BE193" s="287"/>
      <c r="BG193" s="288"/>
      <c r="BH193" s="286"/>
      <c r="BI193" s="286"/>
      <c r="BJ193" s="287"/>
      <c r="BL193" s="288"/>
      <c r="BM193" s="286"/>
      <c r="BN193" s="286"/>
      <c r="BO193" s="289"/>
      <c r="DK193" s="341"/>
      <c r="DL193" s="341"/>
      <c r="DM193" s="341"/>
      <c r="DN193" s="341"/>
      <c r="DO193" s="341"/>
      <c r="DP193" s="341"/>
      <c r="DQ193" s="341"/>
    </row>
    <row r="194" spans="2:121" s="339" customFormat="1">
      <c r="D194" s="330"/>
      <c r="E194" s="326"/>
      <c r="F194" s="326"/>
      <c r="G194" s="287"/>
      <c r="H194" s="284"/>
      <c r="I194" s="288"/>
      <c r="J194" s="286"/>
      <c r="K194" s="286"/>
      <c r="L194" s="289"/>
      <c r="M194" s="334"/>
      <c r="N194" s="288"/>
      <c r="O194" s="286"/>
      <c r="P194" s="286"/>
      <c r="Q194" s="287"/>
      <c r="S194" s="288"/>
      <c r="T194" s="286"/>
      <c r="U194" s="286"/>
      <c r="V194" s="287"/>
      <c r="X194" s="288"/>
      <c r="Y194" s="361"/>
      <c r="Z194" s="286"/>
      <c r="AA194" s="287"/>
      <c r="AC194" s="288"/>
      <c r="AD194" s="286"/>
      <c r="AE194" s="286"/>
      <c r="AF194" s="287"/>
      <c r="AH194" s="288"/>
      <c r="AI194" s="286"/>
      <c r="AJ194" s="286"/>
      <c r="AK194" s="287"/>
      <c r="AM194" s="288"/>
      <c r="AN194" s="286"/>
      <c r="AO194" s="286"/>
      <c r="AP194" s="287"/>
      <c r="AR194" s="288"/>
      <c r="AS194" s="286"/>
      <c r="AT194" s="286"/>
      <c r="AU194" s="287"/>
      <c r="AW194" s="362"/>
      <c r="AX194" s="286"/>
      <c r="AY194" s="286"/>
      <c r="AZ194" s="287"/>
      <c r="BB194" s="288"/>
      <c r="BC194" s="286"/>
      <c r="BD194" s="286"/>
      <c r="BE194" s="287"/>
      <c r="BG194" s="288"/>
      <c r="BH194" s="286"/>
      <c r="BI194" s="286"/>
      <c r="BJ194" s="287"/>
      <c r="BL194" s="288"/>
      <c r="BM194" s="286"/>
      <c r="BN194" s="286"/>
      <c r="BO194" s="289"/>
      <c r="DK194" s="341"/>
      <c r="DL194" s="341"/>
      <c r="DM194" s="341"/>
      <c r="DN194" s="341"/>
      <c r="DO194" s="341"/>
      <c r="DP194" s="341"/>
      <c r="DQ194" s="341"/>
    </row>
    <row r="195" spans="2:121" s="339" customFormat="1">
      <c r="B195" s="365" t="s">
        <v>407</v>
      </c>
      <c r="C195" s="339" t="s">
        <v>390</v>
      </c>
      <c r="D195" s="330">
        <f>G127</f>
        <v>1233.210418027131</v>
      </c>
      <c r="E195" s="326">
        <f>H127</f>
        <v>0</v>
      </c>
      <c r="F195" s="326">
        <f>E195-D195</f>
        <v>-1233.210418027131</v>
      </c>
      <c r="G195" s="287"/>
      <c r="H195" s="284"/>
      <c r="I195" s="288"/>
      <c r="J195" s="286"/>
      <c r="K195" s="286"/>
      <c r="L195" s="289"/>
      <c r="M195" s="334"/>
      <c r="N195" s="288"/>
      <c r="O195" s="286"/>
      <c r="P195" s="286"/>
      <c r="Q195" s="287"/>
      <c r="S195" s="288"/>
      <c r="T195" s="286"/>
      <c r="U195" s="286"/>
      <c r="V195" s="287"/>
      <c r="X195" s="288"/>
      <c r="Y195" s="361"/>
      <c r="Z195" s="286"/>
      <c r="AA195" s="287"/>
      <c r="AC195" s="288"/>
      <c r="AD195" s="286"/>
      <c r="AE195" s="286"/>
      <c r="AF195" s="287"/>
      <c r="AH195" s="288"/>
      <c r="AI195" s="286"/>
      <c r="AJ195" s="286"/>
      <c r="AK195" s="287"/>
      <c r="AM195" s="288"/>
      <c r="AN195" s="286"/>
      <c r="AO195" s="286"/>
      <c r="AP195" s="287"/>
      <c r="AR195" s="288"/>
      <c r="AS195" s="286"/>
      <c r="AT195" s="286"/>
      <c r="AU195" s="287"/>
      <c r="AW195" s="362"/>
      <c r="AX195" s="286"/>
      <c r="AY195" s="286"/>
      <c r="AZ195" s="287"/>
      <c r="BB195" s="288"/>
      <c r="BC195" s="286"/>
      <c r="BD195" s="286"/>
      <c r="BE195" s="287"/>
      <c r="BG195" s="288"/>
      <c r="BH195" s="286"/>
      <c r="BI195" s="286"/>
      <c r="BJ195" s="287"/>
      <c r="BL195" s="288"/>
      <c r="BM195" s="286"/>
      <c r="BN195" s="286"/>
      <c r="BO195" s="289"/>
      <c r="DK195" s="341"/>
      <c r="DL195" s="341"/>
      <c r="DM195" s="341"/>
      <c r="DN195" s="341"/>
      <c r="DO195" s="341"/>
      <c r="DP195" s="341"/>
      <c r="DQ195" s="341"/>
    </row>
    <row r="196" spans="2:121" s="339" customFormat="1">
      <c r="B196" s="339" t="s">
        <v>396</v>
      </c>
      <c r="D196" s="330"/>
      <c r="E196" s="326"/>
      <c r="F196" s="326"/>
      <c r="G196" s="287"/>
      <c r="H196" s="284"/>
      <c r="I196" s="288"/>
      <c r="J196" s="286"/>
      <c r="K196" s="286"/>
      <c r="L196" s="289"/>
      <c r="M196" s="334"/>
      <c r="N196" s="288"/>
      <c r="O196" s="286"/>
      <c r="P196" s="286"/>
      <c r="Q196" s="287"/>
      <c r="S196" s="288"/>
      <c r="T196" s="286"/>
      <c r="U196" s="286"/>
      <c r="V196" s="287"/>
      <c r="X196" s="288"/>
      <c r="Y196" s="361"/>
      <c r="Z196" s="286"/>
      <c r="AA196" s="287"/>
      <c r="AC196" s="288"/>
      <c r="AD196" s="286"/>
      <c r="AE196" s="286"/>
      <c r="AF196" s="287"/>
      <c r="AH196" s="288"/>
      <c r="AI196" s="286"/>
      <c r="AJ196" s="286"/>
      <c r="AK196" s="287"/>
      <c r="AM196" s="288"/>
      <c r="AN196" s="286"/>
      <c r="AO196" s="286"/>
      <c r="AP196" s="287"/>
      <c r="AR196" s="288"/>
      <c r="AS196" s="286"/>
      <c r="AT196" s="286"/>
      <c r="AU196" s="287"/>
      <c r="AW196" s="362"/>
      <c r="AX196" s="286"/>
      <c r="AY196" s="286"/>
      <c r="AZ196" s="287"/>
      <c r="BB196" s="288"/>
      <c r="BC196" s="286"/>
      <c r="BD196" s="286"/>
      <c r="BE196" s="287"/>
      <c r="BG196" s="288"/>
      <c r="BH196" s="286"/>
      <c r="BI196" s="286"/>
      <c r="BJ196" s="287"/>
      <c r="BL196" s="288"/>
      <c r="BM196" s="286"/>
      <c r="BN196" s="286"/>
      <c r="BO196" s="289"/>
      <c r="DK196" s="341"/>
      <c r="DL196" s="341"/>
      <c r="DM196" s="341"/>
      <c r="DN196" s="341"/>
      <c r="DO196" s="341"/>
      <c r="DP196" s="341"/>
      <c r="DQ196" s="341"/>
    </row>
    <row r="197" spans="2:121" s="339" customFormat="1">
      <c r="B197" s="339" t="s">
        <v>408</v>
      </c>
      <c r="D197" s="330">
        <f>SUM(D189:D195)</f>
        <v>10223.751920745026</v>
      </c>
      <c r="E197" s="326">
        <f>SUM(E189:E195)</f>
        <v>5565.84</v>
      </c>
      <c r="F197" s="326">
        <f>E197-D197</f>
        <v>-4657.9119207450258</v>
      </c>
      <c r="G197" s="287"/>
      <c r="H197" s="284"/>
      <c r="I197" s="288"/>
      <c r="J197" s="286"/>
      <c r="K197" s="286"/>
      <c r="L197" s="289"/>
      <c r="M197" s="334"/>
      <c r="N197" s="288"/>
      <c r="O197" s="286"/>
      <c r="P197" s="286"/>
      <c r="Q197" s="287"/>
      <c r="S197" s="288"/>
      <c r="T197" s="286"/>
      <c r="U197" s="286"/>
      <c r="V197" s="287"/>
      <c r="X197" s="288"/>
      <c r="Y197" s="361"/>
      <c r="Z197" s="286"/>
      <c r="AA197" s="287"/>
      <c r="AC197" s="288"/>
      <c r="AD197" s="286"/>
      <c r="AE197" s="286"/>
      <c r="AF197" s="287"/>
      <c r="AH197" s="288"/>
      <c r="AI197" s="286"/>
      <c r="AJ197" s="286"/>
      <c r="AK197" s="287"/>
      <c r="AM197" s="288"/>
      <c r="AN197" s="286"/>
      <c r="AO197" s="286"/>
      <c r="AP197" s="287"/>
      <c r="AR197" s="288"/>
      <c r="AS197" s="286"/>
      <c r="AT197" s="286"/>
      <c r="AU197" s="287"/>
      <c r="AW197" s="362"/>
      <c r="AX197" s="286"/>
      <c r="AY197" s="286"/>
      <c r="AZ197" s="287"/>
      <c r="BB197" s="288"/>
      <c r="BC197" s="286"/>
      <c r="BD197" s="286"/>
      <c r="BE197" s="287"/>
      <c r="BG197" s="288"/>
      <c r="BH197" s="286"/>
      <c r="BI197" s="286"/>
      <c r="BJ197" s="287"/>
      <c r="BL197" s="288"/>
      <c r="BM197" s="286"/>
      <c r="BN197" s="286"/>
      <c r="BO197" s="289"/>
      <c r="DK197" s="341"/>
      <c r="DL197" s="341"/>
      <c r="DM197" s="341"/>
      <c r="DN197" s="341"/>
      <c r="DO197" s="341"/>
      <c r="DP197" s="341"/>
      <c r="DQ197" s="341"/>
    </row>
    <row r="198" spans="2:121" s="339" customFormat="1">
      <c r="B198" s="339" t="s">
        <v>396</v>
      </c>
      <c r="D198" s="330"/>
      <c r="E198" s="326"/>
      <c r="F198" s="326"/>
      <c r="G198" s="287"/>
      <c r="H198" s="284"/>
      <c r="I198" s="288"/>
      <c r="J198" s="286"/>
      <c r="K198" s="286"/>
      <c r="L198" s="289"/>
      <c r="M198" s="334"/>
      <c r="N198" s="288"/>
      <c r="O198" s="286"/>
      <c r="P198" s="286"/>
      <c r="Q198" s="287"/>
      <c r="S198" s="288"/>
      <c r="T198" s="286"/>
      <c r="U198" s="286"/>
      <c r="V198" s="287"/>
      <c r="X198" s="288"/>
      <c r="Y198" s="361"/>
      <c r="Z198" s="286"/>
      <c r="AA198" s="287"/>
      <c r="AC198" s="288"/>
      <c r="AD198" s="286"/>
      <c r="AE198" s="286"/>
      <c r="AF198" s="287"/>
      <c r="AH198" s="288"/>
      <c r="AI198" s="286"/>
      <c r="AJ198" s="286"/>
      <c r="AK198" s="287"/>
      <c r="AM198" s="288"/>
      <c r="AN198" s="286"/>
      <c r="AO198" s="286"/>
      <c r="AP198" s="287"/>
      <c r="AR198" s="288"/>
      <c r="AS198" s="286"/>
      <c r="AT198" s="286"/>
      <c r="AU198" s="287"/>
      <c r="AW198" s="362"/>
      <c r="AX198" s="286"/>
      <c r="AY198" s="286"/>
      <c r="AZ198" s="287"/>
      <c r="BB198" s="288"/>
      <c r="BC198" s="286"/>
      <c r="BD198" s="286"/>
      <c r="BE198" s="287"/>
      <c r="BG198" s="288"/>
      <c r="BH198" s="286"/>
      <c r="BI198" s="286"/>
      <c r="BJ198" s="287"/>
      <c r="BL198" s="288"/>
      <c r="BM198" s="286"/>
      <c r="BN198" s="286"/>
      <c r="BO198" s="289"/>
      <c r="DK198" s="341"/>
      <c r="DL198" s="341"/>
      <c r="DM198" s="341"/>
      <c r="DN198" s="341"/>
      <c r="DO198" s="341"/>
      <c r="DP198" s="341"/>
      <c r="DQ198" s="341"/>
    </row>
    <row r="199" spans="2:121" s="339" customFormat="1">
      <c r="D199" s="330"/>
      <c r="E199" s="326"/>
      <c r="F199" s="326"/>
      <c r="G199" s="287"/>
      <c r="H199" s="284"/>
      <c r="I199" s="288"/>
      <c r="J199" s="286"/>
      <c r="K199" s="286"/>
      <c r="L199" s="289"/>
      <c r="M199" s="334"/>
      <c r="N199" s="288"/>
      <c r="O199" s="286"/>
      <c r="P199" s="286"/>
      <c r="Q199" s="287"/>
      <c r="S199" s="288"/>
      <c r="T199" s="286"/>
      <c r="U199" s="286"/>
      <c r="V199" s="287"/>
      <c r="X199" s="288"/>
      <c r="Y199" s="361"/>
      <c r="Z199" s="286"/>
      <c r="AA199" s="287"/>
      <c r="AC199" s="288"/>
      <c r="AD199" s="286"/>
      <c r="AE199" s="286"/>
      <c r="AF199" s="287"/>
      <c r="AH199" s="288"/>
      <c r="AI199" s="286"/>
      <c r="AJ199" s="286"/>
      <c r="AK199" s="287"/>
      <c r="AM199" s="288"/>
      <c r="AN199" s="286"/>
      <c r="AO199" s="286"/>
      <c r="AP199" s="287"/>
      <c r="AR199" s="288"/>
      <c r="AS199" s="286"/>
      <c r="AT199" s="286"/>
      <c r="AU199" s="287"/>
      <c r="AW199" s="362"/>
      <c r="AX199" s="286"/>
      <c r="AY199" s="286"/>
      <c r="AZ199" s="287"/>
      <c r="BB199" s="288"/>
      <c r="BC199" s="286"/>
      <c r="BD199" s="286"/>
      <c r="BE199" s="287"/>
      <c r="BG199" s="288"/>
      <c r="BH199" s="286"/>
      <c r="BI199" s="286"/>
      <c r="BJ199" s="287"/>
      <c r="BL199" s="288"/>
      <c r="BM199" s="286"/>
      <c r="BN199" s="286"/>
      <c r="BO199" s="289"/>
      <c r="DK199" s="341"/>
      <c r="DL199" s="341"/>
      <c r="DM199" s="341"/>
      <c r="DN199" s="341"/>
      <c r="DO199" s="341"/>
      <c r="DP199" s="341"/>
      <c r="DQ199" s="341"/>
    </row>
    <row r="200" spans="2:121" s="339" customFormat="1">
      <c r="B200" s="339" t="s">
        <v>409</v>
      </c>
      <c r="D200" s="330"/>
      <c r="E200" s="326"/>
      <c r="F200" s="326"/>
      <c r="G200" s="287"/>
      <c r="H200" s="284"/>
      <c r="I200" s="288"/>
      <c r="J200" s="286"/>
      <c r="K200" s="286"/>
      <c r="L200" s="289"/>
      <c r="M200" s="334"/>
      <c r="N200" s="288"/>
      <c r="O200" s="286"/>
      <c r="P200" s="286"/>
      <c r="Q200" s="287"/>
      <c r="S200" s="288"/>
      <c r="T200" s="286"/>
      <c r="U200" s="286"/>
      <c r="V200" s="287"/>
      <c r="X200" s="288"/>
      <c r="Y200" s="361"/>
      <c r="Z200" s="286"/>
      <c r="AA200" s="287"/>
      <c r="AC200" s="288"/>
      <c r="AD200" s="286"/>
      <c r="AE200" s="286"/>
      <c r="AF200" s="287"/>
      <c r="AH200" s="288"/>
      <c r="AI200" s="286"/>
      <c r="AJ200" s="286"/>
      <c r="AK200" s="287"/>
      <c r="AM200" s="288"/>
      <c r="AN200" s="286"/>
      <c r="AO200" s="286"/>
      <c r="AP200" s="287"/>
      <c r="AR200" s="288"/>
      <c r="AS200" s="286"/>
      <c r="AT200" s="286"/>
      <c r="AU200" s="287"/>
      <c r="AW200" s="362"/>
      <c r="AX200" s="286"/>
      <c r="AY200" s="286"/>
      <c r="AZ200" s="287"/>
      <c r="BB200" s="288"/>
      <c r="BC200" s="286"/>
      <c r="BD200" s="286"/>
      <c r="BE200" s="287"/>
      <c r="BG200" s="288"/>
      <c r="BH200" s="286"/>
      <c r="BI200" s="286"/>
      <c r="BJ200" s="287"/>
      <c r="BL200" s="288"/>
      <c r="BM200" s="286"/>
      <c r="BN200" s="286"/>
      <c r="BO200" s="289"/>
      <c r="DK200" s="341"/>
      <c r="DL200" s="341"/>
      <c r="DM200" s="341"/>
      <c r="DN200" s="341"/>
      <c r="DO200" s="341"/>
      <c r="DP200" s="341"/>
      <c r="DQ200" s="341"/>
    </row>
    <row r="201" spans="2:121" s="339" customFormat="1">
      <c r="B201" s="365" t="s">
        <v>410</v>
      </c>
      <c r="C201" s="339" t="s">
        <v>395</v>
      </c>
      <c r="D201" s="330">
        <f>G120</f>
        <v>3512.2531464575636</v>
      </c>
      <c r="E201" s="326">
        <f>H120</f>
        <v>3691.69</v>
      </c>
      <c r="F201" s="326">
        <f>E201-D201</f>
        <v>179.43685354243644</v>
      </c>
      <c r="G201" s="287"/>
      <c r="H201" s="284"/>
      <c r="I201" s="288"/>
      <c r="J201" s="286"/>
      <c r="K201" s="286"/>
      <c r="L201" s="289"/>
      <c r="M201" s="334"/>
      <c r="N201" s="288"/>
      <c r="O201" s="286"/>
      <c r="P201" s="286"/>
      <c r="Q201" s="287"/>
      <c r="S201" s="288"/>
      <c r="T201" s="286"/>
      <c r="U201" s="286"/>
      <c r="V201" s="287"/>
      <c r="X201" s="288"/>
      <c r="Y201" s="361"/>
      <c r="Z201" s="286"/>
      <c r="AA201" s="287"/>
      <c r="AC201" s="288"/>
      <c r="AD201" s="286"/>
      <c r="AE201" s="286"/>
      <c r="AF201" s="287"/>
      <c r="AH201" s="288"/>
      <c r="AI201" s="286"/>
      <c r="AJ201" s="286"/>
      <c r="AK201" s="287"/>
      <c r="AM201" s="288"/>
      <c r="AN201" s="286"/>
      <c r="AO201" s="286"/>
      <c r="AP201" s="287"/>
      <c r="AR201" s="288"/>
      <c r="AS201" s="286"/>
      <c r="AT201" s="286"/>
      <c r="AU201" s="287"/>
      <c r="AW201" s="362"/>
      <c r="AX201" s="286"/>
      <c r="AY201" s="286"/>
      <c r="AZ201" s="287"/>
      <c r="BB201" s="288"/>
      <c r="BC201" s="286"/>
      <c r="BD201" s="286"/>
      <c r="BE201" s="287"/>
      <c r="BG201" s="288"/>
      <c r="BH201" s="286"/>
      <c r="BI201" s="286"/>
      <c r="BJ201" s="287"/>
      <c r="BL201" s="288"/>
      <c r="BM201" s="286"/>
      <c r="BN201" s="286"/>
      <c r="BO201" s="289"/>
      <c r="DK201" s="341"/>
      <c r="DL201" s="341"/>
      <c r="DM201" s="341"/>
      <c r="DN201" s="341"/>
      <c r="DO201" s="341"/>
      <c r="DP201" s="341"/>
      <c r="DQ201" s="341"/>
    </row>
    <row r="202" spans="2:121" s="339" customFormat="1">
      <c r="B202" s="339" t="s">
        <v>396</v>
      </c>
      <c r="D202" s="330"/>
      <c r="E202" s="326"/>
      <c r="F202" s="326"/>
      <c r="G202" s="287"/>
      <c r="H202" s="284"/>
      <c r="I202" s="288"/>
      <c r="J202" s="286"/>
      <c r="K202" s="286"/>
      <c r="L202" s="289"/>
      <c r="M202" s="334"/>
      <c r="N202" s="288"/>
      <c r="O202" s="286"/>
      <c r="P202" s="286"/>
      <c r="Q202" s="287"/>
      <c r="S202" s="288"/>
      <c r="T202" s="286"/>
      <c r="U202" s="286"/>
      <c r="V202" s="287"/>
      <c r="X202" s="288"/>
      <c r="Y202" s="361"/>
      <c r="Z202" s="286"/>
      <c r="AA202" s="287"/>
      <c r="AC202" s="288"/>
      <c r="AD202" s="286"/>
      <c r="AE202" s="286"/>
      <c r="AF202" s="287"/>
      <c r="AH202" s="288"/>
      <c r="AI202" s="286"/>
      <c r="AJ202" s="286"/>
      <c r="AK202" s="287"/>
      <c r="AM202" s="288"/>
      <c r="AN202" s="286"/>
      <c r="AO202" s="286"/>
      <c r="AP202" s="287"/>
      <c r="AR202" s="288"/>
      <c r="AS202" s="286"/>
      <c r="AT202" s="286"/>
      <c r="AU202" s="287"/>
      <c r="AW202" s="362"/>
      <c r="AX202" s="286"/>
      <c r="AY202" s="286"/>
      <c r="AZ202" s="287"/>
      <c r="BB202" s="288"/>
      <c r="BC202" s="286"/>
      <c r="BD202" s="286"/>
      <c r="BE202" s="287"/>
      <c r="BG202" s="288"/>
      <c r="BH202" s="286"/>
      <c r="BI202" s="286"/>
      <c r="BJ202" s="287"/>
      <c r="BL202" s="288"/>
      <c r="BM202" s="286"/>
      <c r="BN202" s="286"/>
      <c r="BO202" s="289"/>
      <c r="DK202" s="341"/>
      <c r="DL202" s="341"/>
      <c r="DM202" s="341"/>
      <c r="DN202" s="341"/>
      <c r="DO202" s="341"/>
      <c r="DP202" s="341"/>
      <c r="DQ202" s="341"/>
    </row>
    <row r="203" spans="2:121" s="339" customFormat="1">
      <c r="B203" s="339" t="s">
        <v>411</v>
      </c>
      <c r="D203" s="330">
        <f>D201</f>
        <v>3512.2531464575636</v>
      </c>
      <c r="E203" s="326">
        <f>E201</f>
        <v>3691.69</v>
      </c>
      <c r="F203" s="326">
        <f>E203-D203</f>
        <v>179.43685354243644</v>
      </c>
      <c r="G203" s="287"/>
      <c r="H203" s="284"/>
      <c r="I203" s="288"/>
      <c r="J203" s="286"/>
      <c r="K203" s="286"/>
      <c r="L203" s="289"/>
      <c r="M203" s="334"/>
      <c r="N203" s="288"/>
      <c r="O203" s="286"/>
      <c r="P203" s="286"/>
      <c r="Q203" s="287"/>
      <c r="S203" s="288"/>
      <c r="T203" s="286"/>
      <c r="U203" s="286"/>
      <c r="V203" s="287"/>
      <c r="X203" s="288"/>
      <c r="Y203" s="361"/>
      <c r="Z203" s="286"/>
      <c r="AA203" s="287"/>
      <c r="AC203" s="288"/>
      <c r="AD203" s="286"/>
      <c r="AE203" s="286"/>
      <c r="AF203" s="287"/>
      <c r="AH203" s="288"/>
      <c r="AI203" s="286"/>
      <c r="AJ203" s="286"/>
      <c r="AK203" s="287"/>
      <c r="AM203" s="288"/>
      <c r="AN203" s="286"/>
      <c r="AO203" s="286"/>
      <c r="AP203" s="287"/>
      <c r="AR203" s="288"/>
      <c r="AS203" s="286"/>
      <c r="AT203" s="286"/>
      <c r="AU203" s="287"/>
      <c r="AW203" s="362"/>
      <c r="AX203" s="286"/>
      <c r="AY203" s="286"/>
      <c r="AZ203" s="287"/>
      <c r="BB203" s="288"/>
      <c r="BC203" s="286"/>
      <c r="BD203" s="286"/>
      <c r="BE203" s="287"/>
      <c r="BG203" s="288"/>
      <c r="BH203" s="286"/>
      <c r="BI203" s="286"/>
      <c r="BJ203" s="287"/>
      <c r="BL203" s="288"/>
      <c r="BM203" s="286"/>
      <c r="BN203" s="286"/>
      <c r="BO203" s="289"/>
      <c r="DK203" s="341"/>
      <c r="DL203" s="341"/>
      <c r="DM203" s="341"/>
      <c r="DN203" s="341"/>
      <c r="DO203" s="341"/>
      <c r="DP203" s="341"/>
      <c r="DQ203" s="341"/>
    </row>
    <row r="204" spans="2:121" s="339" customFormat="1">
      <c r="B204" s="339" t="s">
        <v>396</v>
      </c>
      <c r="D204" s="330"/>
      <c r="E204" s="326"/>
      <c r="F204" s="326"/>
      <c r="G204" s="287"/>
      <c r="H204" s="284"/>
      <c r="I204" s="288"/>
      <c r="J204" s="286"/>
      <c r="K204" s="286"/>
      <c r="L204" s="289"/>
      <c r="M204" s="334"/>
      <c r="N204" s="288"/>
      <c r="O204" s="286"/>
      <c r="P204" s="286"/>
      <c r="Q204" s="287"/>
      <c r="S204" s="288"/>
      <c r="T204" s="286"/>
      <c r="U204" s="286"/>
      <c r="V204" s="287"/>
      <c r="X204" s="288"/>
      <c r="Y204" s="361"/>
      <c r="Z204" s="286"/>
      <c r="AA204" s="287"/>
      <c r="AC204" s="288"/>
      <c r="AD204" s="286"/>
      <c r="AE204" s="286"/>
      <c r="AF204" s="287"/>
      <c r="AH204" s="288"/>
      <c r="AI204" s="286"/>
      <c r="AJ204" s="286"/>
      <c r="AK204" s="287"/>
      <c r="AM204" s="288"/>
      <c r="AN204" s="286"/>
      <c r="AO204" s="286"/>
      <c r="AP204" s="287"/>
      <c r="AR204" s="288"/>
      <c r="AS204" s="286"/>
      <c r="AT204" s="286"/>
      <c r="AU204" s="287"/>
      <c r="AW204" s="362"/>
      <c r="AX204" s="286"/>
      <c r="AY204" s="286"/>
      <c r="AZ204" s="287"/>
      <c r="BB204" s="288"/>
      <c r="BC204" s="286"/>
      <c r="BD204" s="286"/>
      <c r="BE204" s="287"/>
      <c r="BG204" s="288"/>
      <c r="BH204" s="286"/>
      <c r="BI204" s="286"/>
      <c r="BJ204" s="287"/>
      <c r="BL204" s="288"/>
      <c r="BM204" s="286"/>
      <c r="BN204" s="286"/>
      <c r="BO204" s="289"/>
      <c r="DK204" s="341"/>
      <c r="DL204" s="341"/>
      <c r="DM204" s="341"/>
      <c r="DN204" s="341"/>
      <c r="DO204" s="341"/>
      <c r="DP204" s="341"/>
      <c r="DQ204" s="341"/>
    </row>
    <row r="205" spans="2:121" s="339" customFormat="1">
      <c r="B205" s="339" t="s">
        <v>412</v>
      </c>
      <c r="D205" s="330">
        <f>G130</f>
        <v>932.74</v>
      </c>
      <c r="E205" s="326">
        <f>H130</f>
        <v>932.74</v>
      </c>
      <c r="F205" s="326">
        <f>E205-D205</f>
        <v>0</v>
      </c>
      <c r="G205" s="287"/>
      <c r="H205" s="284"/>
      <c r="I205" s="288"/>
      <c r="J205" s="286"/>
      <c r="K205" s="286"/>
      <c r="L205" s="289"/>
      <c r="M205" s="334"/>
      <c r="N205" s="288"/>
      <c r="O205" s="286"/>
      <c r="P205" s="286"/>
      <c r="Q205" s="287"/>
      <c r="S205" s="288"/>
      <c r="T205" s="286"/>
      <c r="U205" s="286"/>
      <c r="V205" s="287"/>
      <c r="X205" s="288"/>
      <c r="Y205" s="361"/>
      <c r="Z205" s="286"/>
      <c r="AA205" s="287"/>
      <c r="AC205" s="288"/>
      <c r="AD205" s="286"/>
      <c r="AE205" s="286"/>
      <c r="AF205" s="287"/>
      <c r="AH205" s="288"/>
      <c r="AI205" s="286"/>
      <c r="AJ205" s="286"/>
      <c r="AK205" s="287"/>
      <c r="AM205" s="288"/>
      <c r="AN205" s="286"/>
      <c r="AO205" s="286"/>
      <c r="AP205" s="287"/>
      <c r="AR205" s="288"/>
      <c r="AS205" s="286"/>
      <c r="AT205" s="286"/>
      <c r="AU205" s="287"/>
      <c r="AW205" s="362"/>
      <c r="AX205" s="286"/>
      <c r="AY205" s="286"/>
      <c r="AZ205" s="287"/>
      <c r="BB205" s="288"/>
      <c r="BC205" s="286"/>
      <c r="BD205" s="286"/>
      <c r="BE205" s="287"/>
      <c r="BG205" s="288"/>
      <c r="BH205" s="286"/>
      <c r="BI205" s="286"/>
      <c r="BJ205" s="287"/>
      <c r="BL205" s="288"/>
      <c r="BM205" s="286"/>
      <c r="BN205" s="286"/>
      <c r="BO205" s="289"/>
      <c r="DK205" s="341"/>
      <c r="DL205" s="341"/>
      <c r="DM205" s="341"/>
      <c r="DN205" s="341"/>
      <c r="DO205" s="341"/>
      <c r="DP205" s="341"/>
      <c r="DQ205" s="341"/>
    </row>
    <row r="206" spans="2:121" s="339" customFormat="1">
      <c r="B206" s="339" t="s">
        <v>396</v>
      </c>
      <c r="D206" s="330"/>
      <c r="E206" s="326"/>
      <c r="F206" s="326"/>
      <c r="G206" s="287"/>
      <c r="H206" s="284"/>
      <c r="I206" s="288"/>
      <c r="J206" s="286"/>
      <c r="K206" s="286"/>
      <c r="L206" s="289"/>
      <c r="M206" s="334"/>
      <c r="N206" s="288"/>
      <c r="O206" s="286"/>
      <c r="P206" s="286"/>
      <c r="Q206" s="287"/>
      <c r="S206" s="288"/>
      <c r="T206" s="286"/>
      <c r="U206" s="286"/>
      <c r="V206" s="287"/>
      <c r="X206" s="288"/>
      <c r="Y206" s="361"/>
      <c r="Z206" s="286"/>
      <c r="AA206" s="287"/>
      <c r="AC206" s="288"/>
      <c r="AD206" s="286"/>
      <c r="AE206" s="286"/>
      <c r="AF206" s="287"/>
      <c r="AH206" s="288"/>
      <c r="AI206" s="286"/>
      <c r="AJ206" s="286"/>
      <c r="AK206" s="287"/>
      <c r="AM206" s="288"/>
      <c r="AN206" s="286"/>
      <c r="AO206" s="286"/>
      <c r="AP206" s="287"/>
      <c r="AR206" s="288"/>
      <c r="AS206" s="286"/>
      <c r="AT206" s="286"/>
      <c r="AU206" s="287"/>
      <c r="AW206" s="362"/>
      <c r="AX206" s="286"/>
      <c r="AY206" s="286"/>
      <c r="AZ206" s="287"/>
      <c r="BB206" s="288"/>
      <c r="BC206" s="286"/>
      <c r="BD206" s="286"/>
      <c r="BE206" s="287"/>
      <c r="BG206" s="288"/>
      <c r="BH206" s="286"/>
      <c r="BI206" s="286"/>
      <c r="BJ206" s="287"/>
      <c r="BL206" s="288"/>
      <c r="BM206" s="286"/>
      <c r="BN206" s="286"/>
      <c r="BO206" s="289"/>
      <c r="DK206" s="341"/>
      <c r="DL206" s="341"/>
      <c r="DM206" s="341"/>
      <c r="DN206" s="341"/>
      <c r="DO206" s="341"/>
      <c r="DP206" s="341"/>
      <c r="DQ206" s="341"/>
    </row>
    <row r="207" spans="2:121" s="339" customFormat="1">
      <c r="B207" s="339" t="s">
        <v>413</v>
      </c>
      <c r="D207" s="330">
        <f>G131</f>
        <v>615.96</v>
      </c>
      <c r="E207" s="326">
        <f>H131</f>
        <v>615.96</v>
      </c>
      <c r="F207" s="326">
        <f>E207-D207</f>
        <v>0</v>
      </c>
      <c r="G207" s="287"/>
      <c r="H207" s="284"/>
      <c r="I207" s="288"/>
      <c r="J207" s="286"/>
      <c r="K207" s="286"/>
      <c r="L207" s="289"/>
      <c r="M207" s="334"/>
      <c r="N207" s="288"/>
      <c r="O207" s="286"/>
      <c r="P207" s="286"/>
      <c r="Q207" s="287"/>
      <c r="S207" s="288"/>
      <c r="T207" s="286"/>
      <c r="U207" s="286"/>
      <c r="V207" s="287"/>
      <c r="X207" s="288"/>
      <c r="Y207" s="361"/>
      <c r="Z207" s="286"/>
      <c r="AA207" s="287"/>
      <c r="AC207" s="288"/>
      <c r="AD207" s="286"/>
      <c r="AE207" s="286"/>
      <c r="AF207" s="287"/>
      <c r="AH207" s="288"/>
      <c r="AI207" s="286"/>
      <c r="AJ207" s="286"/>
      <c r="AK207" s="287"/>
      <c r="AM207" s="288"/>
      <c r="AN207" s="286"/>
      <c r="AO207" s="286"/>
      <c r="AP207" s="287"/>
      <c r="AR207" s="288"/>
      <c r="AS207" s="286"/>
      <c r="AT207" s="286"/>
      <c r="AU207" s="287"/>
      <c r="AW207" s="362"/>
      <c r="AX207" s="286"/>
      <c r="AY207" s="286"/>
      <c r="AZ207" s="287"/>
      <c r="BB207" s="288"/>
      <c r="BC207" s="286"/>
      <c r="BD207" s="286"/>
      <c r="BE207" s="287"/>
      <c r="BG207" s="288"/>
      <c r="BH207" s="286"/>
      <c r="BI207" s="286"/>
      <c r="BJ207" s="287"/>
      <c r="BL207" s="288"/>
      <c r="BM207" s="286"/>
      <c r="BN207" s="286"/>
      <c r="BO207" s="289"/>
      <c r="DK207" s="341"/>
      <c r="DL207" s="341"/>
      <c r="DM207" s="341"/>
      <c r="DN207" s="341"/>
      <c r="DO207" s="341"/>
      <c r="DP207" s="341"/>
      <c r="DQ207" s="341"/>
    </row>
    <row r="208" spans="2:121" s="339" customFormat="1">
      <c r="B208" s="339" t="s">
        <v>396</v>
      </c>
      <c r="D208" s="330"/>
      <c r="E208" s="326"/>
      <c r="F208" s="326"/>
      <c r="G208" s="287"/>
      <c r="H208" s="284"/>
      <c r="I208" s="288"/>
      <c r="J208" s="286"/>
      <c r="K208" s="286"/>
      <c r="L208" s="289"/>
      <c r="M208" s="334"/>
      <c r="N208" s="288"/>
      <c r="O208" s="286"/>
      <c r="P208" s="286"/>
      <c r="Q208" s="287"/>
      <c r="S208" s="288"/>
      <c r="T208" s="286"/>
      <c r="U208" s="286"/>
      <c r="V208" s="287"/>
      <c r="X208" s="288"/>
      <c r="Y208" s="361"/>
      <c r="Z208" s="286"/>
      <c r="AA208" s="287"/>
      <c r="AC208" s="288"/>
      <c r="AD208" s="286"/>
      <c r="AE208" s="286"/>
      <c r="AF208" s="287"/>
      <c r="AH208" s="288"/>
      <c r="AI208" s="286"/>
      <c r="AJ208" s="286"/>
      <c r="AK208" s="287"/>
      <c r="AM208" s="288"/>
      <c r="AN208" s="286"/>
      <c r="AO208" s="286"/>
      <c r="AP208" s="287"/>
      <c r="AR208" s="288"/>
      <c r="AS208" s="286"/>
      <c r="AT208" s="286"/>
      <c r="AU208" s="287"/>
      <c r="AW208" s="362"/>
      <c r="AX208" s="286"/>
      <c r="AY208" s="286"/>
      <c r="AZ208" s="287"/>
      <c r="BB208" s="288"/>
      <c r="BC208" s="286"/>
      <c r="BD208" s="286"/>
      <c r="BE208" s="287"/>
      <c r="BG208" s="288"/>
      <c r="BH208" s="286"/>
      <c r="BI208" s="286"/>
      <c r="BJ208" s="287"/>
      <c r="BL208" s="288"/>
      <c r="BM208" s="286"/>
      <c r="BN208" s="286"/>
      <c r="BO208" s="289"/>
      <c r="DK208" s="341"/>
      <c r="DL208" s="341"/>
      <c r="DM208" s="341"/>
      <c r="DN208" s="341"/>
      <c r="DO208" s="341"/>
      <c r="DP208" s="341"/>
      <c r="DQ208" s="341"/>
    </row>
    <row r="209" spans="1:121" s="339" customFormat="1">
      <c r="B209" s="339" t="s">
        <v>414</v>
      </c>
      <c r="D209" s="330"/>
      <c r="E209" s="326"/>
      <c r="F209" s="326"/>
      <c r="G209" s="287"/>
      <c r="H209" s="284"/>
      <c r="I209" s="288"/>
      <c r="J209" s="286"/>
      <c r="K209" s="286"/>
      <c r="L209" s="289"/>
      <c r="M209" s="334"/>
      <c r="N209" s="288"/>
      <c r="O209" s="286"/>
      <c r="P209" s="286"/>
      <c r="Q209" s="287"/>
      <c r="S209" s="288"/>
      <c r="T209" s="286"/>
      <c r="U209" s="286"/>
      <c r="V209" s="287"/>
      <c r="X209" s="288"/>
      <c r="Y209" s="361"/>
      <c r="Z209" s="286"/>
      <c r="AA209" s="287"/>
      <c r="AC209" s="288"/>
      <c r="AD209" s="286"/>
      <c r="AE209" s="286"/>
      <c r="AF209" s="287"/>
      <c r="AH209" s="288"/>
      <c r="AI209" s="286"/>
      <c r="AJ209" s="286"/>
      <c r="AK209" s="287"/>
      <c r="AM209" s="288"/>
      <c r="AN209" s="286"/>
      <c r="AO209" s="286"/>
      <c r="AP209" s="287"/>
      <c r="AR209" s="288"/>
      <c r="AS209" s="286"/>
      <c r="AT209" s="286"/>
      <c r="AU209" s="287"/>
      <c r="AW209" s="362"/>
      <c r="AX209" s="286"/>
      <c r="AY209" s="286"/>
      <c r="AZ209" s="287"/>
      <c r="BB209" s="288"/>
      <c r="BC209" s="286"/>
      <c r="BD209" s="286"/>
      <c r="BE209" s="287"/>
      <c r="BG209" s="288"/>
      <c r="BH209" s="286"/>
      <c r="BI209" s="286"/>
      <c r="BJ209" s="287"/>
      <c r="BL209" s="288"/>
      <c r="BM209" s="286"/>
      <c r="BN209" s="286"/>
      <c r="BO209" s="289"/>
      <c r="DK209" s="341"/>
      <c r="DL209" s="341"/>
      <c r="DM209" s="341"/>
      <c r="DN209" s="341"/>
      <c r="DO209" s="341"/>
      <c r="DP209" s="341"/>
      <c r="DQ209" s="341"/>
    </row>
    <row r="210" spans="1:121" s="339" customFormat="1">
      <c r="B210" s="365" t="s">
        <v>415</v>
      </c>
      <c r="C210" s="339" t="s">
        <v>402</v>
      </c>
      <c r="D210" s="330">
        <f>G121</f>
        <v>870.35405592540667</v>
      </c>
      <c r="E210" s="326">
        <f>H121</f>
        <v>241.89</v>
      </c>
      <c r="F210" s="326">
        <f>E210-D210</f>
        <v>-628.46405592540668</v>
      </c>
      <c r="G210" s="287"/>
      <c r="H210" s="284"/>
      <c r="I210" s="288"/>
      <c r="J210" s="286"/>
      <c r="K210" s="286"/>
      <c r="L210" s="289"/>
      <c r="M210" s="334"/>
      <c r="N210" s="288"/>
      <c r="O210" s="286"/>
      <c r="P210" s="286"/>
      <c r="Q210" s="287"/>
      <c r="S210" s="288"/>
      <c r="T210" s="286"/>
      <c r="U210" s="286"/>
      <c r="V210" s="287"/>
      <c r="X210" s="288"/>
      <c r="Y210" s="361"/>
      <c r="Z210" s="286"/>
      <c r="AA210" s="287"/>
      <c r="AC210" s="288"/>
      <c r="AD210" s="286"/>
      <c r="AE210" s="286"/>
      <c r="AF210" s="287"/>
      <c r="AH210" s="288"/>
      <c r="AI210" s="286"/>
      <c r="AJ210" s="286"/>
      <c r="AK210" s="287"/>
      <c r="AM210" s="288"/>
      <c r="AN210" s="286"/>
      <c r="AO210" s="286"/>
      <c r="AP210" s="287"/>
      <c r="AR210" s="288"/>
      <c r="AS210" s="286"/>
      <c r="AT210" s="286"/>
      <c r="AU210" s="287"/>
      <c r="AW210" s="362"/>
      <c r="AX210" s="286"/>
      <c r="AY210" s="286"/>
      <c r="AZ210" s="287"/>
      <c r="BB210" s="288"/>
      <c r="BC210" s="286"/>
      <c r="BD210" s="286"/>
      <c r="BE210" s="287"/>
      <c r="BG210" s="288"/>
      <c r="BH210" s="286"/>
      <c r="BI210" s="286"/>
      <c r="BJ210" s="287"/>
      <c r="BL210" s="288"/>
      <c r="BM210" s="286"/>
      <c r="BN210" s="286"/>
      <c r="BO210" s="289"/>
      <c r="DK210" s="341"/>
      <c r="DL210" s="341"/>
      <c r="DM210" s="341"/>
      <c r="DN210" s="341"/>
      <c r="DO210" s="341"/>
      <c r="DP210" s="341"/>
      <c r="DQ210" s="341"/>
    </row>
    <row r="211" spans="1:121" s="339" customFormat="1">
      <c r="B211" s="365" t="s">
        <v>416</v>
      </c>
      <c r="C211" s="339" t="s">
        <v>402</v>
      </c>
      <c r="D211" s="330">
        <f>G122</f>
        <v>0</v>
      </c>
      <c r="E211" s="326">
        <f>H122</f>
        <v>0</v>
      </c>
      <c r="F211" s="326">
        <f>E211-D211</f>
        <v>0</v>
      </c>
      <c r="G211" s="287"/>
      <c r="H211" s="284"/>
      <c r="I211" s="288"/>
      <c r="J211" s="286"/>
      <c r="K211" s="286"/>
      <c r="L211" s="289"/>
      <c r="M211" s="334"/>
      <c r="N211" s="288"/>
      <c r="O211" s="286"/>
      <c r="P211" s="286"/>
      <c r="Q211" s="287"/>
      <c r="S211" s="288"/>
      <c r="T211" s="286"/>
      <c r="U211" s="286"/>
      <c r="V211" s="287"/>
      <c r="X211" s="288"/>
      <c r="Y211" s="361"/>
      <c r="Z211" s="286"/>
      <c r="AA211" s="287"/>
      <c r="AC211" s="288"/>
      <c r="AD211" s="286"/>
      <c r="AE211" s="286"/>
      <c r="AF211" s="287"/>
      <c r="AH211" s="288"/>
      <c r="AI211" s="286"/>
      <c r="AJ211" s="286"/>
      <c r="AK211" s="287"/>
      <c r="AM211" s="288"/>
      <c r="AN211" s="286"/>
      <c r="AO211" s="286"/>
      <c r="AP211" s="287"/>
      <c r="AR211" s="288"/>
      <c r="AS211" s="286"/>
      <c r="AT211" s="286"/>
      <c r="AU211" s="287"/>
      <c r="AW211" s="362"/>
      <c r="AX211" s="286"/>
      <c r="AY211" s="286"/>
      <c r="AZ211" s="287"/>
      <c r="BB211" s="288"/>
      <c r="BC211" s="286"/>
      <c r="BD211" s="286"/>
      <c r="BE211" s="287"/>
      <c r="BG211" s="288"/>
      <c r="BH211" s="286"/>
      <c r="BI211" s="286"/>
      <c r="BJ211" s="287"/>
      <c r="BL211" s="288"/>
      <c r="BM211" s="286"/>
      <c r="BN211" s="286"/>
      <c r="BO211" s="289"/>
      <c r="DK211" s="341"/>
      <c r="DL211" s="341"/>
      <c r="DM211" s="341"/>
      <c r="DN211" s="341"/>
      <c r="DO211" s="341"/>
      <c r="DP211" s="341"/>
      <c r="DQ211" s="341"/>
    </row>
    <row r="212" spans="1:121" s="339" customFormat="1">
      <c r="B212" s="365" t="s">
        <v>417</v>
      </c>
      <c r="C212" s="339" t="s">
        <v>402</v>
      </c>
      <c r="D212" s="330">
        <f>G128</f>
        <v>3725.4745846611113</v>
      </c>
      <c r="E212" s="326">
        <f>H128</f>
        <v>3792.3866666666668</v>
      </c>
      <c r="F212" s="326">
        <f>E212-D212</f>
        <v>66.912082005555476</v>
      </c>
      <c r="G212" s="287"/>
      <c r="H212" s="284"/>
      <c r="I212" s="288"/>
      <c r="J212" s="286"/>
      <c r="K212" s="286"/>
      <c r="L212" s="289"/>
      <c r="M212" s="334"/>
      <c r="N212" s="288"/>
      <c r="O212" s="286"/>
      <c r="P212" s="286"/>
      <c r="Q212" s="287"/>
      <c r="S212" s="288"/>
      <c r="T212" s="286"/>
      <c r="U212" s="286"/>
      <c r="V212" s="287"/>
      <c r="X212" s="288"/>
      <c r="Y212" s="361"/>
      <c r="Z212" s="286"/>
      <c r="AA212" s="287"/>
      <c r="AC212" s="288"/>
      <c r="AD212" s="286"/>
      <c r="AE212" s="286"/>
      <c r="AF212" s="287"/>
      <c r="AH212" s="288"/>
      <c r="AI212" s="286"/>
      <c r="AJ212" s="286"/>
      <c r="AK212" s="287"/>
      <c r="AM212" s="288"/>
      <c r="AN212" s="286"/>
      <c r="AO212" s="286"/>
      <c r="AP212" s="287"/>
      <c r="AR212" s="288"/>
      <c r="AS212" s="286"/>
      <c r="AT212" s="286"/>
      <c r="AU212" s="287"/>
      <c r="AW212" s="362"/>
      <c r="AX212" s="286"/>
      <c r="AY212" s="286"/>
      <c r="AZ212" s="287"/>
      <c r="BB212" s="288"/>
      <c r="BC212" s="286"/>
      <c r="BD212" s="286"/>
      <c r="BE212" s="287"/>
      <c r="BG212" s="288"/>
      <c r="BH212" s="286"/>
      <c r="BI212" s="286"/>
      <c r="BJ212" s="287"/>
      <c r="BL212" s="288"/>
      <c r="BM212" s="286"/>
      <c r="BN212" s="286"/>
      <c r="BO212" s="289"/>
      <c r="DK212" s="341"/>
      <c r="DL212" s="341"/>
      <c r="DM212" s="341"/>
      <c r="DN212" s="341"/>
      <c r="DO212" s="341"/>
      <c r="DP212" s="341"/>
      <c r="DQ212" s="341"/>
    </row>
    <row r="213" spans="1:121" s="339" customFormat="1">
      <c r="B213" s="339" t="s">
        <v>396</v>
      </c>
      <c r="D213" s="330"/>
      <c r="E213" s="326"/>
      <c r="F213" s="326"/>
      <c r="G213" s="287"/>
      <c r="H213" s="284"/>
      <c r="I213" s="288"/>
      <c r="J213" s="286"/>
      <c r="K213" s="286"/>
      <c r="L213" s="289"/>
      <c r="M213" s="334"/>
      <c r="N213" s="288"/>
      <c r="O213" s="286"/>
      <c r="P213" s="286"/>
      <c r="Q213" s="287"/>
      <c r="S213" s="288"/>
      <c r="T213" s="286"/>
      <c r="U213" s="286"/>
      <c r="V213" s="287"/>
      <c r="X213" s="288"/>
      <c r="Y213" s="361"/>
      <c r="Z213" s="286"/>
      <c r="AA213" s="287"/>
      <c r="AC213" s="288"/>
      <c r="AD213" s="286"/>
      <c r="AE213" s="286"/>
      <c r="AF213" s="287"/>
      <c r="AH213" s="288"/>
      <c r="AI213" s="286"/>
      <c r="AJ213" s="286"/>
      <c r="AK213" s="287"/>
      <c r="AM213" s="288"/>
      <c r="AN213" s="286"/>
      <c r="AO213" s="286"/>
      <c r="AP213" s="287"/>
      <c r="AR213" s="288"/>
      <c r="AS213" s="286"/>
      <c r="AT213" s="286"/>
      <c r="AU213" s="287"/>
      <c r="AW213" s="362"/>
      <c r="AX213" s="286"/>
      <c r="AY213" s="286"/>
      <c r="AZ213" s="287"/>
      <c r="BB213" s="288"/>
      <c r="BC213" s="286"/>
      <c r="BD213" s="286"/>
      <c r="BE213" s="287"/>
      <c r="BG213" s="288"/>
      <c r="BH213" s="286"/>
      <c r="BI213" s="286"/>
      <c r="BJ213" s="287"/>
      <c r="BL213" s="288"/>
      <c r="BM213" s="286"/>
      <c r="BN213" s="286"/>
      <c r="BO213" s="289"/>
      <c r="DK213" s="341"/>
      <c r="DL213" s="341"/>
      <c r="DM213" s="341"/>
      <c r="DN213" s="341"/>
      <c r="DO213" s="341"/>
      <c r="DP213" s="341"/>
      <c r="DQ213" s="341"/>
    </row>
    <row r="214" spans="1:121" s="339" customFormat="1">
      <c r="B214" s="339" t="s">
        <v>418</v>
      </c>
      <c r="D214" s="330">
        <f>SUM(D210:D212)</f>
        <v>4595.8286405865183</v>
      </c>
      <c r="E214" s="326">
        <f>SUM(E210:E212)</f>
        <v>4034.2766666666666</v>
      </c>
      <c r="F214" s="326">
        <f>E214-D214</f>
        <v>-561.55197391985166</v>
      </c>
      <c r="G214" s="287"/>
      <c r="H214" s="284"/>
      <c r="I214" s="288"/>
      <c r="J214" s="286"/>
      <c r="K214" s="286"/>
      <c r="L214" s="289"/>
      <c r="M214" s="334"/>
      <c r="N214" s="288"/>
      <c r="O214" s="286"/>
      <c r="P214" s="286"/>
      <c r="Q214" s="287"/>
      <c r="S214" s="288"/>
      <c r="T214" s="286"/>
      <c r="U214" s="286"/>
      <c r="V214" s="287"/>
      <c r="X214" s="288"/>
      <c r="Y214" s="361"/>
      <c r="Z214" s="286"/>
      <c r="AA214" s="287"/>
      <c r="AC214" s="288"/>
      <c r="AD214" s="286"/>
      <c r="AE214" s="286"/>
      <c r="AF214" s="287"/>
      <c r="AH214" s="288"/>
      <c r="AI214" s="286"/>
      <c r="AJ214" s="286"/>
      <c r="AK214" s="287"/>
      <c r="AM214" s="288"/>
      <c r="AN214" s="286"/>
      <c r="AO214" s="286"/>
      <c r="AP214" s="287"/>
      <c r="AR214" s="288"/>
      <c r="AS214" s="286"/>
      <c r="AT214" s="286"/>
      <c r="AU214" s="287"/>
      <c r="AW214" s="362"/>
      <c r="AX214" s="286"/>
      <c r="AY214" s="286"/>
      <c r="AZ214" s="287"/>
      <c r="BB214" s="288"/>
      <c r="BC214" s="286"/>
      <c r="BD214" s="286"/>
      <c r="BE214" s="287"/>
      <c r="BG214" s="288"/>
      <c r="BH214" s="286"/>
      <c r="BI214" s="286"/>
      <c r="BJ214" s="287"/>
      <c r="BL214" s="288"/>
      <c r="BM214" s="286"/>
      <c r="BN214" s="286"/>
      <c r="BO214" s="289"/>
      <c r="DK214" s="341"/>
      <c r="DL214" s="341"/>
      <c r="DM214" s="341"/>
      <c r="DN214" s="341"/>
      <c r="DO214" s="341"/>
      <c r="DP214" s="341"/>
      <c r="DQ214" s="341"/>
    </row>
    <row r="215" spans="1:121" s="339" customFormat="1">
      <c r="B215" s="339" t="s">
        <v>396</v>
      </c>
      <c r="D215" s="330"/>
      <c r="E215" s="326"/>
      <c r="F215" s="326"/>
      <c r="G215" s="287"/>
      <c r="H215" s="284"/>
      <c r="I215" s="288"/>
      <c r="J215" s="286"/>
      <c r="K215" s="286"/>
      <c r="L215" s="289"/>
      <c r="M215" s="334"/>
      <c r="N215" s="288"/>
      <c r="O215" s="286"/>
      <c r="P215" s="286"/>
      <c r="Q215" s="287"/>
      <c r="S215" s="288"/>
      <c r="T215" s="286"/>
      <c r="U215" s="286"/>
      <c r="V215" s="287"/>
      <c r="X215" s="288"/>
      <c r="Y215" s="361"/>
      <c r="Z215" s="286"/>
      <c r="AA215" s="287"/>
      <c r="AC215" s="288"/>
      <c r="AD215" s="286"/>
      <c r="AE215" s="286"/>
      <c r="AF215" s="287"/>
      <c r="AH215" s="288"/>
      <c r="AI215" s="286"/>
      <c r="AJ215" s="286"/>
      <c r="AK215" s="287"/>
      <c r="AM215" s="288"/>
      <c r="AN215" s="286"/>
      <c r="AO215" s="286"/>
      <c r="AP215" s="287"/>
      <c r="AR215" s="288"/>
      <c r="AS215" s="286"/>
      <c r="AT215" s="286"/>
      <c r="AU215" s="287"/>
      <c r="AW215" s="362"/>
      <c r="AX215" s="286"/>
      <c r="AY215" s="286"/>
      <c r="AZ215" s="287"/>
      <c r="BB215" s="288"/>
      <c r="BC215" s="286"/>
      <c r="BD215" s="286"/>
      <c r="BE215" s="287"/>
      <c r="BG215" s="288"/>
      <c r="BH215" s="286"/>
      <c r="BI215" s="286"/>
      <c r="BJ215" s="287"/>
      <c r="BL215" s="288"/>
      <c r="BM215" s="286"/>
      <c r="BN215" s="286"/>
      <c r="BO215" s="289"/>
      <c r="DK215" s="341"/>
      <c r="DL215" s="341"/>
      <c r="DM215" s="341"/>
      <c r="DN215" s="341"/>
      <c r="DO215" s="341"/>
      <c r="DP215" s="341"/>
      <c r="DQ215" s="341"/>
    </row>
    <row r="216" spans="1:121" s="339" customFormat="1">
      <c r="D216" s="305" t="s">
        <v>230</v>
      </c>
      <c r="E216" s="306" t="s">
        <v>218</v>
      </c>
      <c r="F216" s="306" t="s">
        <v>371</v>
      </c>
      <c r="G216" s="287"/>
      <c r="H216" s="284"/>
      <c r="I216" s="288"/>
      <c r="J216" s="286"/>
      <c r="K216" s="286"/>
      <c r="L216" s="289"/>
      <c r="M216" s="334"/>
      <c r="N216" s="288"/>
      <c r="O216" s="286"/>
      <c r="P216" s="286"/>
      <c r="Q216" s="287"/>
      <c r="S216" s="288"/>
      <c r="T216" s="286"/>
      <c r="U216" s="286"/>
      <c r="V216" s="287"/>
      <c r="X216" s="288"/>
      <c r="Y216" s="361"/>
      <c r="Z216" s="286"/>
      <c r="AA216" s="287"/>
      <c r="AC216" s="288"/>
      <c r="AD216" s="286"/>
      <c r="AE216" s="286"/>
      <c r="AF216" s="287"/>
      <c r="AH216" s="288"/>
      <c r="AI216" s="286"/>
      <c r="AJ216" s="286"/>
      <c r="AK216" s="287"/>
      <c r="AM216" s="288"/>
      <c r="AN216" s="286"/>
      <c r="AO216" s="286"/>
      <c r="AP216" s="287"/>
      <c r="AR216" s="288"/>
      <c r="AS216" s="286"/>
      <c r="AT216" s="286"/>
      <c r="AU216" s="287"/>
      <c r="AW216" s="362"/>
      <c r="AX216" s="286"/>
      <c r="AY216" s="286"/>
      <c r="AZ216" s="287"/>
      <c r="BB216" s="288"/>
      <c r="BC216" s="286"/>
      <c r="BD216" s="286"/>
      <c r="BE216" s="287"/>
      <c r="BG216" s="288"/>
      <c r="BH216" s="286"/>
      <c r="BI216" s="286"/>
      <c r="BJ216" s="287"/>
      <c r="BL216" s="288"/>
      <c r="BM216" s="286"/>
      <c r="BN216" s="286"/>
      <c r="BO216" s="289"/>
      <c r="DK216" s="341"/>
      <c r="DL216" s="341"/>
      <c r="DM216" s="341"/>
      <c r="DN216" s="341"/>
      <c r="DO216" s="341"/>
      <c r="DP216" s="341"/>
      <c r="DQ216" s="341"/>
    </row>
    <row r="217" spans="1:121" s="339" customFormat="1">
      <c r="B217" s="339" t="s">
        <v>419</v>
      </c>
      <c r="D217" s="330">
        <f>SUM(D214+D203+D205+D197+D187+D179+D207)</f>
        <v>48974.343097951802</v>
      </c>
      <c r="E217" s="326">
        <f>SUM(E214+E203+E205+E197+E187+E179+E207)</f>
        <v>48751.92</v>
      </c>
      <c r="F217" s="326">
        <f>E217-D217</f>
        <v>-222.42309795180336</v>
      </c>
      <c r="G217" s="287"/>
      <c r="H217" s="284"/>
      <c r="I217" s="288"/>
      <c r="J217" s="286"/>
      <c r="K217" s="286"/>
      <c r="L217" s="289"/>
      <c r="M217" s="334"/>
      <c r="N217" s="288"/>
      <c r="O217" s="286"/>
      <c r="P217" s="286"/>
      <c r="Q217" s="287"/>
      <c r="S217" s="288"/>
      <c r="T217" s="286"/>
      <c r="U217" s="286"/>
      <c r="V217" s="287"/>
      <c r="X217" s="288"/>
      <c r="Y217" s="361"/>
      <c r="Z217" s="286"/>
      <c r="AA217" s="287"/>
      <c r="AC217" s="288"/>
      <c r="AD217" s="286"/>
      <c r="AE217" s="286"/>
      <c r="AF217" s="287"/>
      <c r="AH217" s="288"/>
      <c r="AI217" s="286"/>
      <c r="AJ217" s="286"/>
      <c r="AK217" s="287"/>
      <c r="AM217" s="288"/>
      <c r="AN217" s="286"/>
      <c r="AO217" s="286"/>
      <c r="AP217" s="287"/>
      <c r="AR217" s="288"/>
      <c r="AS217" s="286"/>
      <c r="AT217" s="286"/>
      <c r="AU217" s="287"/>
      <c r="AW217" s="362"/>
      <c r="AX217" s="286"/>
      <c r="AY217" s="286"/>
      <c r="AZ217" s="287"/>
      <c r="BB217" s="288"/>
      <c r="BC217" s="286"/>
      <c r="BD217" s="286"/>
      <c r="BE217" s="287"/>
      <c r="BG217" s="288"/>
      <c r="BH217" s="286"/>
      <c r="BI217" s="286"/>
      <c r="BJ217" s="287"/>
      <c r="BL217" s="288"/>
      <c r="BM217" s="286"/>
      <c r="BN217" s="286"/>
      <c r="BO217" s="289"/>
      <c r="DK217" s="341"/>
      <c r="DL217" s="341"/>
      <c r="DM217" s="341"/>
      <c r="DN217" s="341"/>
      <c r="DO217" s="341"/>
      <c r="DP217" s="341"/>
      <c r="DQ217" s="341"/>
    </row>
    <row r="218" spans="1:121" s="339" customFormat="1">
      <c r="B218" s="339" t="s">
        <v>396</v>
      </c>
      <c r="D218" s="288"/>
      <c r="E218" s="286"/>
      <c r="F218" s="286"/>
      <c r="G218" s="287"/>
      <c r="H218" s="284"/>
      <c r="I218" s="288"/>
      <c r="J218" s="286"/>
      <c r="K218" s="286"/>
      <c r="L218" s="289"/>
      <c r="M218" s="334"/>
      <c r="N218" s="288"/>
      <c r="O218" s="286"/>
      <c r="P218" s="286"/>
      <c r="Q218" s="287"/>
      <c r="S218" s="288"/>
      <c r="T218" s="286"/>
      <c r="U218" s="286"/>
      <c r="V218" s="287"/>
      <c r="X218" s="288"/>
      <c r="Y218" s="361"/>
      <c r="Z218" s="286"/>
      <c r="AA218" s="287"/>
      <c r="AC218" s="288"/>
      <c r="AD218" s="286"/>
      <c r="AE218" s="286"/>
      <c r="AF218" s="287"/>
      <c r="AH218" s="288"/>
      <c r="AI218" s="286"/>
      <c r="AJ218" s="286"/>
      <c r="AK218" s="287"/>
      <c r="AM218" s="288"/>
      <c r="AN218" s="286"/>
      <c r="AO218" s="286"/>
      <c r="AP218" s="287"/>
      <c r="AR218" s="288"/>
      <c r="AS218" s="286"/>
      <c r="AT218" s="286"/>
      <c r="AU218" s="287"/>
      <c r="AW218" s="362"/>
      <c r="AX218" s="286"/>
      <c r="AY218" s="286"/>
      <c r="AZ218" s="287"/>
      <c r="BB218" s="288"/>
      <c r="BC218" s="286"/>
      <c r="BD218" s="286"/>
      <c r="BE218" s="287"/>
      <c r="BG218" s="288"/>
      <c r="BH218" s="286"/>
      <c r="BI218" s="286"/>
      <c r="BJ218" s="287"/>
      <c r="BL218" s="288"/>
      <c r="BM218" s="286"/>
      <c r="BN218" s="286"/>
      <c r="BO218" s="289"/>
      <c r="DK218" s="341"/>
      <c r="DL218" s="341"/>
      <c r="DM218" s="341"/>
      <c r="DN218" s="341"/>
      <c r="DO218" s="341"/>
      <c r="DP218" s="341"/>
      <c r="DQ218" s="341"/>
    </row>
    <row r="219" spans="1:121">
      <c r="A219" s="323" t="s">
        <v>327</v>
      </c>
      <c r="M219" s="334"/>
      <c r="Y219" s="361"/>
      <c r="AW219" s="362"/>
      <c r="DK219" s="323"/>
      <c r="DL219" s="323"/>
      <c r="DM219" s="323"/>
      <c r="DN219" s="323"/>
      <c r="DO219" s="323"/>
      <c r="DP219" s="323"/>
      <c r="DQ219" s="323"/>
    </row>
    <row r="220" spans="1:121">
      <c r="B220" s="292"/>
      <c r="C220" s="291"/>
      <c r="D220" s="362"/>
      <c r="E220" s="361"/>
      <c r="F220" s="361"/>
      <c r="G220" s="332"/>
      <c r="H220" s="291"/>
      <c r="I220" s="362"/>
      <c r="J220" s="361"/>
      <c r="K220" s="361"/>
      <c r="L220" s="333"/>
      <c r="M220" s="334"/>
      <c r="N220" s="362"/>
      <c r="O220" s="361"/>
      <c r="P220" s="361"/>
      <c r="Q220" s="332"/>
      <c r="R220" s="291"/>
      <c r="S220" s="362"/>
      <c r="T220" s="361"/>
      <c r="U220" s="361"/>
      <c r="V220" s="332"/>
      <c r="W220" s="291"/>
      <c r="X220" s="362"/>
      <c r="Y220" s="361"/>
      <c r="Z220" s="361"/>
      <c r="AA220" s="332"/>
      <c r="AB220" s="291"/>
      <c r="AC220" s="362"/>
      <c r="AD220" s="361"/>
      <c r="AE220" s="361"/>
      <c r="AF220" s="332"/>
      <c r="AG220" s="291"/>
      <c r="AH220" s="362"/>
      <c r="AI220" s="361"/>
      <c r="AJ220" s="361"/>
      <c r="AK220" s="332"/>
      <c r="AL220" s="291"/>
      <c r="AM220" s="362"/>
      <c r="AN220" s="361"/>
      <c r="AO220" s="361"/>
      <c r="AP220" s="332"/>
      <c r="AQ220" s="291"/>
      <c r="AR220" s="362"/>
      <c r="AS220" s="361"/>
      <c r="AT220" s="361"/>
      <c r="AU220" s="332"/>
      <c r="AV220" s="291"/>
      <c r="AW220" s="362"/>
      <c r="DK220" s="323"/>
      <c r="DL220" s="323"/>
      <c r="DM220" s="323"/>
      <c r="DN220" s="323"/>
      <c r="DO220" s="323"/>
      <c r="DP220" s="323"/>
      <c r="DQ220" s="323"/>
    </row>
    <row r="221" spans="1:121">
      <c r="B221" s="283" t="s">
        <v>375</v>
      </c>
      <c r="DK221" s="323"/>
      <c r="DL221" s="323"/>
      <c r="DM221" s="323"/>
      <c r="DN221" s="323"/>
      <c r="DO221" s="323"/>
      <c r="DP221" s="323"/>
      <c r="DQ221" s="323"/>
    </row>
    <row r="222" spans="1:121">
      <c r="B222" s="283" t="str">
        <f>D3</f>
        <v>3-year averages</v>
      </c>
      <c r="DK222" s="323"/>
      <c r="DL222" s="323"/>
      <c r="DM222" s="323"/>
      <c r="DN222" s="323"/>
      <c r="DO222" s="323"/>
      <c r="DP222" s="323"/>
      <c r="DQ222" s="323"/>
    </row>
    <row r="223" spans="1:121">
      <c r="B223" s="283">
        <f>B1</f>
        <v>0</v>
      </c>
      <c r="DK223" s="323"/>
      <c r="DL223" s="323"/>
      <c r="DM223" s="323"/>
      <c r="DN223" s="323"/>
      <c r="DO223" s="323"/>
      <c r="DP223" s="323"/>
      <c r="DQ223" s="323"/>
    </row>
    <row r="224" spans="1:121">
      <c r="B224" s="283" t="s">
        <v>420</v>
      </c>
      <c r="F224" s="286" t="s">
        <v>371</v>
      </c>
      <c r="G224" s="287" t="s">
        <v>372</v>
      </c>
      <c r="H224" s="358">
        <f>SUM(H246-G246)</f>
        <v>-2905.8172924882965</v>
      </c>
    </row>
    <row r="225" spans="2:121">
      <c r="DK225" s="323"/>
      <c r="DL225" s="323"/>
      <c r="DM225" s="323"/>
      <c r="DN225" s="323"/>
      <c r="DO225" s="323"/>
      <c r="DP225" s="323"/>
      <c r="DQ225" s="323"/>
    </row>
    <row r="226" spans="2:121">
      <c r="C226" s="284" t="s">
        <v>216</v>
      </c>
      <c r="E226" s="286" t="s">
        <v>374</v>
      </c>
      <c r="G226" s="287" t="s">
        <v>345</v>
      </c>
      <c r="I226" s="305" t="s">
        <v>218</v>
      </c>
      <c r="DK226" s="323"/>
      <c r="DL226" s="323"/>
      <c r="DM226" s="323"/>
      <c r="DN226" s="323"/>
      <c r="DO226" s="323"/>
      <c r="DP226" s="323"/>
      <c r="DQ226" s="323"/>
    </row>
    <row r="227" spans="2:121">
      <c r="C227" s="304" t="s">
        <v>230</v>
      </c>
      <c r="D227" s="305" t="s">
        <v>218</v>
      </c>
      <c r="E227" s="306" t="s">
        <v>230</v>
      </c>
      <c r="F227" s="306" t="s">
        <v>218</v>
      </c>
      <c r="G227" s="303" t="s">
        <v>230</v>
      </c>
      <c r="H227" s="304" t="s">
        <v>218</v>
      </c>
      <c r="I227" s="305" t="s">
        <v>55</v>
      </c>
      <c r="DK227" s="323"/>
      <c r="DL227" s="323"/>
      <c r="DM227" s="323"/>
      <c r="DN227" s="323"/>
      <c r="DO227" s="323"/>
      <c r="DP227" s="323"/>
      <c r="DQ227" s="323"/>
    </row>
    <row r="228" spans="2:121">
      <c r="DK228" s="323"/>
      <c r="DL228" s="323"/>
      <c r="DM228" s="323"/>
      <c r="DN228" s="323"/>
      <c r="DO228" s="323"/>
      <c r="DP228" s="323"/>
      <c r="DQ228" s="323"/>
    </row>
    <row r="229" spans="2:121">
      <c r="B229" s="283" t="s">
        <v>127</v>
      </c>
      <c r="C229" s="284">
        <f t="shared" ref="C229:C243" si="49">IF($C$2=1,+C46,IF($C$2=2,+H46,IF($C$2=3,+M46,IF($C$2=4,+R46,IF($C$2=5,+W46,IF($C$2=6,+AB46,IF($C$2=7,+AG46,IF($C$2=8,+AL46,IF($C$2=9,+AQ46,IF($C$2=10,+AV46,IF($C$2=11,+BA46,IF($C$2=12,+BF46,0))))))))))))</f>
        <v>0</v>
      </c>
      <c r="D229" s="288">
        <f t="shared" ref="D229:D243" si="50">IF($C$2=1,+D46,IF($C$2=2,+I46,IF($C$2=3,+N46,IF($C$2=4,+S46,IF($C$2=5,+X46,IF($C$2=6,+AC46,IF($C$2=7,+AH46,IF($C$2=8,+AM46,IF($C$2=9,+AR46,IF($C$2=10,+AW46,IF($C$2=11,+BB46,IF($C$2=12,+BG46,0))))))))))))</f>
        <v>0</v>
      </c>
      <c r="E229" s="326">
        <f t="shared" ref="E229:E244" si="51">IF(C229=0,0,+G229/C229)</f>
        <v>0</v>
      </c>
      <c r="F229" s="326">
        <f t="shared" ref="F229:F244" si="52">IF(D229=0,0,+H229/D229)</f>
        <v>0</v>
      </c>
      <c r="G229" s="327">
        <f t="shared" ref="G229:G243" si="53">IF($C$2=1,+E46,IF($C$2=2,+J46,IF($C$2=3,+O46,IF($C$2=4,+T46,IF($C$2=5,+Y46,IF($C$2=6,+AD46,IF($C$2=7,+AI46,IF($C$2=8,+AN46,IF($C$2=9,+AS46,IF($C$2=10,+AX46,IF($C$2=11,+BC46,IF($C$2=12,+BH46,0))))))))))))</f>
        <v>0</v>
      </c>
      <c r="H229" s="358">
        <f t="shared" ref="H229:H243" si="54">IF($C$2=1,+F46,IF($C$2=2,+K46,IF($C$2=3,+P46,IF($C$2=4,+U46,IF($C$2=5,+Z46,IF($C$2=6,+AE46,IF($C$2=7,+AJ46,IF($C$2=8,+AO46,IF($C$2=9,+AT46,IF($C$2=10,+AY46,IF($C$2=11,+BD46,IF($C$2=12,+BI46,0))))))))))))</f>
        <v>0</v>
      </c>
      <c r="I229" s="330">
        <f t="shared" ref="I229:I243" si="55">IF($C$2=1,+G46,IF($C$2=2,+L46,IF($C$2=3,+Q46,IF($C$2=4,+V46,IF($C$2=5,+AA46,IF($C$2=6,+AF46,IF($C$2=7,+AK46,IF($C$2=8,+AP46,IF($C$2=9,+AU46,IF($C$2=10,+AZ46,IF($C$2=11,+BE46,IF($C$2=12,+BJ46,0))))))))))))</f>
        <v>0</v>
      </c>
      <c r="DK229" s="323"/>
      <c r="DL229" s="323"/>
      <c r="DM229" s="323"/>
      <c r="DN229" s="323"/>
      <c r="DO229" s="323"/>
      <c r="DP229" s="323"/>
      <c r="DQ229" s="323"/>
    </row>
    <row r="230" spans="2:121">
      <c r="B230" s="283" t="s">
        <v>63</v>
      </c>
      <c r="C230" s="284">
        <f t="shared" si="49"/>
        <v>22721.349938577536</v>
      </c>
      <c r="D230" s="288">
        <f t="shared" si="50"/>
        <v>24743.333333333332</v>
      </c>
      <c r="E230" s="326">
        <f t="shared" si="51"/>
        <v>0.72315617901011031</v>
      </c>
      <c r="F230" s="326">
        <f t="shared" si="52"/>
        <v>0.44957806816650953</v>
      </c>
      <c r="G230" s="327">
        <f t="shared" si="53"/>
        <v>16431.084603533334</v>
      </c>
      <c r="H230" s="358">
        <f t="shared" si="54"/>
        <v>11124.06</v>
      </c>
      <c r="I230" s="330">
        <f t="shared" si="55"/>
        <v>35.930838551270632</v>
      </c>
      <c r="DK230" s="323"/>
      <c r="DL230" s="323"/>
      <c r="DM230" s="323"/>
      <c r="DN230" s="323"/>
      <c r="DO230" s="323"/>
      <c r="DP230" s="323"/>
      <c r="DQ230" s="323"/>
    </row>
    <row r="231" spans="2:121">
      <c r="B231" s="283" t="s">
        <v>61</v>
      </c>
      <c r="C231" s="284">
        <f t="shared" si="49"/>
        <v>35880.795682208314</v>
      </c>
      <c r="D231" s="288">
        <f t="shared" si="50"/>
        <v>34152.333333333336</v>
      </c>
      <c r="E231" s="326">
        <f t="shared" si="51"/>
        <v>0.22460027645516398</v>
      </c>
      <c r="F231" s="326">
        <f t="shared" si="52"/>
        <v>0.20810554671715939</v>
      </c>
      <c r="G231" s="327">
        <f t="shared" si="53"/>
        <v>8058.8366296552413</v>
      </c>
      <c r="H231" s="358">
        <f t="shared" si="54"/>
        <v>7107.29</v>
      </c>
      <c r="I231" s="330">
        <f t="shared" si="55"/>
        <v>49.999276188674109</v>
      </c>
      <c r="DK231" s="323"/>
      <c r="DL231" s="323"/>
      <c r="DM231" s="323"/>
      <c r="DN231" s="323"/>
      <c r="DO231" s="323"/>
      <c r="DP231" s="323"/>
      <c r="DQ231" s="323"/>
    </row>
    <row r="232" spans="2:121">
      <c r="B232" s="283" t="s">
        <v>66</v>
      </c>
      <c r="C232" s="284">
        <f t="shared" si="49"/>
        <v>28030.383633237554</v>
      </c>
      <c r="D232" s="288">
        <f t="shared" si="50"/>
        <v>29852</v>
      </c>
      <c r="E232" s="326">
        <f t="shared" si="51"/>
        <v>0.26187298862385916</v>
      </c>
      <c r="F232" s="326">
        <f t="shared" si="52"/>
        <v>0.27299845906471931</v>
      </c>
      <c r="G232" s="327">
        <f t="shared" si="53"/>
        <v>7340.4003343092263</v>
      </c>
      <c r="H232" s="358">
        <f t="shared" si="54"/>
        <v>8149.55</v>
      </c>
      <c r="I232" s="330">
        <f t="shared" si="55"/>
        <v>43.849081040502824</v>
      </c>
      <c r="DK232" s="323"/>
      <c r="DL232" s="323"/>
      <c r="DM232" s="323"/>
      <c r="DN232" s="323"/>
      <c r="DO232" s="323"/>
      <c r="DP232" s="323"/>
      <c r="DQ232" s="323"/>
    </row>
    <row r="233" spans="2:121">
      <c r="B233" s="283" t="s">
        <v>60</v>
      </c>
      <c r="C233" s="284">
        <f t="shared" si="49"/>
        <v>0</v>
      </c>
      <c r="D233" s="288">
        <f t="shared" si="50"/>
        <v>0</v>
      </c>
      <c r="E233" s="326">
        <f t="shared" si="51"/>
        <v>0</v>
      </c>
      <c r="F233" s="326">
        <f t="shared" si="52"/>
        <v>0</v>
      </c>
      <c r="G233" s="327">
        <f t="shared" si="53"/>
        <v>0</v>
      </c>
      <c r="H233" s="358">
        <f t="shared" si="54"/>
        <v>0</v>
      </c>
      <c r="I233" s="330">
        <f t="shared" si="55"/>
        <v>0</v>
      </c>
      <c r="DK233" s="323"/>
      <c r="DL233" s="323"/>
      <c r="DM233" s="323"/>
      <c r="DN233" s="323"/>
      <c r="DO233" s="323"/>
      <c r="DP233" s="323"/>
      <c r="DQ233" s="323"/>
    </row>
    <row r="234" spans="2:121">
      <c r="B234" s="283" t="s">
        <v>62</v>
      </c>
      <c r="C234" s="284">
        <f t="shared" si="49"/>
        <v>0</v>
      </c>
      <c r="D234" s="288">
        <f t="shared" si="50"/>
        <v>0</v>
      </c>
      <c r="E234" s="326">
        <f t="shared" si="51"/>
        <v>0</v>
      </c>
      <c r="F234" s="326">
        <f t="shared" si="52"/>
        <v>0</v>
      </c>
      <c r="G234" s="327">
        <f t="shared" si="53"/>
        <v>0</v>
      </c>
      <c r="H234" s="358">
        <f t="shared" si="54"/>
        <v>0</v>
      </c>
      <c r="I234" s="330">
        <f t="shared" si="55"/>
        <v>0</v>
      </c>
      <c r="DK234" s="323"/>
      <c r="DL234" s="323"/>
      <c r="DM234" s="323"/>
      <c r="DN234" s="323"/>
      <c r="DO234" s="323"/>
      <c r="DP234" s="323"/>
      <c r="DQ234" s="323"/>
    </row>
    <row r="235" spans="2:121">
      <c r="B235" s="283" t="s">
        <v>262</v>
      </c>
      <c r="C235" s="284">
        <f t="shared" si="49"/>
        <v>13124.921739803489</v>
      </c>
      <c r="D235" s="288">
        <f t="shared" si="50"/>
        <v>15126.333333333334</v>
      </c>
      <c r="E235" s="326">
        <f t="shared" si="51"/>
        <v>0.33232891143863086</v>
      </c>
      <c r="F235" s="326">
        <f t="shared" si="52"/>
        <v>0.29033848255801137</v>
      </c>
      <c r="G235" s="327">
        <f t="shared" si="53"/>
        <v>4361.7909545061148</v>
      </c>
      <c r="H235" s="358">
        <f t="shared" si="54"/>
        <v>4391.7566666666662</v>
      </c>
      <c r="I235" s="330">
        <f t="shared" si="55"/>
        <v>22.321553940260724</v>
      </c>
      <c r="DK235" s="323"/>
      <c r="DL235" s="323"/>
      <c r="DM235" s="323"/>
      <c r="DN235" s="323"/>
      <c r="DO235" s="323"/>
      <c r="DP235" s="323"/>
      <c r="DQ235" s="323"/>
    </row>
    <row r="236" spans="2:121">
      <c r="B236" s="283" t="s">
        <v>326</v>
      </c>
      <c r="C236" s="284">
        <f t="shared" si="49"/>
        <v>0</v>
      </c>
      <c r="D236" s="288">
        <f t="shared" si="50"/>
        <v>0</v>
      </c>
      <c r="E236" s="326">
        <f t="shared" si="51"/>
        <v>0</v>
      </c>
      <c r="F236" s="326">
        <f t="shared" si="52"/>
        <v>0</v>
      </c>
      <c r="G236" s="327">
        <f t="shared" si="53"/>
        <v>0</v>
      </c>
      <c r="H236" s="358">
        <f t="shared" si="54"/>
        <v>-5150.1866666666674</v>
      </c>
      <c r="I236" s="330">
        <f t="shared" si="55"/>
        <v>0</v>
      </c>
      <c r="DK236" s="323"/>
      <c r="DL236" s="323"/>
      <c r="DM236" s="323"/>
      <c r="DN236" s="323"/>
      <c r="DO236" s="323"/>
      <c r="DP236" s="323"/>
      <c r="DQ236" s="323"/>
    </row>
    <row r="237" spans="2:121">
      <c r="B237" s="283" t="s">
        <v>72</v>
      </c>
      <c r="C237" s="284">
        <f t="shared" si="49"/>
        <v>3005.1728368252529</v>
      </c>
      <c r="D237" s="288">
        <f t="shared" si="50"/>
        <v>3152.3333333333335</v>
      </c>
      <c r="E237" s="326">
        <f t="shared" si="51"/>
        <v>0.16063667417559663</v>
      </c>
      <c r="F237" s="326">
        <f t="shared" si="52"/>
        <v>0.16522470127947553</v>
      </c>
      <c r="G237" s="327">
        <f t="shared" si="53"/>
        <v>482.74096983045155</v>
      </c>
      <c r="H237" s="358">
        <f t="shared" si="54"/>
        <v>520.84333333333336</v>
      </c>
      <c r="I237" s="330">
        <f t="shared" si="55"/>
        <v>4.6013749273266917</v>
      </c>
    </row>
    <row r="238" spans="2:121">
      <c r="B238" s="283" t="s">
        <v>54</v>
      </c>
      <c r="C238" s="284">
        <f t="shared" si="49"/>
        <v>6035.347638411974</v>
      </c>
      <c r="D238" s="288">
        <f t="shared" si="50"/>
        <v>6327.666666666667</v>
      </c>
      <c r="E238" s="326">
        <f t="shared" si="51"/>
        <v>0.67315550127621226</v>
      </c>
      <c r="F238" s="326">
        <f t="shared" si="52"/>
        <v>0.3493004266975715</v>
      </c>
      <c r="G238" s="327">
        <f t="shared" si="53"/>
        <v>4062.7274649114165</v>
      </c>
      <c r="H238" s="358">
        <f t="shared" si="54"/>
        <v>2210.2566666666667</v>
      </c>
      <c r="I238" s="330">
        <f t="shared" si="55"/>
        <v>9.2773795801759036</v>
      </c>
      <c r="DK238" s="323"/>
      <c r="DL238" s="323"/>
      <c r="DM238" s="323"/>
      <c r="DN238" s="323"/>
      <c r="DO238" s="323"/>
      <c r="DP238" s="323"/>
      <c r="DQ238" s="323"/>
    </row>
    <row r="239" spans="2:121">
      <c r="B239" s="283" t="s">
        <v>269</v>
      </c>
      <c r="C239" s="284">
        <f t="shared" si="49"/>
        <v>6376.1128769749384</v>
      </c>
      <c r="D239" s="288">
        <f t="shared" si="50"/>
        <v>12008.666666666666</v>
      </c>
      <c r="E239" s="326">
        <f t="shared" si="51"/>
        <v>0.19158640594172624</v>
      </c>
      <c r="F239" s="326">
        <f t="shared" si="52"/>
        <v>0.12319546993837786</v>
      </c>
      <c r="G239" s="327">
        <f t="shared" si="53"/>
        <v>1221.5765499783886</v>
      </c>
      <c r="H239" s="358">
        <f t="shared" si="54"/>
        <v>1479.4133333333336</v>
      </c>
      <c r="I239" s="330">
        <f t="shared" si="55"/>
        <v>17.197058945107795</v>
      </c>
      <c r="DK239" s="323"/>
      <c r="DL239" s="323"/>
      <c r="DM239" s="323"/>
      <c r="DN239" s="323"/>
      <c r="DO239" s="323"/>
      <c r="DP239" s="323"/>
      <c r="DQ239" s="323"/>
    </row>
    <row r="240" spans="2:121">
      <c r="B240" s="283" t="s">
        <v>274</v>
      </c>
      <c r="C240" s="284">
        <f t="shared" si="49"/>
        <v>0</v>
      </c>
      <c r="D240" s="288">
        <f t="shared" si="50"/>
        <v>0</v>
      </c>
      <c r="E240" s="326">
        <f t="shared" si="51"/>
        <v>0</v>
      </c>
      <c r="F240" s="326">
        <f t="shared" si="52"/>
        <v>0</v>
      </c>
      <c r="G240" s="327">
        <f t="shared" si="53"/>
        <v>0</v>
      </c>
      <c r="H240" s="358">
        <f t="shared" si="54"/>
        <v>0</v>
      </c>
      <c r="I240" s="330">
        <f t="shared" si="55"/>
        <v>0</v>
      </c>
      <c r="DK240" s="323"/>
      <c r="DL240" s="323"/>
      <c r="DM240" s="323"/>
      <c r="DN240" s="323"/>
      <c r="DO240" s="323"/>
      <c r="DP240" s="323"/>
      <c r="DQ240" s="323"/>
    </row>
    <row r="241" spans="2:121">
      <c r="B241" s="283" t="s">
        <v>279</v>
      </c>
      <c r="C241" s="284">
        <f t="shared" si="49"/>
        <v>1076.5074210244586</v>
      </c>
      <c r="D241" s="288">
        <f t="shared" si="50"/>
        <v>910.66666666666663</v>
      </c>
      <c r="E241" s="326">
        <f t="shared" si="51"/>
        <v>1.1497686516640442</v>
      </c>
      <c r="F241" s="326">
        <f t="shared" si="52"/>
        <v>1.0138286969253296</v>
      </c>
      <c r="G241" s="327">
        <f t="shared" si="53"/>
        <v>1237.7344859776292</v>
      </c>
      <c r="H241" s="358">
        <f t="shared" si="54"/>
        <v>923.2600000000001</v>
      </c>
      <c r="I241" s="330">
        <f t="shared" si="55"/>
        <v>1.3456342464452682</v>
      </c>
      <c r="DK241" s="323"/>
      <c r="DL241" s="323"/>
      <c r="DM241" s="323"/>
      <c r="DN241" s="323"/>
      <c r="DO241" s="323"/>
      <c r="DP241" s="323"/>
      <c r="DQ241" s="323"/>
    </row>
    <row r="242" spans="2:121">
      <c r="B242" s="283" t="s">
        <v>65</v>
      </c>
      <c r="C242" s="284">
        <f t="shared" si="49"/>
        <v>14129.572373903045</v>
      </c>
      <c r="D242" s="288">
        <f t="shared" si="50"/>
        <v>10211.666666666666</v>
      </c>
      <c r="E242" s="326">
        <f t="shared" si="51"/>
        <v>0.16866399999999998</v>
      </c>
      <c r="F242" s="326">
        <f t="shared" si="52"/>
        <v>0.10332071160437409</v>
      </c>
      <c r="G242" s="327">
        <f t="shared" si="53"/>
        <v>2383.1501948719829</v>
      </c>
      <c r="H242" s="358">
        <f t="shared" si="54"/>
        <v>1055.0766666666666</v>
      </c>
      <c r="I242" s="330">
        <f t="shared" si="55"/>
        <v>13.820855647823111</v>
      </c>
      <c r="DK242" s="323"/>
      <c r="DL242" s="323"/>
      <c r="DM242" s="323"/>
      <c r="DN242" s="323"/>
      <c r="DO242" s="323"/>
      <c r="DP242" s="323"/>
      <c r="DQ242" s="323"/>
    </row>
    <row r="243" spans="2:121">
      <c r="B243" s="283" t="s">
        <v>242</v>
      </c>
      <c r="C243" s="284">
        <f t="shared" si="49"/>
        <v>202856.52246687832</v>
      </c>
      <c r="D243" s="288">
        <f t="shared" si="50"/>
        <v>281713.33333333331</v>
      </c>
      <c r="E243" s="326">
        <f t="shared" si="51"/>
        <v>0.14487463724373464</v>
      </c>
      <c r="F243" s="326">
        <f t="shared" si="52"/>
        <v>0.14288166457628323</v>
      </c>
      <c r="G243" s="327">
        <f t="shared" si="53"/>
        <v>29388.765104914502</v>
      </c>
      <c r="H243" s="358">
        <f t="shared" si="54"/>
        <v>40251.67</v>
      </c>
      <c r="I243" s="330">
        <f t="shared" si="55"/>
        <v>413.04929686142515</v>
      </c>
      <c r="DK243" s="323"/>
      <c r="DL243" s="323"/>
      <c r="DM243" s="323"/>
      <c r="DN243" s="323"/>
      <c r="DO243" s="323"/>
      <c r="DP243" s="323"/>
      <c r="DQ243" s="323"/>
    </row>
    <row r="244" spans="2:121">
      <c r="B244" s="283" t="s">
        <v>283</v>
      </c>
      <c r="C244" s="284">
        <f>IF($C$2=1,+C45,IF($C$2=2,+H45,IF($C$2=3,+M45,IF($C$2=4,+R45,IF($C$2=5,+W45,IF($C$2=6,+AB45,IF($C$2=7,+AG45,IF($C$2=8,+AL45,IF($C$2=9,+AQ45,IF($C$2=10,+AV45,IF($C$2=11,+BA45,IF($C$2=12,+BF45,0))))))))))))</f>
        <v>0</v>
      </c>
      <c r="D244" s="288">
        <f>IF($C$2=1,+D45,IF($C$2=2,+I45,IF($C$2=3,+N45,IF($C$2=4,+S45,IF($C$2=5,+X45,IF($C$2=6,+AC45,IF($C$2=7,+AH45,IF($C$2=8,+AM45,IF($C$2=9,+AR45,IF($C$2=10,+AW45,IF($C$2=11,+BB45,IF($C$2=12,+BG45,0))))))))))))</f>
        <v>0</v>
      </c>
      <c r="E244" s="326">
        <f t="shared" si="51"/>
        <v>0</v>
      </c>
      <c r="F244" s="326">
        <f t="shared" si="52"/>
        <v>0</v>
      </c>
      <c r="G244" s="327">
        <f>IF($C$2=1,+E45,IF($C$2=2,+J45,IF($C$2=3,+O45,IF($C$2=4,+T45,IF($C$2=5,+Y45,IF($C$2=6,+AD45,IF($C$2=7,+AG45,IF($C$2=8,+AN45,IF($C$2=9,+AS45,IF($C$2=10,+AX45,IF($C$2=11,+BC45,IF($C$2=12,+BH45,0))))))))))))</f>
        <v>0</v>
      </c>
      <c r="H244" s="358">
        <f>IF($C$2=1,+F45,IF($C$2=2,+K45,IF($C$2=3,+P45,IF($C$2=4,+U45,IF($C$2=5,+Z45,IF($C$2=6,+AE45,IF($C$2=7,+AH45,IF($C$2=8,+AO45,IF($C$2=9,+AT45,IF($C$2=10,+AY45,IF($C$2=11,+BD45,IF($C$2=12,+BI45,0))))))))))))</f>
        <v>0</v>
      </c>
      <c r="I244" s="330">
        <f>IF($C$2=1,+G45,IF($C$2=2,+L45,IF($C$2=3,+Q45,IF($C$2=4,+V45,IF($C$2=5,+AA45,IF($C$2=6,+AF45,IF($C$2=7,+AK45,IF($C$2=8,+AP45,IF($C$2=9,+AU45,IF($C$2=10,+AZ45,IF($C$2=11,+BE45,IF($C$2=12,+BJ45,0))))))))))))</f>
        <v>0</v>
      </c>
      <c r="DK244" s="323"/>
      <c r="DL244" s="323"/>
      <c r="DM244" s="323"/>
      <c r="DN244" s="323"/>
      <c r="DO244" s="323"/>
      <c r="DP244" s="323"/>
      <c r="DQ244" s="323"/>
    </row>
    <row r="245" spans="2:121">
      <c r="E245" s="326"/>
      <c r="F245" s="326"/>
      <c r="G245" s="327"/>
      <c r="H245" s="358"/>
      <c r="I245" s="330"/>
      <c r="DK245" s="323"/>
      <c r="DL245" s="323"/>
      <c r="DM245" s="323"/>
      <c r="DN245" s="323"/>
      <c r="DO245" s="323"/>
      <c r="DP245" s="323"/>
      <c r="DQ245" s="323"/>
    </row>
    <row r="246" spans="2:121">
      <c r="B246" s="283" t="s">
        <v>13</v>
      </c>
      <c r="C246" s="284">
        <f>IF($C$2=1,+C61,IF($C$2=2,+H61,IF($C$2=3,+M61,IF($C$2=4,+R61,IF($C$2=5,+W61,IF($C$2=6,+AB61,IF($C$2=7,+AG61,IF($C$2=8,+AL61,IF($C$2=9,+AQ61,IF($C$2=10,+AV61,IF($C$2=11,+BA61,IF($C$2=12,+BF61,0))))))))))))</f>
        <v>333236.68660784489</v>
      </c>
      <c r="D246" s="288">
        <f>IF($C$2=1,+D61,IF($C$2=2,+I61,IF($C$2=3,+N61,IF($C$2=4,+S61,IF($C$2=5,+X61,IF($C$2=6,+AC61,IF($C$2=7,+AH61,IF($C$2=8,+AM61,IF($C$2=9,+AR61,IF($C$2=10,+AW61,IF($C$2=11,+BB61,IF($C$2=12,+BG61,0))))))))))))</f>
        <v>418198.33333333331</v>
      </c>
      <c r="E246" s="326">
        <f>IF(C246=0,0,+G246/C246)</f>
        <v>0.2249716501974228</v>
      </c>
      <c r="F246" s="326">
        <f>IF(D246=0,0,+H246/D246)</f>
        <v>0.17231773600245495</v>
      </c>
      <c r="G246" s="327">
        <f>IF($C$2=1,+E61,IF($C$2=2,+J61,IF($C$2=3,+O61,IF($C$2=4,+T61,IF($C$2=5,+Y61,IF($C$2=6,+AD61,IF($C$2=7,+AI61,IF($C$2=8,+AN61,IF($C$2=9,+AS61,IF($C$2=10,+AX61,IF($C$2=11,+BC61,IF($C$2=12,+BH61,0))))))))))))</f>
        <v>74968.807292488287</v>
      </c>
      <c r="H246" s="358">
        <f>IF($C$2=1,+F61,IF($C$2=2,+K61,IF($C$2=3,+P61,IF($C$2=4,+U61,IF($C$2=5,+Z61,IF($C$2=6,+AE61,IF($C$2=7,+AJ61,IF($C$2=8,+AO61,IF($C$2=9,+AT61,IF($C$2=10,+AY61,IF($C$2=11,+BD61,IF($C$2=12,+BI61,0))))))))))))</f>
        <v>72062.989999999991</v>
      </c>
      <c r="I246" s="330">
        <f>IF($C$2=1,+G61,IF($C$2=2,+L61,IF($C$2=3,+Q61,IF($C$2=4,+V61,IF($C$2=5,+AA61,IF($C$2=6,+AF61,IF($C$2=7,+AK61,IF($C$2=8,+AP61,IF($C$2=9,+AU61,IF($C$2=10,+AZ61,IF($C$2=11,+BE61,IF($C$2=12,+BJ61,0))))))))))))</f>
        <v>613.55659331442678</v>
      </c>
      <c r="K246" s="326"/>
      <c r="DK246" s="323"/>
      <c r="DL246" s="323"/>
      <c r="DM246" s="323"/>
      <c r="DN246" s="323"/>
      <c r="DO246" s="323"/>
      <c r="DP246" s="323"/>
      <c r="DQ246" s="323"/>
    </row>
    <row r="247" spans="2:121">
      <c r="G247" s="327"/>
      <c r="H247" s="358"/>
      <c r="K247" s="326"/>
      <c r="DK247" s="323"/>
      <c r="DL247" s="323"/>
      <c r="DM247" s="323"/>
      <c r="DN247" s="323"/>
      <c r="DO247" s="323"/>
      <c r="DP247" s="323"/>
      <c r="DQ247" s="323"/>
    </row>
    <row r="248" spans="2:121">
      <c r="R248" s="291"/>
      <c r="U248" s="326"/>
      <c r="DK248" s="323"/>
      <c r="DL248" s="323"/>
      <c r="DM248" s="323"/>
      <c r="DN248" s="323"/>
      <c r="DO248" s="323"/>
      <c r="DP248" s="323"/>
      <c r="DQ248" s="323"/>
    </row>
    <row r="249" spans="2:121">
      <c r="D249" s="288" t="s">
        <v>230</v>
      </c>
      <c r="F249" s="286" t="s">
        <v>218</v>
      </c>
      <c r="H249" s="284" t="s">
        <v>231</v>
      </c>
    </row>
    <row r="250" spans="2:121" s="339" customFormat="1">
      <c r="B250" s="339" t="s">
        <v>243</v>
      </c>
      <c r="D250" s="330">
        <f>IF($C$2=1,+D65,IF($C$2=2,+I65,IF($C$2=3,+N65,IF($C$2=4,+S65,IF($C$2=5,+X65,IF($C$2=6,+AC65,IF($C$2=7,+AH65,IF($C$2=8,+AM65,IF($C$2=9,+AR65,IF($C$2=10,+AW65,IF($C$2=11,+BB65,IF($C$2=12,+BG65,0))))))))))))</f>
        <v>17480</v>
      </c>
      <c r="E250" s="286"/>
      <c r="F250" s="326">
        <f>IF($C$2=1,+E65,IF($C$2=2,+J65,IF($C$2=3,+O65,IF($C$2=4,+T65,IF($C$2=5,+Y65,IF($C$2=6,+AD65,IF($C$2=7,+AI65,IF($C$2=8,+AN65,IF($C$2=9,+AS65,IF($C$2=10,+AX65,IF($C$2=11,+BC65,IF($C$2=12,+BH65,0))))))))))))</f>
        <v>11326.11</v>
      </c>
      <c r="G250" s="287"/>
      <c r="H250" s="358">
        <f>IF($C$2=1,+F65,IF($C$2=2,+K65,IF($C$2=3,+P65,IF($C$2=4,+U65,IF($C$2=5,+Z65,IF($C$2=6,+AE65,IF($C$2=7,+AJ65,IF($C$2=8,+AO65,IF($C$2=9,+AT65,IF($C$2=10,+AY65,IF($C$2=11,+BD65,IF($C$2=12,+BI65,0))))))))))))</f>
        <v>13760.36</v>
      </c>
      <c r="I250" s="288"/>
      <c r="J250" s="286"/>
      <c r="K250" s="286"/>
      <c r="L250" s="289"/>
      <c r="M250" s="290"/>
      <c r="N250" s="288"/>
      <c r="O250" s="286"/>
      <c r="P250" s="286"/>
      <c r="Q250" s="287"/>
      <c r="S250" s="288"/>
      <c r="T250" s="286"/>
      <c r="U250" s="286"/>
      <c r="V250" s="287"/>
      <c r="X250" s="288"/>
      <c r="Y250" s="286"/>
      <c r="Z250" s="286"/>
      <c r="AA250" s="287"/>
      <c r="AC250" s="288"/>
      <c r="AD250" s="286"/>
      <c r="AE250" s="286"/>
      <c r="AF250" s="287"/>
      <c r="AH250" s="288"/>
      <c r="AI250" s="286"/>
      <c r="AJ250" s="286"/>
      <c r="AK250" s="287"/>
      <c r="AM250" s="288"/>
      <c r="AN250" s="286"/>
      <c r="AO250" s="286"/>
      <c r="AP250" s="287"/>
      <c r="AR250" s="288"/>
      <c r="AS250" s="286"/>
      <c r="AT250" s="286"/>
      <c r="AU250" s="287"/>
      <c r="AW250" s="288"/>
      <c r="AX250" s="286"/>
      <c r="AY250" s="286"/>
      <c r="AZ250" s="287"/>
      <c r="BB250" s="288"/>
      <c r="BC250" s="286"/>
      <c r="BD250" s="286"/>
      <c r="BE250" s="287"/>
      <c r="BG250" s="288"/>
      <c r="BH250" s="286"/>
      <c r="BI250" s="286"/>
      <c r="BJ250" s="287"/>
      <c r="BL250" s="288"/>
      <c r="BM250" s="286"/>
      <c r="BN250" s="286"/>
      <c r="BO250" s="289"/>
      <c r="DK250" s="341"/>
      <c r="DL250" s="341"/>
      <c r="DM250" s="341"/>
      <c r="DN250" s="341"/>
      <c r="DO250" s="341"/>
      <c r="DP250" s="341"/>
      <c r="DQ250" s="341"/>
    </row>
    <row r="251" spans="2:121">
      <c r="DK251" s="323"/>
      <c r="DL251" s="323"/>
      <c r="DM251" s="323"/>
      <c r="DN251" s="323"/>
      <c r="DO251" s="323"/>
      <c r="DP251" s="323"/>
      <c r="DQ251" s="323"/>
    </row>
    <row r="252" spans="2:121">
      <c r="D252" s="288" t="s">
        <v>230</v>
      </c>
      <c r="F252" s="286" t="s">
        <v>218</v>
      </c>
      <c r="H252" s="284" t="s">
        <v>231</v>
      </c>
      <c r="DK252" s="323"/>
      <c r="DL252" s="323"/>
      <c r="DM252" s="323"/>
      <c r="DN252" s="323"/>
      <c r="DO252" s="323"/>
      <c r="DP252" s="323"/>
      <c r="DQ252" s="323"/>
    </row>
    <row r="253" spans="2:121" s="344" customFormat="1">
      <c r="B253" s="344" t="s">
        <v>296</v>
      </c>
      <c r="D253" s="330">
        <f>IF($C$2=1,+D66,IF($C$2=2,+I66,IF($C$2=3,+N66,IF($C$2=4,+S66,IF($C$2=5,+X66,IF($C$2=6,+AC66,IF($C$2=7,+AH66,IF($C$2=8,+AM66,IF($C$2=9,+AR66,IF($C$2=10,+AW66,IF($C$2=11,+BB66,IF($C$2=12,+BG66,0))))))))))))</f>
        <v>759.42440568682593</v>
      </c>
      <c r="E253" s="286"/>
      <c r="F253" s="326">
        <f>IF($C$2=1,+E66,IF($C$2=2,+J66,IF($C$2=3,+O66,IF($C$2=4,+T66,IF($C$2=5,+Y66,IF($C$2=6,+AD66,IF($C$2=7,+AI66,IF($C$2=8,+AN66,IF($C$2=9,+AS66,IF($C$2=10,+AX66,IF($C$2=11,+BC66,IF($C$2=12,+BH66,0))))))))))))</f>
        <v>681.59699999999998</v>
      </c>
      <c r="G253" s="287"/>
      <c r="H253" s="358">
        <f>IF($C$2=1,+F66,IF($C$2=2,+K66,IF($C$2=3,+P66,IF($C$2=4,+U66,IF($C$2=5,+Z66,IF($C$2=6,+AE66,IF($C$2=7,+AJ66,IF($C$2=8,+AO66,IF($C$2=9,+AT66,IF($C$2=10,+AY66,IF($C$2=11,+BD66,IF($C$2=12,+BI66,0))))))))))))</f>
        <v>799.09940568682589</v>
      </c>
      <c r="I253" s="288"/>
      <c r="J253" s="286"/>
      <c r="K253" s="286"/>
      <c r="L253" s="333"/>
      <c r="M253" s="334"/>
      <c r="N253" s="330"/>
      <c r="O253" s="361"/>
      <c r="P253" s="326"/>
      <c r="Q253" s="332"/>
      <c r="R253" s="345"/>
      <c r="S253" s="288"/>
      <c r="T253" s="286"/>
      <c r="U253" s="326"/>
      <c r="V253" s="287"/>
      <c r="X253" s="288"/>
      <c r="Y253" s="286"/>
      <c r="Z253" s="286"/>
      <c r="AA253" s="287"/>
      <c r="AC253" s="288"/>
      <c r="AD253" s="286"/>
      <c r="AE253" s="286"/>
      <c r="AF253" s="287"/>
      <c r="AH253" s="288"/>
      <c r="AI253" s="286"/>
      <c r="AJ253" s="286"/>
      <c r="AK253" s="287"/>
      <c r="AM253" s="288"/>
      <c r="AN253" s="286"/>
      <c r="AO253" s="286"/>
      <c r="AP253" s="287"/>
      <c r="AR253" s="288"/>
      <c r="AS253" s="286"/>
      <c r="AT253" s="286"/>
      <c r="AU253" s="287"/>
      <c r="AW253" s="288"/>
      <c r="AX253" s="286"/>
      <c r="AY253" s="286"/>
      <c r="AZ253" s="287"/>
      <c r="BB253" s="288"/>
      <c r="BC253" s="286"/>
      <c r="BD253" s="286"/>
      <c r="BE253" s="287"/>
      <c r="BG253" s="288"/>
      <c r="BH253" s="286"/>
      <c r="BI253" s="286"/>
      <c r="BJ253" s="287"/>
      <c r="BL253" s="288"/>
      <c r="BM253" s="286"/>
      <c r="BN253" s="286"/>
      <c r="BO253" s="289"/>
      <c r="DK253" s="349"/>
      <c r="DL253" s="349"/>
      <c r="DM253" s="349"/>
      <c r="DN253" s="349"/>
      <c r="DO253" s="349"/>
      <c r="DP253" s="349"/>
      <c r="DQ253" s="349"/>
    </row>
    <row r="254" spans="2:121">
      <c r="F254" s="286">
        <f>F253-D253</f>
        <v>-77.827405686825955</v>
      </c>
      <c r="DK254" s="323"/>
      <c r="DL254" s="323"/>
      <c r="DM254" s="323"/>
      <c r="DN254" s="323"/>
      <c r="DO254" s="323"/>
      <c r="DP254" s="323"/>
      <c r="DQ254" s="323"/>
    </row>
    <row r="255" spans="2:121" s="331" customFormat="1">
      <c r="B255" s="331" t="s">
        <v>233</v>
      </c>
      <c r="D255" s="330">
        <f>IF($C$2=1,+D64,IF($C$2=2,+I64,IF($C$2=3,+N64,IF($C$2=4,+S64,IF($C$2=5,+X64,IF($C$2=6,+AC64,IF($C$2=7,+AH64,IF($C$2=8,+AM64,IF($C$2=9,+AR64,IF($C$2=10,+AW64,IF($C$2=11,+BB64,IF($C$2=12,+BG64,0))))))))))))</f>
        <v>29.108888888888885</v>
      </c>
      <c r="E255" s="286"/>
      <c r="F255" s="326">
        <f>IF($C$2=1,+E64,IF($C$2=2,+J64,IF($C$2=3,+O64,IF($C$2=4,+T64,IF($C$2=5,+Y64,IF($C$2=6,+AD64,IF($C$2=7,+AI64,IF($C$2=8,+AN64,IF($C$2=9,+AS64,IF($C$2=10,+AX64,IF($C$2=11,+BC64,IF($C$2=12,+BH64,0))))))))))))</f>
        <v>67.653333333333336</v>
      </c>
      <c r="G255" s="287"/>
      <c r="H255" s="358">
        <f>IF($C$2=1,+F64,IF($C$2=2,+K64,IF($C$2=3,+P64,IF($C$2=4,+U64,IF($C$2=5,+Z64,IF($C$2=6,+AE64,IF($C$2=7,+AJ64,IF($C$2=8,+AO64,IF($C$2=9,+AT64,IF($C$2=10,+AY64,IF($C$2=11,+BD64,IF($C$2=12,+BI64,0))))))))))))</f>
        <v>57.366666666666667</v>
      </c>
      <c r="I255" s="288"/>
      <c r="J255" s="286"/>
      <c r="K255" s="286"/>
      <c r="L255" s="289"/>
      <c r="M255" s="290"/>
      <c r="N255" s="288"/>
      <c r="O255" s="286"/>
      <c r="P255" s="286"/>
      <c r="Q255" s="287"/>
      <c r="S255" s="288"/>
      <c r="T255" s="286"/>
      <c r="U255" s="286"/>
      <c r="V255" s="287"/>
      <c r="X255" s="288"/>
      <c r="Y255" s="286"/>
      <c r="Z255" s="286"/>
      <c r="AA255" s="287"/>
      <c r="AC255" s="288"/>
      <c r="AD255" s="286"/>
      <c r="AE255" s="286"/>
      <c r="AF255" s="287"/>
      <c r="AH255" s="288"/>
      <c r="AI255" s="286"/>
      <c r="AJ255" s="286"/>
      <c r="AK255" s="287"/>
      <c r="AM255" s="288"/>
      <c r="AN255" s="286"/>
      <c r="AO255" s="286"/>
      <c r="AP255" s="287"/>
      <c r="AR255" s="288"/>
      <c r="AS255" s="286"/>
      <c r="AT255" s="286"/>
      <c r="AU255" s="287"/>
      <c r="AW255" s="288"/>
      <c r="AX255" s="286"/>
      <c r="AY255" s="286"/>
      <c r="AZ255" s="287"/>
      <c r="BB255" s="288"/>
      <c r="BC255" s="286"/>
      <c r="BD255" s="286"/>
      <c r="BE255" s="287"/>
      <c r="BG255" s="288"/>
      <c r="BH255" s="286"/>
      <c r="BI255" s="286"/>
      <c r="BJ255" s="287"/>
      <c r="BL255" s="288"/>
      <c r="BM255" s="286"/>
      <c r="BN255" s="286"/>
      <c r="BO255" s="289"/>
      <c r="DK255" s="336"/>
      <c r="DL255" s="336"/>
      <c r="DM255" s="336"/>
      <c r="DN255" s="336"/>
      <c r="DO255" s="336"/>
      <c r="DP255" s="336"/>
      <c r="DQ255" s="336"/>
    </row>
    <row r="256" spans="2:121">
      <c r="DK256" s="323"/>
      <c r="DL256" s="323"/>
      <c r="DM256" s="323"/>
      <c r="DN256" s="323"/>
      <c r="DO256" s="323"/>
      <c r="DP256" s="323"/>
      <c r="DQ256" s="323"/>
    </row>
    <row r="257" spans="1:121" s="339" customFormat="1">
      <c r="B257" s="339" t="s">
        <v>252</v>
      </c>
      <c r="D257" s="330">
        <f>IF($C$2=1,+D67,IF($C$2=2,+I67,IF($C$2=3,+N67,IF($C$2=4,+S67,IF($C$2=5,+X67,IF($C$2=6,+AC67,IF($C$2=7,+AH67,IF($C$2=8,+AM67,IF($C$2=9,+AR67,IF($C$2=10,+AW67,IF($C$2=11,+BB67,IF($C$2=12,+BG67,0))))))))))))</f>
        <v>103.35748335354123</v>
      </c>
      <c r="E257" s="361"/>
      <c r="F257" s="326">
        <f>IF($C$2=1,+E67,IF($C$2=2,+J67,IF($C$2=3,+O67,IF($C$2=4,+T67,IF($C$2=5,+Y67,IF($C$2=6,+AD67,IF($C$2=7,+AI67,IF($C$2=8,+AN67,IF($C$2=9,+AS67,IF($C$2=10,+AX67,IF($C$2=11,+BC67,IF($C$2=12,+BH67,0))))))))))))</f>
        <v>106.37912472410189</v>
      </c>
      <c r="G257" s="332"/>
      <c r="H257" s="358">
        <f>IF($C$2=1,+F67,IF($C$2=2,+K67,IF($C$2=3,+P67,IF($C$2=4,+U67,IF($C$2=5,+Z67,IF($C$2=6,+AE67,IF($C$2=7,+AJ67,IF($C$2=8,+AO67,IF($C$2=9,+AT67,IF($C$2=10,+AY67,IF($C$2=11,+BD67,IF($C$2=12,+BI67,0))))))))))))</f>
        <v>109.89195582634579</v>
      </c>
      <c r="I257" s="288"/>
      <c r="J257" s="286"/>
      <c r="K257" s="286"/>
      <c r="L257" s="289"/>
      <c r="M257" s="290"/>
      <c r="N257" s="288"/>
      <c r="O257" s="286"/>
      <c r="P257" s="286"/>
      <c r="Q257" s="287"/>
      <c r="S257" s="288"/>
      <c r="T257" s="286"/>
      <c r="U257" s="286"/>
      <c r="V257" s="287"/>
      <c r="X257" s="288"/>
      <c r="Y257" s="286"/>
      <c r="Z257" s="286"/>
      <c r="AA257" s="287"/>
      <c r="AC257" s="288"/>
      <c r="AD257" s="286"/>
      <c r="AE257" s="286"/>
      <c r="AF257" s="287"/>
      <c r="AH257" s="288"/>
      <c r="AI257" s="286"/>
      <c r="AJ257" s="286"/>
      <c r="AK257" s="287"/>
      <c r="AM257" s="288"/>
      <c r="AN257" s="286"/>
      <c r="AO257" s="286"/>
      <c r="AP257" s="287"/>
      <c r="AR257" s="288"/>
      <c r="AS257" s="286"/>
      <c r="AT257" s="286"/>
      <c r="AU257" s="287"/>
      <c r="AW257" s="288"/>
      <c r="AX257" s="286"/>
      <c r="AY257" s="286"/>
      <c r="AZ257" s="287"/>
      <c r="BB257" s="288"/>
      <c r="BC257" s="286"/>
      <c r="BD257" s="286"/>
      <c r="BE257" s="287"/>
      <c r="BG257" s="288"/>
      <c r="BH257" s="286"/>
      <c r="BI257" s="286"/>
      <c r="BJ257" s="287"/>
      <c r="BL257" s="288"/>
      <c r="BM257" s="286"/>
      <c r="BN257" s="286"/>
      <c r="BO257" s="289"/>
      <c r="DK257" s="341"/>
      <c r="DL257" s="341"/>
      <c r="DM257" s="341"/>
      <c r="DN257" s="341"/>
      <c r="DO257" s="341"/>
      <c r="DP257" s="341"/>
      <c r="DQ257" s="341"/>
    </row>
    <row r="258" spans="1:121" s="339" customFormat="1">
      <c r="D258" s="288"/>
      <c r="E258" s="286"/>
      <c r="F258" s="286"/>
      <c r="G258" s="287"/>
      <c r="H258" s="284"/>
      <c r="I258" s="288"/>
      <c r="J258" s="286"/>
      <c r="K258" s="286"/>
      <c r="L258" s="289"/>
      <c r="M258" s="290"/>
      <c r="N258" s="288"/>
      <c r="O258" s="286"/>
      <c r="P258" s="286"/>
      <c r="Q258" s="287"/>
      <c r="S258" s="288"/>
      <c r="T258" s="286"/>
      <c r="U258" s="286"/>
      <c r="V258" s="287"/>
      <c r="X258" s="288"/>
      <c r="Y258" s="286"/>
      <c r="Z258" s="286"/>
      <c r="AA258" s="287"/>
      <c r="AC258" s="288"/>
      <c r="AD258" s="286"/>
      <c r="AE258" s="286"/>
      <c r="AF258" s="287"/>
      <c r="AH258" s="288"/>
      <c r="AI258" s="286"/>
      <c r="AJ258" s="286"/>
      <c r="AK258" s="287"/>
      <c r="AM258" s="288"/>
      <c r="AN258" s="286"/>
      <c r="AO258" s="286"/>
      <c r="AP258" s="287"/>
      <c r="AR258" s="288"/>
      <c r="AS258" s="286"/>
      <c r="AT258" s="286"/>
      <c r="AU258" s="287"/>
      <c r="AW258" s="288"/>
      <c r="AX258" s="286"/>
      <c r="AY258" s="286"/>
      <c r="AZ258" s="287"/>
      <c r="BB258" s="288"/>
      <c r="BC258" s="286"/>
      <c r="BD258" s="286"/>
      <c r="BE258" s="287"/>
      <c r="BG258" s="288"/>
      <c r="BH258" s="286"/>
      <c r="BI258" s="286"/>
      <c r="BJ258" s="287"/>
      <c r="BL258" s="288"/>
      <c r="BM258" s="286"/>
      <c r="BN258" s="286"/>
      <c r="BO258" s="289"/>
      <c r="DK258" s="341"/>
      <c r="DL258" s="341"/>
      <c r="DM258" s="341"/>
      <c r="DN258" s="341"/>
      <c r="DO258" s="341"/>
      <c r="DP258" s="341"/>
      <c r="DQ258" s="341"/>
    </row>
    <row r="259" spans="1:121" s="339" customFormat="1">
      <c r="A259" s="341" t="s">
        <v>192</v>
      </c>
      <c r="B259" s="339" t="s">
        <v>378</v>
      </c>
      <c r="D259" s="288"/>
      <c r="E259" s="286"/>
      <c r="F259" s="286"/>
      <c r="G259" s="287"/>
      <c r="H259" s="284"/>
      <c r="I259" s="288"/>
      <c r="J259" s="286"/>
      <c r="K259" s="286"/>
      <c r="L259" s="289"/>
      <c r="M259" s="290"/>
      <c r="N259" s="288"/>
      <c r="O259" s="286"/>
      <c r="P259" s="286"/>
      <c r="Q259" s="287"/>
      <c r="S259" s="288"/>
      <c r="T259" s="286"/>
      <c r="U259" s="286"/>
      <c r="V259" s="287"/>
      <c r="X259" s="288"/>
      <c r="Y259" s="286"/>
      <c r="Z259" s="286"/>
      <c r="AA259" s="287"/>
      <c r="AC259" s="288"/>
      <c r="AD259" s="286"/>
      <c r="AE259" s="286"/>
      <c r="AF259" s="287"/>
      <c r="AH259" s="288"/>
      <c r="AI259" s="286"/>
      <c r="AJ259" s="286"/>
      <c r="AK259" s="287"/>
      <c r="AM259" s="288"/>
      <c r="AN259" s="286"/>
      <c r="AO259" s="286"/>
      <c r="AP259" s="287"/>
      <c r="AR259" s="288"/>
      <c r="AS259" s="286"/>
      <c r="AT259" s="286"/>
      <c r="AU259" s="287"/>
      <c r="AW259" s="288"/>
      <c r="AX259" s="286"/>
      <c r="AY259" s="286"/>
      <c r="AZ259" s="287"/>
      <c r="BB259" s="288"/>
      <c r="BC259" s="286"/>
      <c r="BD259" s="286"/>
      <c r="BE259" s="287"/>
      <c r="BG259" s="288"/>
      <c r="BH259" s="286"/>
      <c r="BI259" s="286"/>
      <c r="BJ259" s="287"/>
      <c r="BL259" s="288"/>
      <c r="BM259" s="286"/>
      <c r="BN259" s="286"/>
      <c r="BO259" s="289"/>
      <c r="DK259" s="341"/>
      <c r="DL259" s="341"/>
      <c r="DM259" s="341"/>
      <c r="DN259" s="341"/>
      <c r="DO259" s="341"/>
      <c r="DP259" s="341"/>
      <c r="DQ259" s="341"/>
    </row>
    <row r="260" spans="1:121" s="339" customFormat="1">
      <c r="A260" s="341" t="s">
        <v>192</v>
      </c>
      <c r="B260" s="339" t="s">
        <v>379</v>
      </c>
      <c r="D260" s="288"/>
      <c r="E260" s="286"/>
      <c r="F260" s="286"/>
      <c r="G260" s="327">
        <f>IF(D253=0,0,(F253-D253)*(C246/D253)*E246)</f>
        <v>-7682.9605887278622</v>
      </c>
      <c r="H260" s="284">
        <f>G260/H246</f>
        <v>-0.10661451306319462</v>
      </c>
      <c r="I260" s="288"/>
      <c r="J260" s="286"/>
      <c r="K260" s="286"/>
      <c r="L260" s="289"/>
      <c r="M260" s="290"/>
      <c r="N260" s="288"/>
      <c r="O260" s="286"/>
      <c r="P260" s="286"/>
      <c r="Q260" s="287"/>
      <c r="S260" s="288"/>
      <c r="T260" s="286"/>
      <c r="U260" s="286"/>
      <c r="V260" s="287"/>
      <c r="X260" s="288"/>
      <c r="Y260" s="286"/>
      <c r="Z260" s="286"/>
      <c r="AA260" s="287"/>
      <c r="AC260" s="288"/>
      <c r="AD260" s="286"/>
      <c r="AE260" s="286"/>
      <c r="AF260" s="287"/>
      <c r="AH260" s="288"/>
      <c r="AI260" s="286"/>
      <c r="AJ260" s="286"/>
      <c r="AK260" s="287"/>
      <c r="AM260" s="288"/>
      <c r="AN260" s="286"/>
      <c r="AO260" s="286"/>
      <c r="AP260" s="287"/>
      <c r="AR260" s="288"/>
      <c r="AS260" s="286"/>
      <c r="AT260" s="286"/>
      <c r="AU260" s="287"/>
      <c r="AW260" s="288"/>
      <c r="AX260" s="286"/>
      <c r="AY260" s="286"/>
      <c r="AZ260" s="287"/>
      <c r="BB260" s="288"/>
      <c r="BC260" s="286"/>
      <c r="BD260" s="286"/>
      <c r="BE260" s="287"/>
      <c r="BG260" s="288"/>
      <c r="BH260" s="286"/>
      <c r="BI260" s="286"/>
      <c r="BJ260" s="287"/>
      <c r="BL260" s="288"/>
      <c r="BM260" s="286"/>
      <c r="BN260" s="286"/>
      <c r="BO260" s="289"/>
      <c r="DK260" s="341"/>
      <c r="DL260" s="341"/>
      <c r="DM260" s="341"/>
      <c r="DN260" s="341"/>
      <c r="DO260" s="341"/>
      <c r="DP260" s="341"/>
      <c r="DQ260" s="341"/>
    </row>
    <row r="261" spans="1:121" s="339" customFormat="1">
      <c r="A261" s="341" t="s">
        <v>192</v>
      </c>
      <c r="B261" s="339" t="s">
        <v>380</v>
      </c>
      <c r="D261" s="288"/>
      <c r="E261" s="286"/>
      <c r="F261" s="286"/>
      <c r="G261" s="327">
        <f>IF(D253=0,0,(D246/F253-C246/D253)*(F253*E246))</f>
        <v>26796.922456051456</v>
      </c>
      <c r="H261" s="284">
        <f>G261/H246</f>
        <v>0.3718541578145933</v>
      </c>
      <c r="I261" s="288"/>
      <c r="J261" s="286"/>
      <c r="K261" s="286"/>
      <c r="L261" s="289"/>
      <c r="M261" s="290"/>
      <c r="N261" s="288"/>
      <c r="O261" s="286"/>
      <c r="P261" s="286"/>
      <c r="Q261" s="287"/>
      <c r="S261" s="288"/>
      <c r="T261" s="286"/>
      <c r="U261" s="286"/>
      <c r="V261" s="287"/>
      <c r="X261" s="288"/>
      <c r="Y261" s="286"/>
      <c r="Z261" s="286"/>
      <c r="AA261" s="287"/>
      <c r="AC261" s="288"/>
      <c r="AD261" s="286"/>
      <c r="AE261" s="286"/>
      <c r="AF261" s="287"/>
      <c r="AH261" s="288"/>
      <c r="AI261" s="286"/>
      <c r="AJ261" s="286"/>
      <c r="AK261" s="287"/>
      <c r="AM261" s="288"/>
      <c r="AN261" s="286"/>
      <c r="AO261" s="286"/>
      <c r="AP261" s="287"/>
      <c r="AR261" s="288"/>
      <c r="AS261" s="286"/>
      <c r="AT261" s="286"/>
      <c r="AU261" s="287"/>
      <c r="AW261" s="288"/>
      <c r="AX261" s="286"/>
      <c r="AY261" s="286"/>
      <c r="AZ261" s="287"/>
      <c r="BB261" s="288"/>
      <c r="BC261" s="286"/>
      <c r="BD261" s="286"/>
      <c r="BE261" s="287"/>
      <c r="BG261" s="288"/>
      <c r="BH261" s="286" t="s">
        <v>421</v>
      </c>
      <c r="BI261" s="286"/>
      <c r="BJ261" s="287"/>
      <c r="BL261" s="288"/>
      <c r="BM261" s="286"/>
      <c r="BN261" s="286"/>
      <c r="BO261" s="289"/>
      <c r="DK261" s="341"/>
      <c r="DL261" s="341"/>
      <c r="DM261" s="341"/>
      <c r="DN261" s="341"/>
      <c r="DO261" s="341"/>
      <c r="DP261" s="341"/>
      <c r="DQ261" s="341"/>
    </row>
    <row r="262" spans="1:121" s="339" customFormat="1">
      <c r="A262" s="341" t="s">
        <v>192</v>
      </c>
      <c r="B262" s="339" t="s">
        <v>381</v>
      </c>
      <c r="D262" s="288"/>
      <c r="E262" s="286"/>
      <c r="F262" s="286"/>
      <c r="G262" s="327">
        <f>(F246-E246)*D246</f>
        <v>-22019.779159811893</v>
      </c>
      <c r="H262" s="284">
        <f>G262/H246</f>
        <v>-0.30556294097444325</v>
      </c>
      <c r="I262" s="288"/>
      <c r="J262" s="286"/>
      <c r="K262" s="286"/>
      <c r="L262" s="289"/>
      <c r="M262" s="290"/>
      <c r="N262" s="288"/>
      <c r="O262" s="286"/>
      <c r="P262" s="286"/>
      <c r="Q262" s="287"/>
      <c r="S262" s="288"/>
      <c r="T262" s="286"/>
      <c r="U262" s="286"/>
      <c r="V262" s="287"/>
      <c r="X262" s="288"/>
      <c r="Y262" s="286"/>
      <c r="Z262" s="286"/>
      <c r="AA262" s="287"/>
      <c r="AC262" s="288"/>
      <c r="AD262" s="286"/>
      <c r="AE262" s="286"/>
      <c r="AF262" s="287"/>
      <c r="AH262" s="288"/>
      <c r="AI262" s="286"/>
      <c r="AJ262" s="286"/>
      <c r="AK262" s="287"/>
      <c r="AM262" s="288"/>
      <c r="AN262" s="286"/>
      <c r="AO262" s="286"/>
      <c r="AP262" s="287"/>
      <c r="AR262" s="288"/>
      <c r="AS262" s="286"/>
      <c r="AT262" s="286"/>
      <c r="AU262" s="287"/>
      <c r="AW262" s="288"/>
      <c r="AX262" s="286"/>
      <c r="AY262" s="286"/>
      <c r="AZ262" s="287"/>
      <c r="BB262" s="288"/>
      <c r="BC262" s="286"/>
      <c r="BD262" s="286"/>
      <c r="BE262" s="287"/>
      <c r="BG262" s="288"/>
      <c r="BH262" s="286"/>
      <c r="BI262" s="286"/>
      <c r="BJ262" s="287"/>
      <c r="BL262" s="288"/>
      <c r="BM262" s="286"/>
      <c r="BN262" s="286"/>
      <c r="BO262" s="289"/>
      <c r="DK262" s="341"/>
      <c r="DL262" s="341"/>
      <c r="DM262" s="341"/>
      <c r="DN262" s="341"/>
      <c r="DO262" s="341"/>
      <c r="DP262" s="341"/>
      <c r="DQ262" s="341"/>
    </row>
    <row r="263" spans="1:121" s="339" customFormat="1">
      <c r="A263" s="341" t="s">
        <v>192</v>
      </c>
      <c r="B263" s="339" t="s">
        <v>382</v>
      </c>
      <c r="D263" s="288"/>
      <c r="E263" s="286"/>
      <c r="F263" s="286"/>
      <c r="G263" s="327">
        <f>SUM(G260:G262)</f>
        <v>-2905.8172924883002</v>
      </c>
      <c r="H263" s="284">
        <f>G263/H246</f>
        <v>-4.0323296223044598E-2</v>
      </c>
      <c r="I263" s="288"/>
      <c r="J263" s="286"/>
      <c r="K263" s="286"/>
      <c r="L263" s="289"/>
      <c r="M263" s="290"/>
      <c r="N263" s="288"/>
      <c r="O263" s="286"/>
      <c r="P263" s="286"/>
      <c r="Q263" s="287"/>
      <c r="S263" s="288"/>
      <c r="T263" s="286"/>
      <c r="U263" s="286"/>
      <c r="V263" s="287"/>
      <c r="X263" s="288"/>
      <c r="Y263" s="286"/>
      <c r="Z263" s="286"/>
      <c r="AA263" s="287"/>
      <c r="AC263" s="288"/>
      <c r="AD263" s="286"/>
      <c r="AE263" s="286"/>
      <c r="AF263" s="287"/>
      <c r="AH263" s="288"/>
      <c r="AI263" s="286"/>
      <c r="AJ263" s="286"/>
      <c r="AK263" s="287"/>
      <c r="AM263" s="288"/>
      <c r="AN263" s="286"/>
      <c r="AO263" s="286"/>
      <c r="AP263" s="287"/>
      <c r="AR263" s="288"/>
      <c r="AS263" s="286"/>
      <c r="AT263" s="286"/>
      <c r="AU263" s="287"/>
      <c r="AW263" s="288"/>
      <c r="AX263" s="286"/>
      <c r="AY263" s="286"/>
      <c r="AZ263" s="287"/>
      <c r="BB263" s="288"/>
      <c r="BC263" s="286"/>
      <c r="BD263" s="286"/>
      <c r="BE263" s="287"/>
      <c r="BG263" s="288"/>
      <c r="BH263" s="286"/>
      <c r="BI263" s="286"/>
      <c r="BJ263" s="287"/>
      <c r="BL263" s="288"/>
      <c r="BM263" s="286"/>
      <c r="BN263" s="286"/>
      <c r="BO263" s="289"/>
      <c r="DK263" s="341"/>
      <c r="DL263" s="341"/>
      <c r="DM263" s="341"/>
      <c r="DN263" s="341"/>
      <c r="DO263" s="341"/>
      <c r="DP263" s="341"/>
      <c r="DQ263" s="341"/>
    </row>
    <row r="264" spans="1:121" s="339" customFormat="1">
      <c r="D264" s="288"/>
      <c r="E264" s="286"/>
      <c r="F264" s="286"/>
      <c r="G264" s="287"/>
      <c r="H264" s="284"/>
      <c r="I264" s="288"/>
      <c r="J264" s="286"/>
      <c r="K264" s="286"/>
      <c r="L264" s="289"/>
      <c r="M264" s="290"/>
      <c r="N264" s="288"/>
      <c r="O264" s="286"/>
      <c r="P264" s="286"/>
      <c r="Q264" s="287"/>
      <c r="S264" s="288"/>
      <c r="T264" s="286"/>
      <c r="U264" s="286"/>
      <c r="V264" s="287"/>
      <c r="X264" s="288"/>
      <c r="Y264" s="286"/>
      <c r="Z264" s="286"/>
      <c r="AA264" s="287"/>
      <c r="AC264" s="288"/>
      <c r="AD264" s="286"/>
      <c r="AE264" s="286"/>
      <c r="AF264" s="287"/>
      <c r="AH264" s="288"/>
      <c r="AI264" s="286"/>
      <c r="AJ264" s="286"/>
      <c r="AK264" s="287"/>
      <c r="AM264" s="288"/>
      <c r="AN264" s="286"/>
      <c r="AO264" s="286"/>
      <c r="AP264" s="287"/>
      <c r="AR264" s="288"/>
      <c r="AS264" s="286"/>
      <c r="AT264" s="286"/>
      <c r="AU264" s="287"/>
      <c r="AW264" s="288"/>
      <c r="AX264" s="286"/>
      <c r="AY264" s="286"/>
      <c r="AZ264" s="287"/>
      <c r="BB264" s="288"/>
      <c r="BC264" s="286"/>
      <c r="BD264" s="286"/>
      <c r="BE264" s="287"/>
      <c r="BG264" s="288"/>
      <c r="BH264" s="286"/>
      <c r="BI264" s="286"/>
      <c r="BJ264" s="287"/>
      <c r="BL264" s="288"/>
      <c r="BM264" s="286"/>
      <c r="BN264" s="286"/>
      <c r="BO264" s="289"/>
      <c r="DK264" s="341"/>
      <c r="DL264" s="341"/>
      <c r="DM264" s="341"/>
      <c r="DN264" s="341"/>
      <c r="DO264" s="341"/>
      <c r="DP264" s="341"/>
      <c r="DQ264" s="341"/>
    </row>
    <row r="265" spans="1:121">
      <c r="DK265" s="323"/>
      <c r="DL265" s="323"/>
      <c r="DM265" s="323"/>
      <c r="DN265" s="323"/>
      <c r="DO265" s="323"/>
      <c r="DP265" s="323"/>
      <c r="DQ265" s="323"/>
    </row>
    <row r="266" spans="1:121">
      <c r="DK266" s="323"/>
      <c r="DL266" s="323"/>
      <c r="DM266" s="323"/>
      <c r="DN266" s="323"/>
      <c r="DO266" s="323"/>
      <c r="DP266" s="323"/>
      <c r="DQ266" s="323"/>
    </row>
    <row r="267" spans="1:121">
      <c r="DK267" s="323"/>
      <c r="DL267" s="323"/>
      <c r="DM267" s="323"/>
      <c r="DN267" s="323"/>
      <c r="DO267" s="323"/>
      <c r="DP267" s="323"/>
      <c r="DQ267" s="323"/>
    </row>
    <row r="268" spans="1:121">
      <c r="BH268" s="286" t="s">
        <v>370</v>
      </c>
      <c r="BL268" s="288" t="s">
        <v>371</v>
      </c>
      <c r="BM268" s="286" t="s">
        <v>372</v>
      </c>
      <c r="BN268" s="326">
        <f>SUM(BN289-BM289)</f>
        <v>0</v>
      </c>
      <c r="DK268" s="323"/>
      <c r="DL268" s="323"/>
      <c r="DM268" s="323"/>
      <c r="DN268" s="323"/>
      <c r="DO268" s="323"/>
      <c r="DP268" s="323"/>
      <c r="DQ268" s="323"/>
    </row>
    <row r="269" spans="1:121">
      <c r="DK269" s="323"/>
      <c r="DL269" s="323"/>
      <c r="DM269" s="323"/>
      <c r="DN269" s="323"/>
      <c r="DO269" s="323"/>
      <c r="DP269" s="323"/>
      <c r="DQ269" s="323"/>
    </row>
    <row r="270" spans="1:121">
      <c r="BI270" s="286" t="s">
        <v>216</v>
      </c>
      <c r="BK270" s="284" t="s">
        <v>374</v>
      </c>
      <c r="BM270" s="286" t="s">
        <v>345</v>
      </c>
      <c r="DK270" s="323"/>
      <c r="DL270" s="323"/>
      <c r="DM270" s="323"/>
      <c r="DN270" s="323"/>
      <c r="DO270" s="323"/>
      <c r="DP270" s="323"/>
      <c r="DQ270" s="323"/>
    </row>
    <row r="271" spans="1:121">
      <c r="BI271" s="306" t="s">
        <v>230</v>
      </c>
      <c r="BJ271" s="303" t="s">
        <v>218</v>
      </c>
      <c r="BK271" s="304" t="s">
        <v>230</v>
      </c>
      <c r="BL271" s="305" t="s">
        <v>218</v>
      </c>
      <c r="BM271" s="306" t="s">
        <v>230</v>
      </c>
      <c r="BN271" s="306" t="s">
        <v>218</v>
      </c>
      <c r="DK271" s="323"/>
      <c r="DL271" s="323"/>
      <c r="DM271" s="323"/>
      <c r="DN271" s="323"/>
      <c r="DO271" s="323"/>
      <c r="DP271" s="323"/>
      <c r="DQ271" s="323"/>
    </row>
    <row r="272" spans="1:121">
      <c r="DK272" s="323"/>
      <c r="DL272" s="323"/>
      <c r="DM272" s="323"/>
      <c r="DN272" s="323"/>
      <c r="DO272" s="323"/>
      <c r="DP272" s="323"/>
      <c r="DQ272" s="323"/>
    </row>
    <row r="273" spans="1:121">
      <c r="BH273" s="286" t="s">
        <v>127</v>
      </c>
      <c r="BI273" s="286">
        <f>$BK$14+$BK$46</f>
        <v>1740145.8149485539</v>
      </c>
      <c r="BJ273" s="287">
        <f t="shared" ref="BJ273:BJ289" si="56">SUM(BJ2625+BJ2657)</f>
        <v>0</v>
      </c>
      <c r="BK273" s="358">
        <f t="shared" ref="BK273:BL280" si="57">BM273/BI273</f>
        <v>0</v>
      </c>
      <c r="BL273" s="330" t="e">
        <f t="shared" si="57"/>
        <v>#DIV/0!</v>
      </c>
      <c r="BM273" s="286">
        <f t="shared" ref="BM273:BM284" si="58">BU792</f>
        <v>0</v>
      </c>
      <c r="BN273" s="286">
        <f t="shared" ref="BN273:BN284" si="59">BV792</f>
        <v>0</v>
      </c>
      <c r="DK273" s="323"/>
      <c r="DL273" s="323"/>
      <c r="DM273" s="323"/>
      <c r="DN273" s="323"/>
      <c r="DO273" s="323"/>
      <c r="DP273" s="323"/>
      <c r="DQ273" s="323"/>
    </row>
    <row r="274" spans="1:121">
      <c r="BH274" s="286" t="s">
        <v>245</v>
      </c>
      <c r="BI274" s="286">
        <f>$BK$15+$BK$47</f>
        <v>312543.62163537048</v>
      </c>
      <c r="BJ274" s="287">
        <f t="shared" si="56"/>
        <v>0</v>
      </c>
      <c r="BK274" s="358">
        <f t="shared" si="57"/>
        <v>0</v>
      </c>
      <c r="BL274" s="330" t="e">
        <f t="shared" si="57"/>
        <v>#DIV/0!</v>
      </c>
      <c r="BM274" s="286">
        <f t="shared" si="58"/>
        <v>0</v>
      </c>
      <c r="BN274" s="286">
        <f t="shared" si="59"/>
        <v>0</v>
      </c>
      <c r="DK274" s="323"/>
      <c r="DL274" s="323"/>
      <c r="DM274" s="323"/>
      <c r="DN274" s="323"/>
      <c r="DO274" s="323"/>
      <c r="DP274" s="323"/>
      <c r="DQ274" s="323"/>
    </row>
    <row r="275" spans="1:121">
      <c r="BH275" s="286" t="s">
        <v>61</v>
      </c>
      <c r="BI275" s="286">
        <f t="shared" ref="BI275:BI289" si="60">SUM(BI2627+BI2659)</f>
        <v>0</v>
      </c>
      <c r="BJ275" s="287">
        <f t="shared" si="56"/>
        <v>0</v>
      </c>
      <c r="BK275" s="358" t="e">
        <f t="shared" si="57"/>
        <v>#DIV/0!</v>
      </c>
      <c r="BL275" s="330" t="e">
        <f t="shared" si="57"/>
        <v>#DIV/0!</v>
      </c>
      <c r="BM275" s="286">
        <f t="shared" si="58"/>
        <v>0</v>
      </c>
      <c r="BN275" s="286">
        <f t="shared" si="59"/>
        <v>0</v>
      </c>
      <c r="DK275" s="323"/>
      <c r="DL275" s="323"/>
      <c r="DM275" s="323"/>
      <c r="DN275" s="323"/>
      <c r="DO275" s="323"/>
      <c r="DP275" s="323"/>
      <c r="DQ275" s="323"/>
    </row>
    <row r="276" spans="1:121">
      <c r="A276" s="323" t="s">
        <v>327</v>
      </c>
      <c r="BH276" s="286" t="s">
        <v>66</v>
      </c>
      <c r="BI276" s="286">
        <f t="shared" si="60"/>
        <v>0</v>
      </c>
      <c r="BJ276" s="287">
        <f t="shared" si="56"/>
        <v>0</v>
      </c>
      <c r="BK276" s="358" t="e">
        <f t="shared" si="57"/>
        <v>#DIV/0!</v>
      </c>
      <c r="BL276" s="330" t="e">
        <f t="shared" si="57"/>
        <v>#DIV/0!</v>
      </c>
      <c r="BM276" s="286">
        <f t="shared" si="58"/>
        <v>0</v>
      </c>
      <c r="BN276" s="286">
        <f t="shared" si="59"/>
        <v>0</v>
      </c>
      <c r="DK276" s="323"/>
      <c r="DL276" s="323"/>
      <c r="DM276" s="323"/>
      <c r="DN276" s="323"/>
      <c r="DO276" s="323"/>
      <c r="DP276" s="323"/>
      <c r="DQ276" s="323"/>
    </row>
    <row r="277" spans="1:121">
      <c r="B277" s="283" t="str">
        <f>B221</f>
        <v>Ky. River Station</v>
      </c>
      <c r="BH277" s="286" t="s">
        <v>60</v>
      </c>
      <c r="BI277" s="286">
        <f t="shared" si="60"/>
        <v>0</v>
      </c>
      <c r="BJ277" s="287">
        <f t="shared" si="56"/>
        <v>0</v>
      </c>
      <c r="BK277" s="358" t="e">
        <f t="shared" si="57"/>
        <v>#DIV/0!</v>
      </c>
      <c r="BL277" s="330" t="e">
        <f t="shared" si="57"/>
        <v>#DIV/0!</v>
      </c>
      <c r="BM277" s="286">
        <f t="shared" si="58"/>
        <v>0</v>
      </c>
      <c r="BN277" s="286">
        <f t="shared" si="59"/>
        <v>0</v>
      </c>
      <c r="DK277" s="323"/>
      <c r="DL277" s="323"/>
      <c r="DM277" s="323"/>
      <c r="DN277" s="323"/>
      <c r="DO277" s="323"/>
      <c r="DP277" s="323"/>
      <c r="DQ277" s="323"/>
    </row>
    <row r="278" spans="1:121">
      <c r="B278" s="283" t="str">
        <f>D3</f>
        <v>3-year averages</v>
      </c>
      <c r="BH278" s="286" t="s">
        <v>62</v>
      </c>
      <c r="BI278" s="286">
        <f t="shared" si="60"/>
        <v>0</v>
      </c>
      <c r="BJ278" s="287">
        <f t="shared" si="56"/>
        <v>0</v>
      </c>
      <c r="BK278" s="358" t="e">
        <f t="shared" si="57"/>
        <v>#DIV/0!</v>
      </c>
      <c r="BL278" s="330" t="e">
        <f t="shared" si="57"/>
        <v>#DIV/0!</v>
      </c>
      <c r="BM278" s="286">
        <f t="shared" si="58"/>
        <v>0</v>
      </c>
      <c r="BN278" s="286">
        <f t="shared" si="59"/>
        <v>0</v>
      </c>
      <c r="DK278" s="323"/>
      <c r="DL278" s="323"/>
      <c r="DM278" s="323"/>
      <c r="DN278" s="323"/>
      <c r="DO278" s="323"/>
      <c r="DP278" s="323"/>
      <c r="DQ278" s="323"/>
    </row>
    <row r="279" spans="1:121">
      <c r="BH279" s="286" t="s">
        <v>262</v>
      </c>
      <c r="BI279" s="286">
        <f t="shared" si="60"/>
        <v>0</v>
      </c>
      <c r="BJ279" s="287">
        <f t="shared" si="56"/>
        <v>0</v>
      </c>
      <c r="BK279" s="358" t="e">
        <f t="shared" si="57"/>
        <v>#DIV/0!</v>
      </c>
      <c r="BL279" s="330" t="e">
        <f t="shared" si="57"/>
        <v>#DIV/0!</v>
      </c>
      <c r="BM279" s="286">
        <f t="shared" si="58"/>
        <v>0</v>
      </c>
      <c r="BN279" s="286">
        <f t="shared" si="59"/>
        <v>0</v>
      </c>
      <c r="DK279" s="323"/>
      <c r="DL279" s="323"/>
      <c r="DM279" s="323"/>
      <c r="DN279" s="323"/>
      <c r="DO279" s="323"/>
      <c r="DP279" s="323"/>
      <c r="DQ279" s="323"/>
    </row>
    <row r="280" spans="1:121">
      <c r="B280" s="283" t="s">
        <v>383</v>
      </c>
      <c r="BH280" s="286" t="s">
        <v>326</v>
      </c>
      <c r="BI280" s="286">
        <f t="shared" si="60"/>
        <v>0</v>
      </c>
      <c r="BJ280" s="287">
        <f t="shared" si="56"/>
        <v>0</v>
      </c>
      <c r="BK280" s="358" t="e">
        <f t="shared" si="57"/>
        <v>#DIV/0!</v>
      </c>
      <c r="BL280" s="330" t="e">
        <f t="shared" si="57"/>
        <v>#DIV/0!</v>
      </c>
      <c r="BM280" s="286">
        <f t="shared" si="58"/>
        <v>0</v>
      </c>
      <c r="BN280" s="286">
        <f t="shared" si="59"/>
        <v>0</v>
      </c>
      <c r="DK280" s="323"/>
      <c r="DL280" s="323"/>
      <c r="DM280" s="323"/>
      <c r="DN280" s="323"/>
      <c r="DO280" s="323"/>
      <c r="DP280" s="323"/>
      <c r="DQ280" s="323"/>
    </row>
    <row r="281" spans="1:121">
      <c r="B281" s="283" t="s">
        <v>384</v>
      </c>
      <c r="E281" s="286" t="s">
        <v>385</v>
      </c>
      <c r="F281" s="326">
        <f>F328</f>
        <v>-2905.817292488282</v>
      </c>
      <c r="BH281" s="286" t="s">
        <v>422</v>
      </c>
      <c r="BI281" s="286">
        <f t="shared" si="60"/>
        <v>0</v>
      </c>
      <c r="BJ281" s="287">
        <f t="shared" si="56"/>
        <v>0</v>
      </c>
      <c r="BK281" s="366" t="s">
        <v>423</v>
      </c>
      <c r="BL281" s="330" t="e">
        <f>BN281/BJ281</f>
        <v>#DIV/0!</v>
      </c>
      <c r="BM281" s="286">
        <f t="shared" si="58"/>
        <v>0</v>
      </c>
      <c r="BN281" s="286">
        <f t="shared" si="59"/>
        <v>0</v>
      </c>
      <c r="DK281" s="323"/>
      <c r="DL281" s="323"/>
      <c r="DM281" s="323"/>
      <c r="DN281" s="323"/>
      <c r="DO281" s="323"/>
      <c r="DP281" s="323"/>
      <c r="DQ281" s="323"/>
    </row>
    <row r="282" spans="1:121">
      <c r="BH282" s="286" t="s">
        <v>269</v>
      </c>
      <c r="BI282" s="286">
        <f t="shared" si="60"/>
        <v>0</v>
      </c>
      <c r="BJ282" s="287">
        <f t="shared" si="56"/>
        <v>0</v>
      </c>
      <c r="BK282" s="358" t="e">
        <f>BM282/BI282</f>
        <v>#DIV/0!</v>
      </c>
      <c r="BL282" s="330" t="e">
        <f>BN282/BJ282</f>
        <v>#DIV/0!</v>
      </c>
      <c r="BM282" s="286">
        <f t="shared" si="58"/>
        <v>0</v>
      </c>
      <c r="BN282" s="286">
        <f t="shared" si="59"/>
        <v>0</v>
      </c>
      <c r="DK282" s="323"/>
      <c r="DL282" s="323"/>
      <c r="DM282" s="323"/>
      <c r="DN282" s="323"/>
      <c r="DO282" s="323"/>
      <c r="DP282" s="323"/>
      <c r="DQ282" s="323"/>
    </row>
    <row r="283" spans="1:121">
      <c r="D283" s="305" t="s">
        <v>386</v>
      </c>
      <c r="E283" s="306" t="s">
        <v>387</v>
      </c>
      <c r="F283" s="306" t="s">
        <v>388</v>
      </c>
      <c r="BH283" s="286" t="s">
        <v>274</v>
      </c>
      <c r="BI283" s="286">
        <f t="shared" si="60"/>
        <v>0</v>
      </c>
      <c r="BJ283" s="287">
        <f t="shared" si="56"/>
        <v>0</v>
      </c>
      <c r="BK283" s="358" t="e">
        <f>BM283/BI283</f>
        <v>#DIV/0!</v>
      </c>
      <c r="BL283" s="330" t="e">
        <f>BN283/BJ283</f>
        <v>#DIV/0!</v>
      </c>
      <c r="BM283" s="286">
        <f t="shared" si="58"/>
        <v>0</v>
      </c>
      <c r="BN283" s="286">
        <f t="shared" si="59"/>
        <v>0</v>
      </c>
      <c r="DK283" s="323"/>
      <c r="DL283" s="323"/>
      <c r="DM283" s="323"/>
      <c r="DN283" s="323"/>
      <c r="DO283" s="323"/>
      <c r="DP283" s="323"/>
      <c r="DQ283" s="323"/>
    </row>
    <row r="284" spans="1:121">
      <c r="BH284" s="286" t="s">
        <v>279</v>
      </c>
      <c r="BI284" s="286">
        <f t="shared" si="60"/>
        <v>0</v>
      </c>
      <c r="BJ284" s="287">
        <f t="shared" si="56"/>
        <v>0</v>
      </c>
      <c r="BK284" s="358" t="e">
        <f>BM284/BI284</f>
        <v>#DIV/0!</v>
      </c>
      <c r="BL284" s="330" t="e">
        <f>BN284/BJ284</f>
        <v>#DIV/0!</v>
      </c>
      <c r="BM284" s="286">
        <f t="shared" si="58"/>
        <v>0</v>
      </c>
      <c r="BN284" s="286">
        <f t="shared" si="59"/>
        <v>0</v>
      </c>
      <c r="DK284" s="323"/>
      <c r="DL284" s="323"/>
      <c r="DM284" s="323"/>
      <c r="DN284" s="323"/>
      <c r="DO284" s="323"/>
      <c r="DP284" s="323"/>
      <c r="DQ284" s="323"/>
    </row>
    <row r="285" spans="1:121">
      <c r="A285" s="339"/>
      <c r="B285" s="339" t="s">
        <v>389</v>
      </c>
      <c r="C285" s="339"/>
      <c r="BI285" s="286">
        <f t="shared" si="60"/>
        <v>0</v>
      </c>
      <c r="BJ285" s="287">
        <f t="shared" si="56"/>
        <v>0</v>
      </c>
      <c r="BK285" s="358"/>
      <c r="BL285" s="330"/>
      <c r="BN285" s="286">
        <f>BV804</f>
        <v>0</v>
      </c>
      <c r="DK285" s="323"/>
      <c r="DL285" s="323"/>
      <c r="DM285" s="323"/>
      <c r="DN285" s="323"/>
      <c r="DO285" s="323"/>
      <c r="DP285" s="323"/>
      <c r="DQ285" s="323"/>
    </row>
    <row r="286" spans="1:121">
      <c r="A286" s="339"/>
      <c r="B286" s="365" t="s">
        <v>424</v>
      </c>
      <c r="C286" s="339" t="s">
        <v>390</v>
      </c>
      <c r="D286" s="330">
        <f>G229</f>
        <v>0</v>
      </c>
      <c r="E286" s="326">
        <f>H229</f>
        <v>0</v>
      </c>
      <c r="F286" s="326">
        <f>E286-D286</f>
        <v>0</v>
      </c>
      <c r="BI286" s="286">
        <f t="shared" si="60"/>
        <v>0</v>
      </c>
      <c r="BJ286" s="287">
        <f t="shared" si="56"/>
        <v>0</v>
      </c>
      <c r="BK286" s="358"/>
      <c r="BL286" s="330"/>
      <c r="DK286" s="323"/>
      <c r="DL286" s="323"/>
      <c r="DM286" s="323"/>
      <c r="DN286" s="323"/>
      <c r="DO286" s="323"/>
      <c r="DP286" s="323"/>
      <c r="DQ286" s="323"/>
    </row>
    <row r="287" spans="1:121">
      <c r="A287" s="339"/>
      <c r="B287" s="365" t="s">
        <v>391</v>
      </c>
      <c r="C287" s="339" t="s">
        <v>390</v>
      </c>
      <c r="D287" s="330">
        <f>G242</f>
        <v>2383.1501948719829</v>
      </c>
      <c r="E287" s="326">
        <f>H242</f>
        <v>1055.0766666666666</v>
      </c>
      <c r="F287" s="326">
        <f>E287-D287</f>
        <v>-1328.0735282053163</v>
      </c>
      <c r="BI287" s="286">
        <f t="shared" si="60"/>
        <v>0</v>
      </c>
      <c r="BJ287" s="287">
        <f t="shared" si="56"/>
        <v>0</v>
      </c>
      <c r="BK287" s="358"/>
      <c r="BL287" s="330"/>
      <c r="DK287" s="323"/>
      <c r="DL287" s="323"/>
      <c r="DM287" s="323"/>
      <c r="DN287" s="323"/>
      <c r="DO287" s="323"/>
      <c r="DP287" s="323"/>
      <c r="DQ287" s="323"/>
    </row>
    <row r="288" spans="1:121">
      <c r="A288" s="339"/>
      <c r="B288" s="365" t="s">
        <v>392</v>
      </c>
      <c r="C288" s="339" t="s">
        <v>393</v>
      </c>
      <c r="D288" s="330">
        <f>G235</f>
        <v>4361.7909545061148</v>
      </c>
      <c r="E288" s="326">
        <f>H235</f>
        <v>4391.7566666666662</v>
      </c>
      <c r="F288" s="326">
        <f>E288-D288</f>
        <v>29.965712160551448</v>
      </c>
      <c r="BI288" s="286">
        <f t="shared" si="60"/>
        <v>0</v>
      </c>
      <c r="BJ288" s="287">
        <f t="shared" si="56"/>
        <v>0</v>
      </c>
      <c r="BK288" s="358"/>
      <c r="BL288" s="330"/>
      <c r="DK288" s="323"/>
      <c r="DL288" s="323"/>
      <c r="DM288" s="323"/>
      <c r="DN288" s="323"/>
      <c r="DO288" s="323"/>
      <c r="DP288" s="323"/>
      <c r="DQ288" s="323"/>
    </row>
    <row r="289" spans="1:121">
      <c r="A289" s="339"/>
      <c r="B289" s="365" t="s">
        <v>425</v>
      </c>
      <c r="C289" s="339" t="s">
        <v>393</v>
      </c>
      <c r="D289" s="330">
        <f>G243</f>
        <v>29388.765104914502</v>
      </c>
      <c r="E289" s="326">
        <f>H243</f>
        <v>40251.67</v>
      </c>
      <c r="F289" s="326">
        <f>E289-D289</f>
        <v>10862.904895085496</v>
      </c>
      <c r="BH289" s="286" t="s">
        <v>13</v>
      </c>
      <c r="BI289" s="286">
        <f t="shared" si="60"/>
        <v>0</v>
      </c>
      <c r="BJ289" s="287">
        <f t="shared" si="56"/>
        <v>0</v>
      </c>
      <c r="BK289" s="358" t="e">
        <f>BM289/BI289</f>
        <v>#DIV/0!</v>
      </c>
      <c r="BL289" s="330" t="e">
        <f>BN289/BJ289</f>
        <v>#DIV/0!</v>
      </c>
      <c r="BM289" s="286">
        <f>SUM(BM273:BM288)</f>
        <v>0</v>
      </c>
      <c r="BN289" s="286">
        <f>SUM(BN273:BN288)</f>
        <v>0</v>
      </c>
      <c r="DK289" s="323"/>
      <c r="DL289" s="323"/>
      <c r="DM289" s="323"/>
      <c r="DN289" s="323"/>
      <c r="DO289" s="323"/>
      <c r="DP289" s="323"/>
      <c r="DQ289" s="323"/>
    </row>
    <row r="290" spans="1:121">
      <c r="A290" s="339"/>
      <c r="B290" s="365" t="s">
        <v>394</v>
      </c>
      <c r="C290" s="339" t="s">
        <v>395</v>
      </c>
      <c r="D290" s="330">
        <f>G241</f>
        <v>1237.7344859776292</v>
      </c>
      <c r="E290" s="326">
        <f>H241</f>
        <v>923.2600000000001</v>
      </c>
      <c r="F290" s="326">
        <f>E290-D290</f>
        <v>-314.47448597762912</v>
      </c>
      <c r="DK290" s="323"/>
      <c r="DL290" s="323"/>
      <c r="DM290" s="323"/>
      <c r="DN290" s="323"/>
      <c r="DO290" s="323"/>
      <c r="DP290" s="323"/>
      <c r="DQ290" s="323"/>
    </row>
    <row r="291" spans="1:121">
      <c r="A291" s="339"/>
      <c r="B291" s="339" t="s">
        <v>396</v>
      </c>
      <c r="C291" s="339"/>
      <c r="D291" s="330"/>
      <c r="E291" s="326"/>
      <c r="F291" s="326"/>
      <c r="BJ291" s="287" t="s">
        <v>426</v>
      </c>
      <c r="BL291" s="288" t="s">
        <v>218</v>
      </c>
      <c r="BN291" s="286" t="s">
        <v>231</v>
      </c>
      <c r="DK291" s="323"/>
      <c r="DL291" s="323"/>
      <c r="DM291" s="323"/>
      <c r="DN291" s="323"/>
      <c r="DO291" s="323"/>
      <c r="DP291" s="323"/>
      <c r="DQ291" s="323"/>
    </row>
    <row r="292" spans="1:121">
      <c r="A292" s="339"/>
      <c r="B292" s="339" t="s">
        <v>397</v>
      </c>
      <c r="C292" s="339"/>
      <c r="D292" s="330">
        <f>SUM(D286:D290)</f>
        <v>37371.440740270227</v>
      </c>
      <c r="E292" s="326">
        <f>SUM(E286:E290)</f>
        <v>46621.763333333336</v>
      </c>
      <c r="F292" s="326">
        <f>E292-D292</f>
        <v>9250.3225930631088</v>
      </c>
      <c r="BH292" s="286" t="s">
        <v>243</v>
      </c>
      <c r="BJ292" s="327">
        <v>3576</v>
      </c>
      <c r="BL292" s="330">
        <v>3437</v>
      </c>
      <c r="BN292" s="286" t="s">
        <v>427</v>
      </c>
      <c r="DK292" s="323"/>
      <c r="DL292" s="323"/>
      <c r="DM292" s="323"/>
      <c r="DN292" s="323"/>
      <c r="DO292" s="323"/>
      <c r="DP292" s="323"/>
      <c r="DQ292" s="323"/>
    </row>
    <row r="293" spans="1:121">
      <c r="A293" s="339"/>
      <c r="B293" s="339" t="s">
        <v>396</v>
      </c>
      <c r="C293" s="339"/>
      <c r="D293" s="330"/>
      <c r="E293" s="326"/>
      <c r="F293" s="326"/>
      <c r="DK293" s="323"/>
      <c r="DL293" s="323"/>
      <c r="DM293" s="323"/>
      <c r="DN293" s="323"/>
      <c r="DO293" s="323"/>
      <c r="DP293" s="323"/>
      <c r="DQ293" s="323"/>
    </row>
    <row r="294" spans="1:121">
      <c r="A294" s="339"/>
      <c r="B294" s="339"/>
      <c r="C294" s="339"/>
      <c r="D294" s="330"/>
      <c r="E294" s="326"/>
      <c r="F294" s="326"/>
      <c r="BJ294" s="287" t="s">
        <v>230</v>
      </c>
      <c r="BL294" s="288" t="s">
        <v>218</v>
      </c>
      <c r="BN294" s="286" t="s">
        <v>231</v>
      </c>
      <c r="DK294" s="323"/>
      <c r="DL294" s="323"/>
      <c r="DM294" s="323"/>
      <c r="DN294" s="323"/>
      <c r="DO294" s="323"/>
      <c r="DP294" s="323"/>
      <c r="DQ294" s="323"/>
    </row>
    <row r="295" spans="1:121">
      <c r="A295" s="339"/>
      <c r="B295" s="339" t="s">
        <v>398</v>
      </c>
      <c r="C295" s="339"/>
      <c r="D295" s="330"/>
      <c r="E295" s="326"/>
      <c r="F295" s="326"/>
      <c r="BH295" s="286" t="s">
        <v>428</v>
      </c>
      <c r="BJ295" s="287">
        <v>959.53</v>
      </c>
      <c r="BL295" s="288">
        <v>1038.6500000000001</v>
      </c>
      <c r="BN295" s="286">
        <v>1000.81</v>
      </c>
      <c r="DK295" s="323"/>
      <c r="DL295" s="323"/>
      <c r="DM295" s="323"/>
      <c r="DN295" s="323"/>
      <c r="DO295" s="323"/>
      <c r="DP295" s="323"/>
      <c r="DQ295" s="323"/>
    </row>
    <row r="296" spans="1:121">
      <c r="A296" s="339"/>
      <c r="B296" s="365" t="s">
        <v>399</v>
      </c>
      <c r="C296" s="339" t="s">
        <v>393</v>
      </c>
      <c r="D296" s="330">
        <f>G231</f>
        <v>8058.8366296552413</v>
      </c>
      <c r="E296" s="326">
        <f>H231</f>
        <v>7107.29</v>
      </c>
      <c r="F296" s="326">
        <f>E296-D296</f>
        <v>-951.5466296552413</v>
      </c>
      <c r="DK296" s="323"/>
      <c r="DL296" s="323"/>
      <c r="DM296" s="323"/>
      <c r="DN296" s="323"/>
      <c r="DO296" s="323"/>
      <c r="DP296" s="323"/>
      <c r="DQ296" s="323"/>
    </row>
    <row r="297" spans="1:121">
      <c r="A297" s="339"/>
      <c r="B297" s="365" t="s">
        <v>400</v>
      </c>
      <c r="C297" s="339" t="s">
        <v>393</v>
      </c>
      <c r="D297" s="330">
        <f>G238</f>
        <v>4062.7274649114165</v>
      </c>
      <c r="E297" s="326">
        <f>H238</f>
        <v>2210.2566666666667</v>
      </c>
      <c r="F297" s="326">
        <f>E297-D297</f>
        <v>-1852.4707982447499</v>
      </c>
      <c r="BH297" s="286" t="s">
        <v>233</v>
      </c>
      <c r="BJ297" s="287" t="s">
        <v>427</v>
      </c>
      <c r="BL297" s="288">
        <v>32.6</v>
      </c>
      <c r="BN297" s="286">
        <v>52.7</v>
      </c>
      <c r="DK297" s="323"/>
      <c r="DL297" s="323"/>
      <c r="DM297" s="323"/>
      <c r="DN297" s="323"/>
      <c r="DO297" s="323"/>
      <c r="DP297" s="323"/>
      <c r="DQ297" s="323"/>
    </row>
    <row r="298" spans="1:121">
      <c r="A298" s="339"/>
      <c r="B298" s="365" t="s">
        <v>401</v>
      </c>
      <c r="C298" s="339" t="s">
        <v>402</v>
      </c>
      <c r="D298" s="330">
        <f>G237</f>
        <v>482.74096983045155</v>
      </c>
      <c r="E298" s="326">
        <f>H237</f>
        <v>520.84333333333336</v>
      </c>
      <c r="F298" s="326">
        <f>E298-D298</f>
        <v>38.102363502881815</v>
      </c>
      <c r="DK298" s="323"/>
      <c r="DL298" s="323"/>
      <c r="DM298" s="323"/>
      <c r="DN298" s="323"/>
      <c r="DO298" s="323"/>
      <c r="DP298" s="323"/>
      <c r="DQ298" s="323"/>
    </row>
    <row r="299" spans="1:121">
      <c r="A299" s="339"/>
      <c r="B299" s="339" t="s">
        <v>396</v>
      </c>
      <c r="C299" s="339"/>
      <c r="D299" s="330"/>
      <c r="E299" s="326"/>
      <c r="F299" s="326"/>
      <c r="BH299" s="286" t="s">
        <v>252</v>
      </c>
      <c r="BJ299" s="327">
        <v>39.32</v>
      </c>
      <c r="BL299" s="330">
        <f>BN289/BL295</f>
        <v>0</v>
      </c>
      <c r="BN299" s="326">
        <v>31.35</v>
      </c>
      <c r="DK299" s="323"/>
      <c r="DL299" s="323"/>
      <c r="DM299" s="323"/>
      <c r="DN299" s="323"/>
      <c r="DO299" s="323"/>
      <c r="DP299" s="323"/>
      <c r="DQ299" s="323"/>
    </row>
    <row r="300" spans="1:121">
      <c r="A300" s="339"/>
      <c r="B300" s="339" t="s">
        <v>403</v>
      </c>
      <c r="C300" s="339"/>
      <c r="D300" s="330">
        <f>SUM(D296:D298)</f>
        <v>12604.305064397109</v>
      </c>
      <c r="E300" s="326">
        <f>SUM(E296:E298)</f>
        <v>9838.3900000000012</v>
      </c>
      <c r="F300" s="326">
        <f>E300-D300</f>
        <v>-2765.9150643971079</v>
      </c>
      <c r="DK300" s="323"/>
      <c r="DL300" s="323"/>
      <c r="DM300" s="323"/>
      <c r="DN300" s="323"/>
      <c r="DO300" s="323"/>
      <c r="DP300" s="323"/>
      <c r="DQ300" s="323"/>
    </row>
    <row r="301" spans="1:121">
      <c r="A301" s="339"/>
      <c r="B301" s="339" t="s">
        <v>396</v>
      </c>
      <c r="C301" s="339"/>
      <c r="D301" s="330"/>
      <c r="E301" s="326"/>
      <c r="F301" s="326"/>
      <c r="BH301" s="286" t="s">
        <v>378</v>
      </c>
      <c r="BJ301" s="287" t="s">
        <v>427</v>
      </c>
      <c r="DK301" s="323"/>
      <c r="DL301" s="323"/>
      <c r="DM301" s="323"/>
      <c r="DN301" s="323"/>
      <c r="DO301" s="323"/>
      <c r="DP301" s="323"/>
      <c r="DQ301" s="323"/>
    </row>
    <row r="302" spans="1:121">
      <c r="A302" s="339"/>
      <c r="B302" s="339"/>
      <c r="C302" s="339"/>
      <c r="D302" s="330"/>
      <c r="E302" s="326"/>
      <c r="F302" s="326"/>
      <c r="BH302" s="352" t="s">
        <v>429</v>
      </c>
      <c r="BM302" s="326" t="e">
        <f>(BL295-BJ295)*(BI289/BJ295)*BK289</f>
        <v>#DIV/0!</v>
      </c>
      <c r="DK302" s="323"/>
      <c r="DL302" s="323"/>
      <c r="DM302" s="323"/>
      <c r="DN302" s="323"/>
      <c r="DO302" s="323"/>
      <c r="DP302" s="323"/>
      <c r="DQ302" s="323"/>
    </row>
    <row r="303" spans="1:121">
      <c r="A303" s="339"/>
      <c r="B303" s="339" t="s">
        <v>430</v>
      </c>
      <c r="C303" s="339"/>
      <c r="D303" s="330"/>
      <c r="E303" s="326"/>
      <c r="F303" s="326"/>
      <c r="BH303" s="352" t="s">
        <v>431</v>
      </c>
      <c r="BM303" s="326" t="e">
        <f>(BJ289/BL295-BI289/BJ295)*(BL295*BK289)</f>
        <v>#DIV/0!</v>
      </c>
      <c r="DK303" s="323"/>
      <c r="DL303" s="323"/>
      <c r="DM303" s="323"/>
      <c r="DN303" s="323"/>
      <c r="DO303" s="323"/>
      <c r="DP303" s="323"/>
      <c r="DQ303" s="323"/>
    </row>
    <row r="304" spans="1:121">
      <c r="A304" s="339"/>
      <c r="B304" s="365" t="s">
        <v>406</v>
      </c>
      <c r="C304" s="339" t="s">
        <v>432</v>
      </c>
      <c r="D304" s="330">
        <f>G230</f>
        <v>16431.084603533334</v>
      </c>
      <c r="E304" s="326">
        <f>H230</f>
        <v>11124.06</v>
      </c>
      <c r="F304" s="326">
        <f>E304-D304</f>
        <v>-5307.0246035333348</v>
      </c>
      <c r="BH304" s="286" t="s">
        <v>381</v>
      </c>
      <c r="BM304" s="326" t="e">
        <f>(BL289-BK289)*BJ289</f>
        <v>#DIV/0!</v>
      </c>
      <c r="DK304" s="323"/>
      <c r="DL304" s="323"/>
      <c r="DM304" s="323"/>
      <c r="DN304" s="323"/>
      <c r="DO304" s="323"/>
      <c r="DP304" s="323"/>
      <c r="DQ304" s="323"/>
    </row>
    <row r="305" spans="1:121">
      <c r="A305" s="339"/>
      <c r="B305" s="339"/>
      <c r="C305" s="339"/>
      <c r="D305" s="330"/>
      <c r="E305" s="326"/>
      <c r="F305" s="326"/>
      <c r="BH305" s="286" t="s">
        <v>382</v>
      </c>
      <c r="BM305" s="326" t="e">
        <f>SUM(BM302:BM304)</f>
        <v>#DIV/0!</v>
      </c>
      <c r="DK305" s="323"/>
      <c r="DL305" s="323"/>
      <c r="DM305" s="323"/>
      <c r="DN305" s="323"/>
      <c r="DO305" s="323"/>
      <c r="DP305" s="323"/>
      <c r="DQ305" s="323"/>
    </row>
    <row r="306" spans="1:121">
      <c r="A306" s="339"/>
      <c r="B306" s="365" t="s">
        <v>433</v>
      </c>
      <c r="C306" s="339" t="s">
        <v>390</v>
      </c>
      <c r="D306" s="330">
        <f>G236</f>
        <v>0</v>
      </c>
      <c r="E306" s="326">
        <f>H236</f>
        <v>-5150.1866666666674</v>
      </c>
      <c r="F306" s="326">
        <f>E306-D306</f>
        <v>-5150.1866666666674</v>
      </c>
      <c r="DK306" s="323"/>
      <c r="DL306" s="323"/>
      <c r="DM306" s="323"/>
      <c r="DN306" s="323"/>
      <c r="DO306" s="323"/>
      <c r="DP306" s="323"/>
      <c r="DQ306" s="323"/>
    </row>
    <row r="307" spans="1:121">
      <c r="A307" s="339"/>
      <c r="B307" s="339"/>
      <c r="C307" s="339"/>
      <c r="D307" s="330"/>
      <c r="E307" s="326"/>
      <c r="F307" s="326"/>
      <c r="DK307" s="323"/>
      <c r="DL307" s="323"/>
      <c r="DM307" s="323"/>
      <c r="DN307" s="323"/>
      <c r="DO307" s="323"/>
      <c r="DP307" s="323"/>
      <c r="DQ307" s="323"/>
    </row>
    <row r="308" spans="1:121">
      <c r="A308" s="339"/>
      <c r="B308" s="365" t="s">
        <v>407</v>
      </c>
      <c r="C308" s="339" t="s">
        <v>390</v>
      </c>
      <c r="D308" s="330">
        <f>G239</f>
        <v>1221.5765499783886</v>
      </c>
      <c r="E308" s="326">
        <f>H239</f>
        <v>1479.4133333333336</v>
      </c>
      <c r="F308" s="326">
        <f>E308-D308</f>
        <v>257.83678335494506</v>
      </c>
      <c r="DK308" s="323"/>
      <c r="DL308" s="323"/>
      <c r="DM308" s="323"/>
      <c r="DN308" s="323"/>
      <c r="DO308" s="323"/>
      <c r="DP308" s="323"/>
      <c r="DQ308" s="323"/>
    </row>
    <row r="309" spans="1:121">
      <c r="A309" s="339"/>
      <c r="B309" s="339" t="s">
        <v>396</v>
      </c>
      <c r="C309" s="339"/>
      <c r="D309" s="330"/>
      <c r="E309" s="326"/>
      <c r="F309" s="326"/>
      <c r="DK309" s="323"/>
      <c r="DL309" s="323"/>
      <c r="DM309" s="323"/>
      <c r="DN309" s="323"/>
      <c r="DO309" s="323"/>
      <c r="DP309" s="323"/>
      <c r="DQ309" s="323"/>
    </row>
    <row r="310" spans="1:121">
      <c r="A310" s="339"/>
      <c r="B310" s="339" t="s">
        <v>408</v>
      </c>
      <c r="C310" s="339"/>
      <c r="D310" s="330">
        <f>SUM(D304:D308)</f>
        <v>17652.661153511723</v>
      </c>
      <c r="E310" s="326">
        <f>SUM(E304:E308)</f>
        <v>7453.286666666666</v>
      </c>
      <c r="F310" s="326">
        <f>E310-D310</f>
        <v>-10199.374486845056</v>
      </c>
      <c r="DK310" s="323"/>
      <c r="DL310" s="323"/>
      <c r="DM310" s="323"/>
      <c r="DN310" s="323"/>
      <c r="DO310" s="323"/>
      <c r="DP310" s="323"/>
      <c r="DQ310" s="323"/>
    </row>
    <row r="311" spans="1:121">
      <c r="A311" s="339"/>
      <c r="B311" s="339" t="s">
        <v>396</v>
      </c>
      <c r="C311" s="339"/>
      <c r="D311" s="330"/>
      <c r="E311" s="326"/>
      <c r="F311" s="326"/>
      <c r="DK311" s="323"/>
      <c r="DL311" s="323"/>
      <c r="DM311" s="323"/>
      <c r="DN311" s="323"/>
      <c r="DO311" s="323"/>
      <c r="DP311" s="323"/>
      <c r="DQ311" s="323"/>
    </row>
    <row r="312" spans="1:121">
      <c r="A312" s="339"/>
      <c r="B312" s="339"/>
      <c r="C312" s="339"/>
      <c r="D312" s="330"/>
      <c r="E312" s="326"/>
      <c r="F312" s="326"/>
      <c r="BH312" s="286" t="s">
        <v>434</v>
      </c>
      <c r="DK312" s="323"/>
      <c r="DL312" s="323"/>
      <c r="DM312" s="323"/>
      <c r="DN312" s="323"/>
      <c r="DO312" s="323"/>
      <c r="DP312" s="323"/>
      <c r="DQ312" s="323"/>
    </row>
    <row r="313" spans="1:121">
      <c r="A313" s="339"/>
      <c r="B313" s="339" t="s">
        <v>409</v>
      </c>
      <c r="C313" s="339"/>
      <c r="D313" s="330"/>
      <c r="E313" s="326"/>
      <c r="F313" s="326"/>
      <c r="DK313" s="323"/>
      <c r="DL313" s="323"/>
      <c r="DM313" s="323"/>
      <c r="DN313" s="323"/>
      <c r="DO313" s="323"/>
      <c r="DP313" s="323"/>
      <c r="DQ313" s="323"/>
    </row>
    <row r="314" spans="1:121">
      <c r="A314" s="339"/>
      <c r="B314" s="365" t="s">
        <v>410</v>
      </c>
      <c r="C314" s="339" t="s">
        <v>395</v>
      </c>
      <c r="D314" s="330">
        <f>G232</f>
        <v>7340.4003343092263</v>
      </c>
      <c r="E314" s="326">
        <f>H232</f>
        <v>8149.55</v>
      </c>
      <c r="F314" s="326">
        <f>E314-D314</f>
        <v>809.14966569077387</v>
      </c>
      <c r="BH314" s="286" t="s">
        <v>383</v>
      </c>
      <c r="DK314" s="323"/>
      <c r="DL314" s="323"/>
      <c r="DM314" s="323"/>
      <c r="DN314" s="323"/>
      <c r="DO314" s="323"/>
      <c r="DP314" s="323"/>
      <c r="DQ314" s="323"/>
    </row>
    <row r="315" spans="1:121">
      <c r="A315" s="339"/>
      <c r="B315" s="339" t="s">
        <v>396</v>
      </c>
      <c r="C315" s="339"/>
      <c r="D315" s="330"/>
      <c r="E315" s="326"/>
      <c r="F315" s="326"/>
      <c r="BH315" s="286" t="s">
        <v>384</v>
      </c>
      <c r="BK315" s="284" t="s">
        <v>385</v>
      </c>
      <c r="BL315" s="330">
        <f>BL369</f>
        <v>0</v>
      </c>
      <c r="DK315" s="323"/>
      <c r="DL315" s="323"/>
      <c r="DM315" s="323"/>
      <c r="DN315" s="323"/>
      <c r="DO315" s="323"/>
      <c r="DP315" s="323"/>
      <c r="DQ315" s="323"/>
    </row>
    <row r="316" spans="1:121">
      <c r="A316" s="339"/>
      <c r="B316" s="339" t="s">
        <v>411</v>
      </c>
      <c r="C316" s="339"/>
      <c r="D316" s="330">
        <f>D314</f>
        <v>7340.4003343092263</v>
      </c>
      <c r="E316" s="326">
        <f>E314</f>
        <v>8149.55</v>
      </c>
      <c r="F316" s="326">
        <f>E316-D316</f>
        <v>809.14966569077387</v>
      </c>
      <c r="DK316" s="323"/>
      <c r="DL316" s="323"/>
      <c r="DM316" s="323"/>
      <c r="DN316" s="323"/>
      <c r="DO316" s="323"/>
      <c r="DP316" s="323"/>
      <c r="DQ316" s="323"/>
    </row>
    <row r="317" spans="1:121">
      <c r="A317" s="339"/>
      <c r="B317" s="339" t="s">
        <v>396</v>
      </c>
      <c r="C317" s="339"/>
      <c r="D317" s="330"/>
      <c r="E317" s="326"/>
      <c r="F317" s="326"/>
      <c r="BJ317" s="303" t="s">
        <v>386</v>
      </c>
      <c r="BK317" s="304" t="s">
        <v>387</v>
      </c>
      <c r="BL317" s="305" t="s">
        <v>388</v>
      </c>
      <c r="DK317" s="323"/>
      <c r="DL317" s="323"/>
      <c r="DM317" s="323"/>
      <c r="DN317" s="323"/>
      <c r="DO317" s="323"/>
      <c r="DP317" s="323"/>
    </row>
    <row r="318" spans="1:121">
      <c r="A318" s="339"/>
      <c r="B318" s="339" t="s">
        <v>413</v>
      </c>
      <c r="C318" s="339"/>
      <c r="D318" s="330">
        <f>G244</f>
        <v>0</v>
      </c>
      <c r="E318" s="326">
        <f>H244</f>
        <v>0</v>
      </c>
      <c r="F318" s="326">
        <f>E318-D318</f>
        <v>0</v>
      </c>
      <c r="DK318" s="323"/>
      <c r="DL318" s="323"/>
      <c r="DM318" s="323"/>
      <c r="DN318" s="323"/>
      <c r="DO318" s="323"/>
      <c r="DP318" s="323"/>
    </row>
    <row r="319" spans="1:121">
      <c r="A319" s="339"/>
      <c r="B319" s="339" t="s">
        <v>396</v>
      </c>
      <c r="C319" s="339"/>
      <c r="D319" s="330"/>
      <c r="E319" s="326"/>
      <c r="F319" s="326"/>
      <c r="BH319" s="352" t="s">
        <v>424</v>
      </c>
      <c r="BI319" s="286" t="s">
        <v>390</v>
      </c>
      <c r="BJ319" s="327">
        <f>BM273</f>
        <v>0</v>
      </c>
      <c r="BK319" s="358">
        <f>BN273</f>
        <v>0</v>
      </c>
      <c r="BL319" s="330">
        <f>BK319-BJ319</f>
        <v>0</v>
      </c>
      <c r="DK319" s="323"/>
      <c r="DL319" s="323"/>
      <c r="DM319" s="323"/>
      <c r="DN319" s="323"/>
      <c r="DO319" s="323"/>
      <c r="DP319" s="323"/>
    </row>
    <row r="320" spans="1:121">
      <c r="A320" s="339"/>
      <c r="B320" s="339" t="s">
        <v>435</v>
      </c>
      <c r="C320" s="339"/>
      <c r="D320" s="330"/>
      <c r="E320" s="326"/>
      <c r="F320" s="326"/>
      <c r="BJ320" s="327"/>
      <c r="BK320" s="358"/>
      <c r="BL320" s="330"/>
      <c r="DK320" s="323"/>
      <c r="DL320" s="323"/>
      <c r="DM320" s="323"/>
      <c r="DN320" s="323"/>
      <c r="DO320" s="323"/>
      <c r="DP320" s="323"/>
    </row>
    <row r="321" spans="1:120">
      <c r="A321" s="339"/>
      <c r="B321" s="365" t="s">
        <v>436</v>
      </c>
      <c r="C321" s="339" t="s">
        <v>402</v>
      </c>
      <c r="D321" s="330">
        <f>G233</f>
        <v>0</v>
      </c>
      <c r="E321" s="326">
        <f>H233</f>
        <v>0</v>
      </c>
      <c r="F321" s="326">
        <f>E321-D321</f>
        <v>0</v>
      </c>
      <c r="BH321" s="352" t="s">
        <v>392</v>
      </c>
      <c r="BI321" s="286" t="s">
        <v>393</v>
      </c>
      <c r="BJ321" s="327">
        <f>BM279</f>
        <v>0</v>
      </c>
      <c r="BK321" s="358">
        <f>BN279</f>
        <v>0</v>
      </c>
      <c r="BL321" s="330">
        <f>BK321-BJ321</f>
        <v>0</v>
      </c>
      <c r="DK321" s="323"/>
      <c r="DL321" s="323"/>
      <c r="DM321" s="323"/>
      <c r="DN321" s="323"/>
      <c r="DO321" s="323"/>
      <c r="DP321" s="323"/>
    </row>
    <row r="322" spans="1:120">
      <c r="A322" s="339"/>
      <c r="B322" s="365" t="s">
        <v>416</v>
      </c>
      <c r="C322" s="339" t="s">
        <v>402</v>
      </c>
      <c r="D322" s="330">
        <f>G234</f>
        <v>0</v>
      </c>
      <c r="E322" s="326">
        <f>H234</f>
        <v>0</v>
      </c>
      <c r="F322" s="326">
        <f>E322-D322</f>
        <v>0</v>
      </c>
      <c r="BJ322" s="327"/>
      <c r="BK322" s="358"/>
      <c r="BL322" s="330"/>
      <c r="DK322" s="323"/>
      <c r="DL322" s="323"/>
      <c r="DM322" s="323"/>
      <c r="DN322" s="323"/>
      <c r="DO322" s="323"/>
      <c r="DP322" s="323"/>
    </row>
    <row r="323" spans="1:120">
      <c r="A323" s="339"/>
      <c r="B323" s="365" t="s">
        <v>417</v>
      </c>
      <c r="C323" s="339" t="s">
        <v>402</v>
      </c>
      <c r="D323" s="330">
        <f>G240</f>
        <v>0</v>
      </c>
      <c r="E323" s="326">
        <f>H240</f>
        <v>0</v>
      </c>
      <c r="F323" s="326">
        <f>E323-D323</f>
        <v>0</v>
      </c>
      <c r="BH323" s="352" t="s">
        <v>394</v>
      </c>
      <c r="BI323" s="286" t="s">
        <v>395</v>
      </c>
      <c r="BJ323" s="327">
        <f>BM284</f>
        <v>0</v>
      </c>
      <c r="BK323" s="358">
        <f>BN284</f>
        <v>0</v>
      </c>
      <c r="BL323" s="330">
        <f>BK323-BJ323</f>
        <v>0</v>
      </c>
      <c r="DK323" s="323"/>
      <c r="DL323" s="323"/>
      <c r="DM323" s="323"/>
      <c r="DN323" s="323"/>
      <c r="DO323" s="323"/>
      <c r="DP323" s="323"/>
    </row>
    <row r="324" spans="1:120">
      <c r="A324" s="339"/>
      <c r="B324" s="339" t="s">
        <v>396</v>
      </c>
      <c r="C324" s="339"/>
      <c r="D324" s="330"/>
      <c r="E324" s="326"/>
      <c r="F324" s="326"/>
      <c r="BH324" s="286" t="s">
        <v>396</v>
      </c>
      <c r="BJ324" s="327"/>
      <c r="BK324" s="358"/>
      <c r="BL324" s="330"/>
      <c r="DK324" s="323"/>
      <c r="DL324" s="323"/>
      <c r="DM324" s="323"/>
      <c r="DN324" s="323"/>
      <c r="DO324" s="323"/>
      <c r="DP324" s="323"/>
    </row>
    <row r="325" spans="1:120">
      <c r="A325" s="339"/>
      <c r="B325" s="339" t="s">
        <v>418</v>
      </c>
      <c r="C325" s="339"/>
      <c r="D325" s="330">
        <f>SUM(D321:D323)</f>
        <v>0</v>
      </c>
      <c r="E325" s="326">
        <f>SUM(E321:E323)</f>
        <v>0</v>
      </c>
      <c r="F325" s="326">
        <f>SUM(F321:F323)</f>
        <v>0</v>
      </c>
      <c r="BH325" s="286" t="s">
        <v>397</v>
      </c>
      <c r="BJ325" s="327">
        <f>SUM(BJ319:BJ323)</f>
        <v>0</v>
      </c>
      <c r="BK325" s="358">
        <f>SUM(BK319:BK323)</f>
        <v>0</v>
      </c>
      <c r="BL325" s="330">
        <f>BK325-BJ325</f>
        <v>0</v>
      </c>
      <c r="DK325" s="323"/>
      <c r="DL325" s="323"/>
      <c r="DM325" s="323"/>
      <c r="DN325" s="323"/>
      <c r="DO325" s="323"/>
      <c r="DP325" s="323"/>
    </row>
    <row r="326" spans="1:120">
      <c r="A326" s="339"/>
      <c r="B326" s="339" t="s">
        <v>396</v>
      </c>
      <c r="C326" s="339"/>
      <c r="D326" s="330"/>
      <c r="E326" s="326"/>
      <c r="F326" s="326"/>
      <c r="BH326" s="286" t="s">
        <v>396</v>
      </c>
      <c r="BJ326" s="327"/>
      <c r="BK326" s="358"/>
      <c r="BL326" s="330"/>
      <c r="DK326" s="323"/>
      <c r="DL326" s="323"/>
      <c r="DM326" s="323"/>
      <c r="DN326" s="323"/>
      <c r="DO326" s="323"/>
      <c r="DP326" s="323"/>
    </row>
    <row r="327" spans="1:120">
      <c r="A327" s="339"/>
      <c r="B327" s="339"/>
      <c r="C327" s="339"/>
      <c r="D327" s="305" t="s">
        <v>230</v>
      </c>
      <c r="E327" s="306" t="s">
        <v>218</v>
      </c>
      <c r="F327" s="306" t="s">
        <v>371</v>
      </c>
      <c r="BJ327" s="327"/>
      <c r="BK327" s="358"/>
      <c r="BL327" s="330"/>
      <c r="DK327" s="323"/>
      <c r="DL327" s="323"/>
      <c r="DM327" s="323"/>
      <c r="DN327" s="323"/>
      <c r="DO327" s="323"/>
      <c r="DP327" s="323"/>
    </row>
    <row r="328" spans="1:120">
      <c r="A328" s="339"/>
      <c r="B328" s="339" t="s">
        <v>419</v>
      </c>
      <c r="C328" s="339"/>
      <c r="D328" s="330">
        <f>SUM(D325+D318+D316+D310+D300+D292)</f>
        <v>74968.807292488287</v>
      </c>
      <c r="E328" s="326">
        <f>SUM(E325+E318+E316+E310+E300+E292)</f>
        <v>72062.990000000005</v>
      </c>
      <c r="F328" s="326">
        <f>SUM(F325+F318+F316+F310+F300+F292)</f>
        <v>-2905.817292488282</v>
      </c>
      <c r="BH328" s="286" t="s">
        <v>398</v>
      </c>
      <c r="BJ328" s="327"/>
      <c r="BK328" s="358"/>
      <c r="BL328" s="330"/>
      <c r="DK328" s="323"/>
      <c r="DL328" s="323"/>
      <c r="DM328" s="323"/>
      <c r="DN328" s="323"/>
      <c r="DO328" s="323"/>
      <c r="DP328" s="323"/>
    </row>
    <row r="329" spans="1:120">
      <c r="A329" s="339"/>
      <c r="B329" s="339" t="s">
        <v>396</v>
      </c>
      <c r="C329" s="339"/>
      <c r="BH329" s="352" t="s">
        <v>399</v>
      </c>
      <c r="BI329" s="286" t="s">
        <v>393</v>
      </c>
      <c r="BJ329" s="327">
        <f>BM275</f>
        <v>0</v>
      </c>
      <c r="BK329" s="358">
        <f>BN275</f>
        <v>0</v>
      </c>
      <c r="BL329" s="330">
        <f>BK329-BJ329</f>
        <v>0</v>
      </c>
      <c r="DK329" s="323"/>
      <c r="DL329" s="323"/>
      <c r="DM329" s="323"/>
      <c r="DN329" s="323"/>
      <c r="DO329" s="323"/>
      <c r="DP329" s="323"/>
    </row>
    <row r="330" spans="1:120">
      <c r="A330" s="341" t="s">
        <v>327</v>
      </c>
      <c r="B330" s="339"/>
      <c r="C330" s="339"/>
      <c r="DK330" s="323"/>
      <c r="DL330" s="323"/>
      <c r="DM330" s="323"/>
      <c r="DN330" s="323"/>
      <c r="DO330" s="323"/>
      <c r="DP330" s="323"/>
    </row>
    <row r="331" spans="1:120">
      <c r="A331" s="339"/>
      <c r="B331" s="339"/>
      <c r="C331" s="339"/>
      <c r="DK331" s="323"/>
      <c r="DL331" s="323"/>
      <c r="DM331" s="323"/>
      <c r="DN331" s="323"/>
      <c r="DO331" s="323"/>
      <c r="DP331" s="323"/>
    </row>
    <row r="332" spans="1:120">
      <c r="A332" s="339"/>
      <c r="B332" s="339"/>
      <c r="C332" s="339"/>
      <c r="DK332" s="323"/>
      <c r="DL332" s="323"/>
      <c r="DM332" s="323"/>
      <c r="DN332" s="323"/>
      <c r="DO332" s="323"/>
      <c r="DP332" s="323"/>
    </row>
    <row r="333" spans="1:120">
      <c r="A333" s="339"/>
      <c r="B333" s="339"/>
      <c r="C333" s="339"/>
      <c r="DK333" s="323"/>
      <c r="DL333" s="323"/>
      <c r="DM333" s="323"/>
      <c r="DN333" s="323"/>
      <c r="DO333" s="323"/>
      <c r="DP333" s="323"/>
    </row>
    <row r="334" spans="1:120">
      <c r="A334" s="339"/>
      <c r="B334" s="339"/>
      <c r="C334" s="339"/>
      <c r="DK334" s="323"/>
      <c r="DL334" s="323"/>
      <c r="DM334" s="323"/>
      <c r="DN334" s="323"/>
      <c r="DO334" s="323"/>
      <c r="DP334" s="323"/>
    </row>
    <row r="335" spans="1:120">
      <c r="A335" s="339"/>
      <c r="B335" s="339"/>
      <c r="C335" s="339"/>
    </row>
    <row r="336" spans="1:120">
      <c r="A336" s="339"/>
      <c r="B336" s="339"/>
      <c r="C336" s="339"/>
      <c r="BJ336" s="327"/>
      <c r="BK336" s="358"/>
      <c r="BL336" s="330"/>
    </row>
    <row r="337" spans="1:64">
      <c r="A337" s="339"/>
      <c r="B337" s="339" t="s">
        <v>437</v>
      </c>
      <c r="C337" s="339"/>
      <c r="M337" s="334"/>
      <c r="BH337" s="352" t="s">
        <v>438</v>
      </c>
      <c r="BI337" s="286" t="s">
        <v>402</v>
      </c>
      <c r="BJ337" s="327"/>
      <c r="BK337" s="358"/>
      <c r="BL337" s="330"/>
    </row>
    <row r="338" spans="1:64">
      <c r="A338" s="339"/>
      <c r="B338" s="339" t="str">
        <f>D3</f>
        <v>3-year averages</v>
      </c>
      <c r="C338" s="339"/>
      <c r="M338" s="334"/>
      <c r="BH338" s="286" t="s">
        <v>396</v>
      </c>
      <c r="BJ338" s="327"/>
      <c r="BK338" s="358"/>
      <c r="BL338" s="330"/>
    </row>
    <row r="339" spans="1:64">
      <c r="A339" s="339"/>
      <c r="B339" s="339">
        <f>B1</f>
        <v>0</v>
      </c>
      <c r="C339" s="339"/>
      <c r="M339" s="334"/>
      <c r="BH339" s="286" t="s">
        <v>403</v>
      </c>
      <c r="BJ339" s="327">
        <f>BJ329+BJ337</f>
        <v>0</v>
      </c>
      <c r="BK339" s="358">
        <f>BK329+BK337</f>
        <v>0</v>
      </c>
      <c r="BL339" s="330">
        <f>BK339-BJ339</f>
        <v>0</v>
      </c>
    </row>
    <row r="340" spans="1:64">
      <c r="A340" s="339"/>
      <c r="B340" s="339" t="s">
        <v>420</v>
      </c>
      <c r="C340" s="339"/>
      <c r="F340" s="286" t="s">
        <v>371</v>
      </c>
      <c r="G340" s="287" t="s">
        <v>372</v>
      </c>
      <c r="H340" s="358">
        <f>SUM(H362-G362)</f>
        <v>-3128.2403904401144</v>
      </c>
      <c r="M340" s="334"/>
      <c r="T340" s="326"/>
      <c r="BH340" s="286" t="s">
        <v>396</v>
      </c>
      <c r="BJ340" s="327"/>
      <c r="BK340" s="358"/>
      <c r="BL340" s="330"/>
    </row>
    <row r="341" spans="1:64">
      <c r="M341" s="334"/>
      <c r="BJ341" s="327"/>
      <c r="BK341" s="358"/>
      <c r="BL341" s="330"/>
    </row>
    <row r="342" spans="1:64">
      <c r="C342" s="284" t="s">
        <v>216</v>
      </c>
      <c r="E342" s="286" t="s">
        <v>374</v>
      </c>
      <c r="G342" s="287" t="s">
        <v>345</v>
      </c>
      <c r="I342" s="305" t="s">
        <v>218</v>
      </c>
      <c r="M342" s="334"/>
      <c r="BH342" s="286" t="s">
        <v>430</v>
      </c>
      <c r="BJ342" s="327"/>
      <c r="BK342" s="358"/>
      <c r="BL342" s="330"/>
    </row>
    <row r="343" spans="1:64">
      <c r="C343" s="304" t="s">
        <v>230</v>
      </c>
      <c r="D343" s="305" t="s">
        <v>218</v>
      </c>
      <c r="E343" s="306" t="s">
        <v>230</v>
      </c>
      <c r="F343" s="306" t="s">
        <v>218</v>
      </c>
      <c r="G343" s="303" t="s">
        <v>230</v>
      </c>
      <c r="H343" s="304" t="s">
        <v>218</v>
      </c>
      <c r="I343" s="305" t="s">
        <v>55</v>
      </c>
      <c r="M343" s="334"/>
      <c r="BH343" s="352" t="s">
        <v>439</v>
      </c>
      <c r="BI343" s="286" t="s">
        <v>432</v>
      </c>
      <c r="BJ343" s="327">
        <f>BM274</f>
        <v>0</v>
      </c>
      <c r="BK343" s="358">
        <f>BN274</f>
        <v>0</v>
      </c>
      <c r="BL343" s="330">
        <f>BK343-BJ343</f>
        <v>0</v>
      </c>
    </row>
    <row r="344" spans="1:64">
      <c r="B344" s="283" t="s">
        <v>242</v>
      </c>
      <c r="C344" s="284">
        <f t="shared" ref="C344:C359" si="61">IF($C$2=1,+C78,IF($C$2=2,+H78,IF($C$2=3,+M78,IF($C$2=4,+R78,IF($C$2=5,+W78,IF($C$2=6,+AB78,IF($C$2=7,+AG78,IF($C$2=8,+AL78,IF($C$2=9,+AQ78,IF($C$2=10,+AV78,IF($C$2=11,+BA78,IF($C$2=12,+BF78,0))))))))))))</f>
        <v>340397.47288891004</v>
      </c>
      <c r="D344" s="288">
        <f t="shared" ref="D344:D359" si="62">IF($C$2=1,+D78,IF($C$2=2,+I78,IF($C$2=3,+N78,IF($C$2=4,+S78,IF($C$2=5,+X78,IF($C$2=6,+AC78,IF($C$2=7,+AH78,IF($C$2=8,+AM78,IF($C$2=9,+AR78,IF($C$2=10,+AW78,IF($C$2=11,+BB78,IF($C$2=12,+BG78,0))))))))))))</f>
        <v>460074.33333333331</v>
      </c>
      <c r="E344" s="326">
        <f t="shared" ref="E344:E362" si="63">IF(C344=0,0,+G344/C344)</f>
        <v>8.6336613651963379E-2</v>
      </c>
      <c r="F344" s="326">
        <f t="shared" ref="F344:F362" si="64">IF(D344=0,0,+H344/D344)</f>
        <v>8.748949263995745E-2</v>
      </c>
      <c r="G344" s="327">
        <f t="shared" ref="G344:G359" si="65">IF($C$2=1,+E78,IF($C$2=2,+J78,IF($C$2=3,+O78,IF($C$2=4,+T78,IF($C$2=5,+Y78,IF($C$2=6,+AD78,IF($C$2=7,+AI78,IF($C$2=8,+AN78,IF($C$2=9,+AS78,IF($C$2=10,+AX78,IF($C$2=11,+BC78,IF($C$2=12,+BH78,0))))))))))))</f>
        <v>29388.765104914502</v>
      </c>
      <c r="H344" s="358">
        <f t="shared" ref="H344:H359" si="66">IF($C$2=1,+F78,IF($C$2=2,+K78,IF($C$2=3,+P78,IF($C$2=4,+U78,IF($C$2=5,+Z78,IF($C$2=6,+AE78,IF($C$2=7,+AJ78,IF($C$2=8,+AO78,IF($C$2=9,+AT78,IF($C$2=10,+AY78,IF($C$2=11,+BD78,IF($C$2=12,+BI78,0))))))))))))</f>
        <v>40251.67</v>
      </c>
      <c r="I344" s="330">
        <f t="shared" ref="I344:I359" si="67">IF($C$2=1,+G78,IF($C$2=2,+L78,IF($C$2=3,+Q78,IF($C$2=4,+V78,IF($C$2=5,+AA78,IF($C$2=6,+AF78,IF($C$2=7,+AK78,IF($C$2=8,+AP78,IF($C$2=9,+AU78,IF($C$2=10,+AZ78,IF($C$2=11,+BE78,IF($C$2=12,+BJ78,0))))))))))))</f>
        <v>450.45986806269258</v>
      </c>
      <c r="M344" s="334"/>
      <c r="BJ344" s="327"/>
      <c r="BK344" s="358"/>
      <c r="BL344" s="330"/>
    </row>
    <row r="345" spans="1:64">
      <c r="B345" s="283" t="s">
        <v>127</v>
      </c>
      <c r="C345" s="284">
        <f t="shared" si="61"/>
        <v>0</v>
      </c>
      <c r="D345" s="288">
        <f t="shared" si="62"/>
        <v>0</v>
      </c>
      <c r="E345" s="326">
        <f t="shared" si="63"/>
        <v>0</v>
      </c>
      <c r="F345" s="326">
        <f t="shared" si="64"/>
        <v>0</v>
      </c>
      <c r="G345" s="327">
        <f t="shared" si="65"/>
        <v>0</v>
      </c>
      <c r="H345" s="358">
        <f t="shared" si="66"/>
        <v>0</v>
      </c>
      <c r="I345" s="330">
        <f t="shared" si="67"/>
        <v>0</v>
      </c>
      <c r="M345" s="334"/>
      <c r="Q345" s="327"/>
      <c r="R345" s="358"/>
      <c r="BH345" s="352" t="s">
        <v>433</v>
      </c>
      <c r="BI345" s="286" t="s">
        <v>390</v>
      </c>
      <c r="BJ345" s="327">
        <f>BM280</f>
        <v>0</v>
      </c>
      <c r="BK345" s="358">
        <f>BN280</f>
        <v>0</v>
      </c>
      <c r="BL345" s="330">
        <f>BK345-BJ345</f>
        <v>0</v>
      </c>
    </row>
    <row r="346" spans="1:64">
      <c r="B346" s="283" t="s">
        <v>245</v>
      </c>
      <c r="C346" s="284">
        <f t="shared" si="61"/>
        <v>0</v>
      </c>
      <c r="D346" s="288">
        <f t="shared" si="62"/>
        <v>0</v>
      </c>
      <c r="E346" s="326">
        <f t="shared" si="63"/>
        <v>0</v>
      </c>
      <c r="F346" s="326">
        <f t="shared" si="64"/>
        <v>0</v>
      </c>
      <c r="G346" s="327">
        <f t="shared" si="65"/>
        <v>0</v>
      </c>
      <c r="H346" s="358">
        <f t="shared" si="66"/>
        <v>0</v>
      </c>
      <c r="I346" s="330">
        <f t="shared" si="67"/>
        <v>0</v>
      </c>
      <c r="M346" s="334"/>
      <c r="Q346" s="327"/>
      <c r="R346" s="358"/>
      <c r="BJ346" s="327"/>
      <c r="BK346" s="358"/>
      <c r="BL346" s="330"/>
    </row>
    <row r="347" spans="1:64">
      <c r="B347" s="283" t="s">
        <v>61</v>
      </c>
      <c r="C347" s="284">
        <f t="shared" si="61"/>
        <v>55225.591916941667</v>
      </c>
      <c r="D347" s="288">
        <f t="shared" si="62"/>
        <v>55284.333333333336</v>
      </c>
      <c r="E347" s="326">
        <f t="shared" si="63"/>
        <v>0.22548486709013993</v>
      </c>
      <c r="F347" s="326">
        <f t="shared" si="64"/>
        <v>0.20808209679656081</v>
      </c>
      <c r="G347" s="327">
        <f t="shared" si="65"/>
        <v>12452.535253365897</v>
      </c>
      <c r="H347" s="358">
        <f t="shared" si="66"/>
        <v>11503.68</v>
      </c>
      <c r="I347" s="330">
        <f t="shared" si="67"/>
        <v>54.129021540578414</v>
      </c>
      <c r="M347" s="334"/>
      <c r="Q347" s="327"/>
      <c r="R347" s="358"/>
      <c r="BH347" s="352" t="s">
        <v>407</v>
      </c>
      <c r="BI347" s="286" t="s">
        <v>390</v>
      </c>
      <c r="BJ347" s="327">
        <f>BM282</f>
        <v>0</v>
      </c>
      <c r="BK347" s="358">
        <f>BN282</f>
        <v>0</v>
      </c>
      <c r="BL347" s="330">
        <f>BK347-BJ347</f>
        <v>0</v>
      </c>
    </row>
    <row r="348" spans="1:64">
      <c r="B348" s="283" t="s">
        <v>66</v>
      </c>
      <c r="C348" s="284">
        <f t="shared" si="61"/>
        <v>40908.14390771903</v>
      </c>
      <c r="D348" s="288">
        <f t="shared" si="62"/>
        <v>43348.333333333336</v>
      </c>
      <c r="E348" s="326">
        <f t="shared" si="63"/>
        <v>0.26529322633772645</v>
      </c>
      <c r="F348" s="326">
        <f t="shared" si="64"/>
        <v>0.27316482755969085</v>
      </c>
      <c r="G348" s="327">
        <f t="shared" si="65"/>
        <v>10852.65348076679</v>
      </c>
      <c r="H348" s="358">
        <f t="shared" si="66"/>
        <v>11841.24</v>
      </c>
      <c r="I348" s="330">
        <f t="shared" si="67"/>
        <v>42.442455706224905</v>
      </c>
      <c r="M348" s="334"/>
      <c r="Q348" s="327"/>
      <c r="R348" s="358"/>
      <c r="BH348" s="286" t="s">
        <v>396</v>
      </c>
      <c r="BJ348" s="327"/>
      <c r="BK348" s="358"/>
      <c r="BL348" s="330"/>
    </row>
    <row r="349" spans="1:64">
      <c r="B349" s="283" t="s">
        <v>257</v>
      </c>
      <c r="C349" s="284">
        <f t="shared" si="61"/>
        <v>1084.6029594004069</v>
      </c>
      <c r="D349" s="288">
        <f t="shared" si="62"/>
        <v>300</v>
      </c>
      <c r="E349" s="326">
        <f t="shared" si="63"/>
        <v>0.80246328703229619</v>
      </c>
      <c r="F349" s="326">
        <f t="shared" si="64"/>
        <v>0.80629999999999991</v>
      </c>
      <c r="G349" s="327">
        <f t="shared" si="65"/>
        <v>870.35405592540667</v>
      </c>
      <c r="H349" s="358">
        <f t="shared" si="66"/>
        <v>241.89</v>
      </c>
      <c r="I349" s="330">
        <f t="shared" si="67"/>
        <v>0.29373070964360348</v>
      </c>
      <c r="M349" s="334"/>
      <c r="Q349" s="327"/>
      <c r="R349" s="358"/>
      <c r="BH349" s="286" t="s">
        <v>408</v>
      </c>
      <c r="BJ349" s="327">
        <f>SUM(BJ343:BJ347)</f>
        <v>0</v>
      </c>
      <c r="BK349" s="358">
        <f>SUM(BK343:BK347)</f>
        <v>0</v>
      </c>
      <c r="BL349" s="330">
        <f>BK349-BJ349</f>
        <v>0</v>
      </c>
    </row>
    <row r="350" spans="1:64">
      <c r="B350" s="283" t="s">
        <v>62</v>
      </c>
      <c r="C350" s="284">
        <f t="shared" si="61"/>
        <v>0</v>
      </c>
      <c r="D350" s="288">
        <f t="shared" si="62"/>
        <v>0</v>
      </c>
      <c r="E350" s="326">
        <f t="shared" si="63"/>
        <v>0</v>
      </c>
      <c r="F350" s="326">
        <f t="shared" si="64"/>
        <v>0</v>
      </c>
      <c r="G350" s="327">
        <f t="shared" si="65"/>
        <v>0</v>
      </c>
      <c r="H350" s="358">
        <f t="shared" si="66"/>
        <v>0</v>
      </c>
      <c r="I350" s="330">
        <f t="shared" si="67"/>
        <v>0</v>
      </c>
      <c r="M350" s="334"/>
      <c r="Q350" s="327"/>
      <c r="R350" s="358"/>
      <c r="BH350" s="286" t="s">
        <v>396</v>
      </c>
      <c r="BJ350" s="327"/>
      <c r="BK350" s="358"/>
      <c r="BL350" s="330"/>
    </row>
    <row r="351" spans="1:64">
      <c r="B351" s="283" t="s">
        <v>262</v>
      </c>
      <c r="C351" s="284">
        <f t="shared" si="61"/>
        <v>19743.836565796282</v>
      </c>
      <c r="D351" s="288">
        <f t="shared" si="62"/>
        <v>21403</v>
      </c>
      <c r="E351" s="326">
        <f t="shared" si="63"/>
        <v>0.33696999637607011</v>
      </c>
      <c r="F351" s="326">
        <f t="shared" si="64"/>
        <v>0.290886947312682</v>
      </c>
      <c r="G351" s="327">
        <f t="shared" si="65"/>
        <v>6653.0805360260938</v>
      </c>
      <c r="H351" s="358">
        <f t="shared" si="66"/>
        <v>6225.8533333333326</v>
      </c>
      <c r="I351" s="330">
        <f t="shared" si="67"/>
        <v>20.955727928340149</v>
      </c>
      <c r="M351" s="334"/>
      <c r="Q351" s="327"/>
      <c r="R351" s="358"/>
      <c r="BJ351" s="327"/>
      <c r="BK351" s="358"/>
      <c r="BL351" s="330"/>
    </row>
    <row r="352" spans="1:64">
      <c r="B352" s="283" t="s">
        <v>326</v>
      </c>
      <c r="C352" s="284">
        <f t="shared" si="61"/>
        <v>0</v>
      </c>
      <c r="D352" s="288">
        <f t="shared" si="62"/>
        <v>0</v>
      </c>
      <c r="E352" s="326">
        <f t="shared" si="63"/>
        <v>0</v>
      </c>
      <c r="F352" s="326">
        <f t="shared" si="64"/>
        <v>0</v>
      </c>
      <c r="G352" s="327">
        <f t="shared" si="65"/>
        <v>0</v>
      </c>
      <c r="H352" s="358">
        <f t="shared" si="66"/>
        <v>-5150.1866666666674</v>
      </c>
      <c r="I352" s="330">
        <f t="shared" si="67"/>
        <v>0</v>
      </c>
      <c r="M352" s="334"/>
      <c r="Q352" s="327"/>
      <c r="R352" s="358"/>
      <c r="BH352" s="286" t="s">
        <v>409</v>
      </c>
      <c r="BJ352" s="327"/>
      <c r="BK352" s="358"/>
      <c r="BL352" s="330"/>
    </row>
    <row r="353" spans="2:67">
      <c r="B353" s="283" t="s">
        <v>72</v>
      </c>
      <c r="C353" s="284">
        <f t="shared" si="61"/>
        <v>5450.9733434384198</v>
      </c>
      <c r="D353" s="288">
        <f t="shared" si="62"/>
        <v>5219</v>
      </c>
      <c r="E353" s="326">
        <f t="shared" si="63"/>
        <v>0.1624730016448743</v>
      </c>
      <c r="F353" s="326">
        <f t="shared" si="64"/>
        <v>0.16379255285175962</v>
      </c>
      <c r="G353" s="327">
        <f t="shared" si="65"/>
        <v>885.63600099463633</v>
      </c>
      <c r="H353" s="358">
        <f t="shared" si="66"/>
        <v>854.83333333333337</v>
      </c>
      <c r="I353" s="330">
        <f t="shared" si="67"/>
        <v>5.1099352454332223</v>
      </c>
      <c r="M353" s="334"/>
      <c r="Q353" s="327"/>
      <c r="R353" s="358"/>
      <c r="BH353" s="352" t="s">
        <v>410</v>
      </c>
      <c r="BI353" s="286" t="s">
        <v>395</v>
      </c>
      <c r="BJ353" s="327">
        <f>BM276</f>
        <v>0</v>
      </c>
      <c r="BK353" s="358">
        <f>BN276</f>
        <v>0</v>
      </c>
      <c r="BL353" s="330">
        <f>BK353-BJ353</f>
        <v>0</v>
      </c>
    </row>
    <row r="354" spans="2:67">
      <c r="B354" s="283" t="s">
        <v>54</v>
      </c>
      <c r="C354" s="284">
        <f t="shared" si="61"/>
        <v>8709.0162355536449</v>
      </c>
      <c r="D354" s="288">
        <f t="shared" si="62"/>
        <v>10336.333333333334</v>
      </c>
      <c r="E354" s="326">
        <f t="shared" si="63"/>
        <v>0.67520204731764732</v>
      </c>
      <c r="F354" s="326">
        <f t="shared" si="64"/>
        <v>0.37835467122448319</v>
      </c>
      <c r="G354" s="327">
        <f t="shared" si="65"/>
        <v>5880.3455923684514</v>
      </c>
      <c r="H354" s="358">
        <f t="shared" si="66"/>
        <v>3910.8</v>
      </c>
      <c r="I354" s="330">
        <f t="shared" si="67"/>
        <v>10.120328417042778</v>
      </c>
    </row>
    <row r="355" spans="2:67">
      <c r="B355" s="283" t="s">
        <v>269</v>
      </c>
      <c r="C355" s="284">
        <f t="shared" si="61"/>
        <v>11251.504543147141</v>
      </c>
      <c r="D355" s="288">
        <f t="shared" si="62"/>
        <v>12008.666666666666</v>
      </c>
      <c r="E355" s="326">
        <f t="shared" si="63"/>
        <v>0.21817410805745407</v>
      </c>
      <c r="F355" s="326">
        <f t="shared" si="64"/>
        <v>0.12319546993837786</v>
      </c>
      <c r="G355" s="327">
        <f t="shared" si="65"/>
        <v>2454.7869680055196</v>
      </c>
      <c r="H355" s="358">
        <f t="shared" si="66"/>
        <v>1479.4133333333336</v>
      </c>
      <c r="I355" s="330">
        <f t="shared" si="67"/>
        <v>11.757713939578288</v>
      </c>
      <c r="M355" s="334"/>
      <c r="Q355" s="327"/>
      <c r="R355" s="358"/>
      <c r="BH355" s="286" t="s">
        <v>396</v>
      </c>
      <c r="BJ355" s="327"/>
      <c r="BK355" s="358"/>
      <c r="BL355" s="330"/>
    </row>
    <row r="356" spans="2:67">
      <c r="B356" s="283" t="s">
        <v>274</v>
      </c>
      <c r="C356" s="284">
        <f t="shared" si="61"/>
        <v>1341.8892075431838</v>
      </c>
      <c r="D356" s="288">
        <f t="shared" si="62"/>
        <v>1338.3333333333333</v>
      </c>
      <c r="E356" s="326">
        <f t="shared" si="63"/>
        <v>2.7762907427223049</v>
      </c>
      <c r="F356" s="326">
        <f t="shared" si="64"/>
        <v>2.8336637608966377</v>
      </c>
      <c r="G356" s="327">
        <f t="shared" si="65"/>
        <v>3725.4745846611113</v>
      </c>
      <c r="H356" s="358">
        <f t="shared" si="66"/>
        <v>3792.3866666666668</v>
      </c>
      <c r="I356" s="330">
        <f t="shared" si="67"/>
        <v>1.310365332465631</v>
      </c>
      <c r="M356" s="334"/>
      <c r="Q356" s="327"/>
      <c r="R356" s="358"/>
      <c r="BH356" s="286" t="s">
        <v>411</v>
      </c>
      <c r="BJ356" s="327">
        <f>BJ353</f>
        <v>0</v>
      </c>
      <c r="BK356" s="358">
        <f>BK353</f>
        <v>0</v>
      </c>
      <c r="BL356" s="330">
        <f>BK356-BJ356</f>
        <v>0</v>
      </c>
    </row>
    <row r="357" spans="2:67">
      <c r="B357" s="283" t="s">
        <v>279</v>
      </c>
      <c r="C357" s="284">
        <f t="shared" si="61"/>
        <v>1076.5074210244586</v>
      </c>
      <c r="D357" s="288">
        <f t="shared" si="62"/>
        <v>917.66666666666663</v>
      </c>
      <c r="E357" s="326">
        <f t="shared" si="63"/>
        <v>1.1497686516640442</v>
      </c>
      <c r="F357" s="326">
        <f t="shared" si="64"/>
        <v>1.0332364693062115</v>
      </c>
      <c r="G357" s="327">
        <f t="shared" si="65"/>
        <v>1237.7344859776292</v>
      </c>
      <c r="H357" s="358">
        <f t="shared" si="66"/>
        <v>948.16666666666674</v>
      </c>
      <c r="I357" s="330">
        <f t="shared" si="67"/>
        <v>0.89848960405426703</v>
      </c>
      <c r="M357" s="334"/>
      <c r="Q357" s="327"/>
      <c r="R357" s="358"/>
      <c r="BH357" s="286" t="s">
        <v>396</v>
      </c>
      <c r="BJ357" s="327"/>
      <c r="BK357" s="358"/>
      <c r="BL357" s="330"/>
    </row>
    <row r="358" spans="2:67">
      <c r="B358" s="283" t="s">
        <v>65</v>
      </c>
      <c r="C358" s="284">
        <f t="shared" si="61"/>
        <v>14129.572373903045</v>
      </c>
      <c r="D358" s="288">
        <f t="shared" si="62"/>
        <v>12148</v>
      </c>
      <c r="E358" s="326">
        <f t="shared" si="63"/>
        <v>0.16866399999999998</v>
      </c>
      <c r="F358" s="326">
        <f t="shared" si="64"/>
        <v>0.1050071342333443</v>
      </c>
      <c r="G358" s="327">
        <f t="shared" si="65"/>
        <v>2383.1501948719829</v>
      </c>
      <c r="H358" s="358">
        <f t="shared" si="66"/>
        <v>1275.6266666666666</v>
      </c>
      <c r="I358" s="330">
        <f t="shared" si="67"/>
        <v>11.894135535834984</v>
      </c>
      <c r="M358" s="334"/>
      <c r="Q358" s="327"/>
      <c r="R358" s="358"/>
      <c r="BJ358" s="327"/>
      <c r="BK358" s="358"/>
      <c r="BL358" s="330"/>
    </row>
    <row r="359" spans="2:67">
      <c r="B359" s="283" t="s">
        <v>280</v>
      </c>
      <c r="C359" s="284">
        <f t="shared" si="61"/>
        <v>375</v>
      </c>
      <c r="D359" s="288">
        <f t="shared" si="62"/>
        <v>375</v>
      </c>
      <c r="E359" s="326">
        <f t="shared" si="63"/>
        <v>2.4873066666666666</v>
      </c>
      <c r="F359" s="326">
        <f t="shared" si="64"/>
        <v>2.4873066666666666</v>
      </c>
      <c r="G359" s="327">
        <f t="shared" si="65"/>
        <v>932.74</v>
      </c>
      <c r="H359" s="358">
        <f t="shared" si="66"/>
        <v>932.74</v>
      </c>
      <c r="I359" s="330">
        <f t="shared" si="67"/>
        <v>0.36716338705450435</v>
      </c>
      <c r="M359" s="334"/>
      <c r="Q359" s="327"/>
      <c r="R359" s="358"/>
      <c r="BH359" s="286" t="s">
        <v>435</v>
      </c>
      <c r="BJ359" s="327"/>
      <c r="BK359" s="358"/>
      <c r="BL359" s="330"/>
    </row>
    <row r="360" spans="2:67">
      <c r="B360" s="283" t="s">
        <v>283</v>
      </c>
      <c r="C360" s="284">
        <f>IF($C$2=1,+C77,IF($C$2=2,+H77,IF($C$2=3,+M77,IF($C$2=4,+R77,IF($C$2=5,+W77,IF($C$2=6,+AB77,IF($C$2=7,+AG77,IF($C$2=8,+AL77,IF($C$2=9,+AQ77,IF($C$2=10,+AV77,IF($C$2=11,+BA77,IF($C$2=12,+BF77,0))))))))))))</f>
        <v>1800</v>
      </c>
      <c r="D360" s="288">
        <f>IF($C$2=1,+D77,IF($C$2=2,+I77,IF($C$2=3,+N77,IF($C$2=4,+S77,IF($C$2=5,+X77,IF($C$2=6,+AC77,IF($C$2=7,+AH77,IF($C$2=8,+AM77,IF($C$2=9,+AR77,IF($C$2=10,+AW77,IF($C$2=11,+BB77,IF($C$2=12,+BG77,0))))))))))))</f>
        <v>1800</v>
      </c>
      <c r="E360" s="326">
        <f t="shared" si="63"/>
        <v>0.3422</v>
      </c>
      <c r="F360" s="326">
        <f t="shared" si="64"/>
        <v>0.3422</v>
      </c>
      <c r="G360" s="327">
        <f>IF($C$2=1,+E77,IF($C$2=2,+J77,IF($C$2=3,+O77,IF($C$2=4,+T77,IF($C$2=5,+Y77,IF($C$2=6,+AD77,IF($C$2=7,+AI77,IF($C$2=8,+AN77,IF($C$2=9,+AS77,IF($C$2=10,+AX77,IF($C$2=11,+BC77,IF($C$2=12,+BH77,0))))))))))))</f>
        <v>615.96</v>
      </c>
      <c r="H360" s="358">
        <f>IF($C$2=1,+F77,IF($C$2=2,+K77,IF($C$2=3,+P77,IF($C$2=4,+U77,IF($C$2=5,+Z77,IF($C$2=6,+AE77,IF($C$2=7,+AJ77,IF($C$2=8,+AO77,IF($C$2=9,+AT77,IF($C$2=10,+AY77,IF($C$2=11,+BD77,IF($C$2=12,+BI77,0))))))))))))</f>
        <v>615.96</v>
      </c>
      <c r="I360" s="330">
        <f>IF($C$2=1,+G77,IF($C$2=2,+L77,IF($C$2=3,+Q77,IF($C$2=4,+V77,IF($C$2=5,+AA77,IF($C$2=6,+AF77,IF($C$2=7,+AK77,IF($C$2=8,+AP77,IF($C$2=9,+AU77,IF($C$2=10,+AZ77,IF($C$2=11,+BE77,IF($C$2=12,+BJ77,0))))))))))))</f>
        <v>1.7623842578616209</v>
      </c>
      <c r="M360" s="334"/>
      <c r="Q360" s="327"/>
      <c r="R360" s="358"/>
      <c r="BH360" s="352" t="s">
        <v>436</v>
      </c>
      <c r="BI360" s="286" t="s">
        <v>402</v>
      </c>
      <c r="BJ360" s="327">
        <f>BM277</f>
        <v>0</v>
      </c>
      <c r="BK360" s="358">
        <f>BN277</f>
        <v>0</v>
      </c>
      <c r="BL360" s="330">
        <f>BK360-BJ360</f>
        <v>0</v>
      </c>
    </row>
    <row r="361" spans="2:67">
      <c r="B361" s="283" t="s">
        <v>63</v>
      </c>
      <c r="C361" s="284">
        <f>IF($C$2=1,+C94,IF($C$2=2,+H94,IF($C$2=3,+M94,IF($C$2=4,+R94,IF($C$2=5,+W94,IF($C$2=6,+AB94,IF($C$2=7,+AG94,IF($C$2=8,+AL94,IF($C$2=9,+AQ94,IF($C$2=10,+AV94,IF($C$2=11,+BA94,IF($C$2=12,+BF94,0))))))))))))</f>
        <v>33847.655973157824</v>
      </c>
      <c r="D361" s="288">
        <f>IF($C$2=1,+D94,IF($C$2=2,+I94,IF($C$2=3,+N94,IF($C$2=4,+S94,IF($C$2=5,+X94,IF($C$2=6,+AC94,IF($C$2=7,+AH94,IF($C$2=8,+AM94,IF($C$2=9,+AR94,IF($C$2=10,+AW94,IF($C$2=11,+BB94,IF($C$2=12,+BG94,0))))))))))))</f>
        <v>34535.666666666664</v>
      </c>
      <c r="E361" s="326">
        <f t="shared" si="63"/>
        <v>0.75106016577370427</v>
      </c>
      <c r="F361" s="326">
        <f t="shared" si="64"/>
        <v>0.4832656094665419</v>
      </c>
      <c r="G361" s="327">
        <f>IF($C$2=1,+E94,IF($C$2=2,+J94,IF($C$2=3,+O94,IF($C$2=4,+T94,IF($C$2=5,+Y94,IF($C$2=6,+AD94,IF($C$2=7,+AI94,IF($C$2=8,+AN94,IF($C$2=9,+AS94,IF($C$2=10,+AX94,IF($C$2=11,+BC94,IF($C$2=12,+BH94,0))))))))))))</f>
        <v>25421.626106251228</v>
      </c>
      <c r="H361" s="358">
        <f>IF($C$2=1,+F94,IF($C$2=2,+K94,IF($C$2=3,P94,IF($C$2=4,+U94,IF($C$2=5,+Z94,IF($C$2=6,+AE94,IF($C$2=7,+AJ94,IF($C$2=8,+AO94,IF($C$2=9,+AT94,IF($C$2=10,+AY94,IF($C$2=11,+BD94,IF($C$2=12,+BI94,0))))))))))))</f>
        <v>16689.900000000001</v>
      </c>
      <c r="I361" s="330">
        <f>IF($C$2=1,+G94,IF($C$2=2,+L94,IF($C$2=3,Q94,IF($C$2=4,+V94,IF($C$2=5,+AA94,IF($C$2=6,+AF94,IF($C$2=7,+AK94,IF($C$2=8,+AP94,IF($C$2=9,+AU94,IF($C$2=10,+AZ94,IF($C$2=11,+BE94,IF($C$2=12,+BJ94,0))))))))))))</f>
        <v>33.813952926716468</v>
      </c>
      <c r="M361" s="334"/>
      <c r="Q361" s="327"/>
      <c r="R361" s="358"/>
      <c r="BJ361" s="327"/>
      <c r="BK361" s="358"/>
      <c r="BL361" s="330"/>
    </row>
    <row r="362" spans="2:67">
      <c r="B362" s="283" t="s">
        <v>13</v>
      </c>
      <c r="C362" s="284">
        <f>IF($C$2=1,+C96,IF($C$2=2,+H96,IF($C$2=3,+M96,IF($C$2=4,+R96,IF($C$2=5,+W96,IF($C$2=6,+AB96,IF($C$2=7,+AG96,IF($C$2=8,+AL96,IF($C$2=9,+AQ96,IF($C$2=10,+AV96,IF($C$2=11,+BA96,IF($C$2=12,+BF96,0))))))))))))</f>
        <v>535341.76733653515</v>
      </c>
      <c r="D362" s="288">
        <f>IF($C$2=1,+D96,IF($C$2=2,+I96,IF($C$2=3,+N96,IF($C$2=4,+S96,IF($C$2=5,+X96,IF($C$2=6,+AC96,IF($C$2=7,+AH96,IF($C$2=8,+AM96,IF($C$2=9,+AR96,IF($C$2=10,+AW96,IF($C$2=11,+BB96,IF($C$2=12,+BG96,0))))))))))))</f>
        <v>659088.66666666663</v>
      </c>
      <c r="E362" s="326">
        <f t="shared" si="63"/>
        <v>0.23152153998199987</v>
      </c>
      <c r="F362" s="326">
        <f t="shared" si="64"/>
        <v>0.18330600435146305</v>
      </c>
      <c r="G362" s="327">
        <f>IF($C$2=1,+E96,IF($C$2=2,+J96,IF($C$2=3,+O96,IF($C$2=4,+T96,IF($C$2=5,+Y96,IF($C$2=6,+AD96,IF($C$2=7,+AI96,IF($C$2=8,+AN96,IF($C$2=9,+AS96,IF($C$2=10,+AX96,IF($C$2=11,+BC96,IF($C$2=12,+BH96,0))))))))))))</f>
        <v>123943.15039044009</v>
      </c>
      <c r="H362" s="358">
        <f>IF($C$2=1,+F96,IF($C$2=2,+K96,IF($C$2=3,+P96,IF($C$2=4,+U96,IF($C$2=5,+Z96,IF($C$2=6,+AE96,IF($C$2=7,+AJ96,IF($C$2=8,+AO96,IF($C$2=9,+AT96,IF($C$2=10,+AY96,IF($C$2=11,+BD96,IF($C$2=12,+BI96,0))))))))))))</f>
        <v>120814.90999999997</v>
      </c>
      <c r="I362" s="330">
        <f>IF($C$2=1,+G96,IF($C$2=2,+L96,IF($C$2=3,+Q96,IF($C$2=4,+V96,IF($C$2=5,+AA96,IF($C$2=6,+AF96,IF($C$2=7,+AK96,IF($C$2=8,+AP96,IF($C$2=9,+AU96,IF($C$2=10,+AZ96,IF($C$2=11,+BE96,IF($C$2=12,+BJ96,0))))))))))))</f>
        <v>645.3152725935214</v>
      </c>
      <c r="K362" s="326"/>
      <c r="M362" s="334"/>
      <c r="Q362" s="327"/>
      <c r="R362" s="358"/>
      <c r="W362" s="358"/>
      <c r="BH362" s="352" t="s">
        <v>416</v>
      </c>
      <c r="BI362" s="286" t="s">
        <v>402</v>
      </c>
      <c r="BJ362" s="327">
        <f>BM278</f>
        <v>0</v>
      </c>
      <c r="BK362" s="358">
        <f>BN278</f>
        <v>0</v>
      </c>
      <c r="BL362" s="330"/>
    </row>
    <row r="363" spans="2:67">
      <c r="G363" s="327"/>
      <c r="H363" s="358"/>
      <c r="M363" s="334"/>
      <c r="W363" s="358"/>
      <c r="BJ363" s="327"/>
      <c r="BK363" s="358"/>
      <c r="BL363" s="330"/>
    </row>
    <row r="364" spans="2:67">
      <c r="G364" s="327"/>
      <c r="H364" s="358"/>
      <c r="M364" s="334"/>
      <c r="T364" s="361"/>
      <c r="W364" s="358"/>
      <c r="BH364" s="352" t="s">
        <v>417</v>
      </c>
      <c r="BI364" s="286" t="s">
        <v>402</v>
      </c>
      <c r="BJ364" s="327">
        <f>BM283</f>
        <v>0</v>
      </c>
      <c r="BK364" s="358">
        <f>BN283</f>
        <v>0</v>
      </c>
      <c r="BL364" s="330">
        <f>BK364-BJ364</f>
        <v>0</v>
      </c>
    </row>
    <row r="365" spans="2:67">
      <c r="D365" s="288" t="s">
        <v>230</v>
      </c>
      <c r="F365" s="286" t="s">
        <v>218</v>
      </c>
      <c r="H365" s="284" t="s">
        <v>231</v>
      </c>
      <c r="M365" s="334"/>
      <c r="BH365" s="286" t="s">
        <v>396</v>
      </c>
      <c r="BJ365" s="327"/>
      <c r="BK365" s="358"/>
      <c r="BL365" s="330"/>
    </row>
    <row r="366" spans="2:67" s="339" customFormat="1">
      <c r="B366" s="339" t="s">
        <v>243</v>
      </c>
      <c r="D366" s="330">
        <f>IF($C$2=1,+D99,IF($C$2=2,+I99,IF($C$2=3,+N99,IF($C$2=4,+S99,IF($C$2=5,+X99,IF($C$2=6,+AC99,IF($C$2=7,+AH99,IF($C$2=8,+AM99,IF($C$2=9,+AR99,IF($C$2=10,+AW99,IF($C$2=11,+BB99,IF($C$2=12,+BG99,0))))))))))))</f>
        <v>25660</v>
      </c>
      <c r="E366" s="326"/>
      <c r="F366" s="326">
        <f>IF($C$2=1,+E99,IF($C$2=2,+J99,IF($C$2=3,+O99,IF($C$2=4,+T99,IF($C$2=5,+Y99,IF($C$2=6,+AD99,IF($C$2=7,+AI99,IF($C$2=8,+AN99,IF($C$2=9,+AS99,IF($C$2=10,+AX99,IF($C$2=11,+BC99,IF($C$2=12,+BH99,0))))))))))))</f>
        <v>15406.646666666667</v>
      </c>
      <c r="G366" s="327"/>
      <c r="H366" s="358">
        <f>IF($C$2=1,+F99,IF($C$2=2,+K99,IF($C$2=3,+P99,IF($C$2=4,+U99,IF($C$2=5,+Z99,IF($C$2=6,+AE99,IF($C$2=7,+AJ99,IF($C$2=8,+AO99,IF($C$2=9,+AT99,IF($C$2=10,+AY99,IF($C$2=11,+BD99,IF($C$2=12,+BI99,0))))))))))))</f>
        <v>15973.03</v>
      </c>
      <c r="I366" s="288"/>
      <c r="J366" s="286"/>
      <c r="K366" s="286"/>
      <c r="L366" s="289"/>
      <c r="M366" s="334"/>
      <c r="N366" s="288"/>
      <c r="O366" s="286"/>
      <c r="P366" s="286"/>
      <c r="Q366" s="287"/>
      <c r="S366" s="288"/>
      <c r="T366" s="286"/>
      <c r="U366" s="286"/>
      <c r="V366" s="287"/>
      <c r="X366" s="288"/>
      <c r="Y366" s="286"/>
      <c r="Z366" s="286"/>
      <c r="AA366" s="287"/>
      <c r="AC366" s="288"/>
      <c r="AD366" s="286"/>
      <c r="AE366" s="286"/>
      <c r="AF366" s="287"/>
      <c r="AH366" s="288"/>
      <c r="AI366" s="286"/>
      <c r="AJ366" s="286"/>
      <c r="AK366" s="287"/>
      <c r="AM366" s="288"/>
      <c r="AN366" s="286"/>
      <c r="AO366" s="286"/>
      <c r="AP366" s="287"/>
      <c r="AR366" s="288"/>
      <c r="AS366" s="286"/>
      <c r="AT366" s="286"/>
      <c r="AU366" s="287"/>
      <c r="AW366" s="288"/>
      <c r="AX366" s="286"/>
      <c r="AY366" s="286"/>
      <c r="AZ366" s="287"/>
      <c r="BB366" s="288"/>
      <c r="BC366" s="286"/>
      <c r="BD366" s="286"/>
      <c r="BE366" s="287"/>
      <c r="BG366" s="288"/>
      <c r="BH366" s="286" t="s">
        <v>418</v>
      </c>
      <c r="BI366" s="286"/>
      <c r="BJ366" s="327">
        <f>SUM(BJ360:BJ364)</f>
        <v>0</v>
      </c>
      <c r="BK366" s="341">
        <f>SUM(BK360:BK364)</f>
        <v>0</v>
      </c>
      <c r="BL366" s="330">
        <f>SUM(BL360:BL364)</f>
        <v>0</v>
      </c>
      <c r="BM366" s="286"/>
      <c r="BN366" s="286"/>
      <c r="BO366" s="289"/>
    </row>
    <row r="367" spans="2:67">
      <c r="M367" s="334"/>
      <c r="BH367" s="286" t="s">
        <v>396</v>
      </c>
      <c r="BJ367" s="327"/>
      <c r="BK367" s="358"/>
      <c r="BL367" s="330"/>
    </row>
    <row r="368" spans="2:67">
      <c r="D368" s="288" t="s">
        <v>230</v>
      </c>
      <c r="F368" s="286" t="s">
        <v>218</v>
      </c>
      <c r="H368" s="284" t="s">
        <v>231</v>
      </c>
      <c r="M368" s="334"/>
      <c r="BJ368" s="303" t="s">
        <v>230</v>
      </c>
      <c r="BK368" s="304" t="s">
        <v>218</v>
      </c>
      <c r="BL368" s="305" t="s">
        <v>371</v>
      </c>
    </row>
    <row r="369" spans="1:67" s="344" customFormat="1">
      <c r="B369" s="344" t="s">
        <v>296</v>
      </c>
      <c r="D369" s="330">
        <f>IF($C$2=1,+D100,IF($C$2=2,+I100,IF($C$2=3,+N100,IF($C$2=4,+S100,IF($C$2=5,+X100,IF($C$2=6,+AC100,IF($C$2=7,+AH100,IF($C$2=8,+AM100,IF($C$2=9,+AR100,IF($C$2=10,+AW100,IF($C$2=11,+BB100,IF($C$2=12,+BG100,0))))))))))))</f>
        <v>1134.8344056868259</v>
      </c>
      <c r="E369" s="361"/>
      <c r="F369" s="326">
        <f>IF($C$2=1,+E100,IF($C$2=2,+J100,IF($C$2=3,+O100,IF($C$2=4,+T100,IF($C$2=5,+Y100,IF($C$2=6,+AD100,IF($C$2=7,+AI100,IF($C$2=8,+AN100,IF($C$2=9,+AS100,IF($C$2=10,+AX100,IF($C$2=11,+BC100,IF($C$2=12,+BH100,0))))))))))))</f>
        <v>1021.3436666666666</v>
      </c>
      <c r="G369" s="332"/>
      <c r="H369" s="358">
        <f>IF($C$2=1,+F100,IF($C$2=2,+K100,IF($C$2=3,+P100,IF($C$2=4,+U100,IF($C$2=5,+Z100,IF($C$2=6,+AE100,IF($C$2=7,+AJ100,IF($C$2=8,+AO100,IF($C$2=9,+AT100,IF($C$2=10,+AY100,IF($C$2=11,+BD100,IF($C$2=12,+BI100,0))))))))))))</f>
        <v>1175.8914056868259</v>
      </c>
      <c r="I369" s="288"/>
      <c r="J369" s="286"/>
      <c r="K369" s="286"/>
      <c r="L369" s="289"/>
      <c r="M369" s="334"/>
      <c r="N369" s="362"/>
      <c r="O369" s="361"/>
      <c r="P369" s="326"/>
      <c r="Q369" s="332"/>
      <c r="R369" s="349"/>
      <c r="S369" s="362"/>
      <c r="T369" s="361"/>
      <c r="U369" s="286"/>
      <c r="V369" s="287"/>
      <c r="W369" s="349"/>
      <c r="X369" s="288"/>
      <c r="Y369" s="286"/>
      <c r="Z369" s="286"/>
      <c r="AA369" s="287"/>
      <c r="AC369" s="288"/>
      <c r="AD369" s="286"/>
      <c r="AE369" s="286"/>
      <c r="AF369" s="287"/>
      <c r="AH369" s="288"/>
      <c r="AI369" s="286"/>
      <c r="AJ369" s="286"/>
      <c r="AK369" s="287"/>
      <c r="AM369" s="288"/>
      <c r="AN369" s="286"/>
      <c r="AO369" s="286"/>
      <c r="AP369" s="287"/>
      <c r="AR369" s="288"/>
      <c r="AS369" s="286"/>
      <c r="AT369" s="286"/>
      <c r="AU369" s="287"/>
      <c r="AW369" s="288"/>
      <c r="AX369" s="286"/>
      <c r="AY369" s="286"/>
      <c r="AZ369" s="287"/>
      <c r="BB369" s="288"/>
      <c r="BC369" s="286"/>
      <c r="BD369" s="286"/>
      <c r="BE369" s="287"/>
      <c r="BG369" s="288"/>
      <c r="BH369" s="286" t="s">
        <v>419</v>
      </c>
      <c r="BI369" s="286"/>
      <c r="BJ369" s="327">
        <f>SUM(BJ366+BJ356+BJ349+BJ339+BJ325)</f>
        <v>0</v>
      </c>
      <c r="BK369" s="349">
        <f>SUM(BK366+BK356+BK349+BK339+BK325)</f>
        <v>0</v>
      </c>
      <c r="BL369" s="330">
        <f>SUM(BL366+BL356+BL349+BL339+BL325)</f>
        <v>0</v>
      </c>
      <c r="BM369" s="286"/>
      <c r="BN369" s="286"/>
      <c r="BO369" s="289"/>
    </row>
    <row r="370" spans="1:67">
      <c r="F370" s="286">
        <f>F369-D369</f>
        <v>-113.49073902015925</v>
      </c>
    </row>
    <row r="371" spans="1:67">
      <c r="A371" s="331"/>
      <c r="B371" s="331" t="s">
        <v>233</v>
      </c>
      <c r="C371" s="331"/>
      <c r="D371" s="330">
        <f>D255</f>
        <v>29.108888888888885</v>
      </c>
      <c r="E371" s="326"/>
      <c r="F371" s="326">
        <f>IF($C$2=1,+E98,IF($C$2=2,+J98,IF($C$2=3,+O98,IF($C$2=4,+T98,IF($C$2=5,+Y98,IF($C$2=6,+AD98,IF($C$2=7,+AI98,IF($C$2=8,+AN98,IF($C$2=9,+AS98,IF($C$2=10,+AX98,IF($C$2=11,+BC98,IF($C$2=12,+BH98,0))))))))))))</f>
        <v>67.653333333333336</v>
      </c>
      <c r="G371" s="327"/>
      <c r="H371" s="358">
        <f>IF($C$2=1,+F98,IF($C$2=2,+K98,IF($C$2=3,+P98,IF($C$2=4,+U98,IF($C$2=5,+Z98,IF($C$2=6,+AE98,IF($C$2=7,+AJ98,IF($C$2=8,+AO98,IF($C$2=9,+AT98,IF($C$2=10,+AY98,IF($C$2=11,+BD98,IF($C$2=12,+BI98,0))))))))))))</f>
        <v>57.366666666666667</v>
      </c>
      <c r="M371" s="334"/>
      <c r="R371" s="331"/>
      <c r="W371" s="331"/>
      <c r="AB371" s="331"/>
      <c r="AG371" s="331"/>
      <c r="AL371" s="331"/>
      <c r="AQ371" s="331"/>
      <c r="AV371" s="331"/>
      <c r="BA371" s="331"/>
      <c r="BF371" s="331"/>
      <c r="BK371" s="331"/>
    </row>
    <row r="373" spans="1:67">
      <c r="A373" s="339"/>
      <c r="B373" s="339" t="s">
        <v>252</v>
      </c>
      <c r="C373" s="339"/>
      <c r="D373" s="330">
        <f>IF($C$2=1,+D101,IF($C$2=2,+I101,IF($C$2=3,+N101,IF($C$2=4,+S101,IF($C$2=5,+X101,IF($C$2=6,+AC101,IF($C$2=7,+AH101,IF($C$2=8,+AM101,IF($C$2=9,+AR101,IF($C$2=10,+AW101,IF($C$2=11,+BB101,IF($C$2=12,+BG101,0))))))))))))</f>
        <v>109.21694810215686</v>
      </c>
      <c r="E373" s="361"/>
      <c r="F373" s="326">
        <f>IF($C$2=1,+E101,IF($C$2=2,+J101,IF($C$2=3,+O101,IF($C$2=4,+T101,IF($C$2=5,+Y101,IF($C$2=6,+AD101,IF($C$2=7,+AI101,IF($C$2=8,+AN101,IF($C$2=9,+AS101,IF($C$2=10,+AX101,IF($C$2=11,+BC101,IF($C$2=12,+BH101,0))))))))))))</f>
        <v>118.2901641660936</v>
      </c>
      <c r="G373" s="332"/>
      <c r="H373" s="358">
        <f>IF($C$2=1,+F101,IF($C$2=2,+K101,IF($C$2=3,+P101,IF($C$2=4,+U101,IF($C$2=5,+Z101,IF($C$2=6,+AE101,IF($C$2=7,+AJ101,IF($C$2=8,+AO101,IF($C$2=9,+AT101,IF($C$2=10,+AY101,IF($C$2=11,+BD101,IF($C$2=12,+BI101,0))))))))))))</f>
        <v>86</v>
      </c>
      <c r="M373" s="334"/>
      <c r="R373" s="339"/>
      <c r="W373" s="339"/>
      <c r="AB373" s="339"/>
      <c r="AG373" s="339"/>
      <c r="AL373" s="339"/>
      <c r="AQ373" s="339"/>
      <c r="AV373" s="339"/>
      <c r="BA373" s="339"/>
      <c r="BF373" s="339"/>
      <c r="BK373" s="339"/>
    </row>
    <row r="374" spans="1:67">
      <c r="A374" s="339"/>
      <c r="B374" s="339"/>
      <c r="C374" s="339"/>
      <c r="D374" s="330"/>
      <c r="E374" s="361"/>
      <c r="F374" s="326"/>
      <c r="G374" s="332"/>
      <c r="H374" s="358"/>
      <c r="M374" s="334"/>
      <c r="R374" s="339"/>
      <c r="W374" s="339"/>
      <c r="AB374" s="339"/>
      <c r="AG374" s="339"/>
      <c r="AL374" s="339"/>
      <c r="AQ374" s="339"/>
      <c r="AV374" s="339"/>
      <c r="BA374" s="339"/>
      <c r="BF374" s="339"/>
      <c r="BK374" s="339"/>
    </row>
    <row r="375" spans="1:67">
      <c r="A375" s="339"/>
      <c r="B375" s="339" t="s">
        <v>253</v>
      </c>
      <c r="C375" s="339"/>
      <c r="D375" s="330">
        <f>IF($C$2=1,+D102,IF($C$2=2,+I102,IF($C$2=3,+N102,IF($C$2=4,+S102,IF($C$2=5,+X102,IF($C$2=6,+AC102,IF($C$2=7,+AH102,IF($C$2=8,+AM102,IF($C$2=9,+AR102,IF($C$2=10,+AW102,IF($C$2=11,+BB102,IF($C$2=12,+BG102,0))))))))))))</f>
        <v>8835</v>
      </c>
      <c r="E375" s="361"/>
      <c r="F375" s="326">
        <f>IF($C$2=1,+E102,IF($C$2=2,+J102,IF($C$2=3,+O102,IF($C$2=4,+T102,IF($C$2=5,+Y102,IF($C$2=6,+AD102,IF($C$2=7,+AI102,IF($C$2=8,+AN102,IF($C$2=9,+AS102,IF($C$2=10,+AX102,IF($C$2=11,+BC102,IF($C$2=12,+BH102,0))))))))))))</f>
        <v>9372.2133333333331</v>
      </c>
      <c r="G375" s="332"/>
      <c r="H375" s="358">
        <f>IF($C$2=1,+F102,IF($C$2=2,+K102,IF($C$2=3,+P102,IF($C$2=4,+U102,IF($C$2=5,+Z102,IF($C$2=6,+AE102,IF($C$2=7,+AJ102,IF($C$2=8,+AO102,IF($C$2=9,+AT102,IF($C$2=10,+AY102,IF($C$2=11,+BD102,IF($C$2=12,+BI102,0))))))))))))</f>
        <v>8835</v>
      </c>
      <c r="M375" s="334"/>
      <c r="R375" s="339"/>
      <c r="W375" s="339"/>
      <c r="AB375" s="339"/>
      <c r="AG375" s="339"/>
      <c r="AL375" s="339"/>
      <c r="AQ375" s="339"/>
      <c r="AV375" s="339"/>
      <c r="BA375" s="339"/>
      <c r="BF375" s="339"/>
      <c r="BK375" s="339"/>
    </row>
    <row r="376" spans="1:67">
      <c r="A376" s="339"/>
      <c r="B376" s="339"/>
      <c r="C376" s="339"/>
      <c r="R376" s="339"/>
      <c r="W376" s="339"/>
      <c r="AB376" s="339"/>
      <c r="AG376" s="339"/>
      <c r="AL376" s="339"/>
      <c r="AQ376" s="339"/>
      <c r="AV376" s="339"/>
      <c r="BA376" s="339"/>
      <c r="BF376" s="339"/>
      <c r="BK376" s="339"/>
    </row>
    <row r="377" spans="1:67">
      <c r="A377" s="341" t="s">
        <v>192</v>
      </c>
      <c r="B377" s="339" t="s">
        <v>378</v>
      </c>
      <c r="C377" s="339"/>
      <c r="M377" s="334"/>
      <c r="R377" s="339"/>
      <c r="W377" s="339"/>
      <c r="AB377" s="339"/>
      <c r="AG377" s="339"/>
      <c r="AL377" s="339"/>
      <c r="AQ377" s="339"/>
      <c r="AV377" s="339"/>
      <c r="BA377" s="339"/>
      <c r="BF377" s="339"/>
      <c r="BK377" s="339"/>
    </row>
    <row r="378" spans="1:67">
      <c r="A378" s="341" t="s">
        <v>192</v>
      </c>
      <c r="B378" s="339" t="s">
        <v>379</v>
      </c>
      <c r="C378" s="339"/>
      <c r="G378" s="327">
        <f>(F369-D369)*(C362/D369)*E362</f>
        <v>-12395.112153640162</v>
      </c>
      <c r="H378" s="284">
        <f>G378/H362</f>
        <v>-0.10259588120075713</v>
      </c>
      <c r="M378" s="334"/>
      <c r="R378" s="339"/>
      <c r="W378" s="339"/>
      <c r="AB378" s="339"/>
      <c r="AG378" s="339"/>
      <c r="AL378" s="339"/>
      <c r="AQ378" s="339"/>
      <c r="AV378" s="339"/>
      <c r="BA378" s="339"/>
      <c r="BF378" s="339"/>
      <c r="BK378" s="339"/>
    </row>
    <row r="379" spans="1:67">
      <c r="A379" s="341" t="s">
        <v>192</v>
      </c>
      <c r="B379" s="339" t="s">
        <v>380</v>
      </c>
      <c r="C379" s="339"/>
      <c r="G379" s="327">
        <f>IF(F369=0,0,(D362/F369-C362/D369)*(F369*E362))</f>
        <v>41045.184854549712</v>
      </c>
      <c r="H379" s="284">
        <f>G379/H362</f>
        <v>0.33973608766128055</v>
      </c>
      <c r="M379" s="334"/>
      <c r="R379" s="339"/>
      <c r="W379" s="339"/>
      <c r="AB379" s="339"/>
      <c r="AG379" s="339"/>
      <c r="AL379" s="339"/>
      <c r="AQ379" s="339"/>
      <c r="AV379" s="339"/>
      <c r="BA379" s="339"/>
      <c r="BF379" s="339"/>
      <c r="BK379" s="339"/>
    </row>
    <row r="380" spans="1:67">
      <c r="A380" s="341" t="s">
        <v>192</v>
      </c>
      <c r="B380" s="339" t="s">
        <v>381</v>
      </c>
      <c r="C380" s="339"/>
      <c r="G380" s="327">
        <f>(F362-E362)*D362</f>
        <v>-31778.313091349672</v>
      </c>
      <c r="H380" s="284">
        <f>G380/H362</f>
        <v>-0.26303304030396313</v>
      </c>
      <c r="M380" s="334"/>
      <c r="R380" s="339"/>
      <c r="W380" s="339"/>
      <c r="AB380" s="339"/>
      <c r="AG380" s="339"/>
      <c r="AL380" s="339"/>
      <c r="AQ380" s="339"/>
      <c r="AV380" s="339"/>
      <c r="BA380" s="339"/>
      <c r="BF380" s="339"/>
      <c r="BK380" s="339"/>
    </row>
    <row r="381" spans="1:67">
      <c r="A381" s="341" t="s">
        <v>192</v>
      </c>
      <c r="B381" s="339" t="s">
        <v>382</v>
      </c>
      <c r="C381" s="339"/>
      <c r="G381" s="327">
        <f>SUM(G378:G380)</f>
        <v>-3128.2403904401217</v>
      </c>
      <c r="H381" s="284">
        <f>G381/H362</f>
        <v>-2.5892833843439707E-2</v>
      </c>
      <c r="M381" s="334"/>
      <c r="R381" s="339"/>
      <c r="W381" s="339"/>
      <c r="AB381" s="339"/>
      <c r="AG381" s="339"/>
      <c r="AL381" s="339"/>
      <c r="AQ381" s="339"/>
      <c r="AV381" s="339"/>
      <c r="BA381" s="339"/>
      <c r="BF381" s="339"/>
      <c r="BK381" s="339"/>
    </row>
    <row r="382" spans="1:67">
      <c r="A382" s="341" t="s">
        <v>327</v>
      </c>
      <c r="B382" s="339"/>
      <c r="C382" s="339"/>
      <c r="M382" s="334"/>
      <c r="R382" s="339"/>
      <c r="W382" s="339"/>
      <c r="AB382" s="339"/>
      <c r="AG382" s="339"/>
      <c r="AL382" s="339"/>
      <c r="AQ382" s="339"/>
      <c r="AV382" s="339"/>
      <c r="BA382" s="339"/>
      <c r="BF382" s="339"/>
      <c r="BK382" s="339"/>
    </row>
    <row r="383" spans="1:67" s="339" customFormat="1">
      <c r="D383" s="288"/>
      <c r="E383" s="286"/>
      <c r="F383" s="286"/>
      <c r="G383" s="287"/>
      <c r="H383" s="284"/>
      <c r="I383" s="288"/>
      <c r="J383" s="286"/>
      <c r="K383" s="286"/>
      <c r="L383" s="289"/>
      <c r="M383" s="290"/>
      <c r="N383" s="288"/>
      <c r="O383" s="286"/>
      <c r="P383" s="286"/>
      <c r="Q383" s="287"/>
      <c r="S383" s="288"/>
      <c r="T383" s="286"/>
      <c r="U383" s="286"/>
      <c r="V383" s="287"/>
      <c r="X383" s="288"/>
      <c r="Y383" s="286"/>
      <c r="Z383" s="286"/>
      <c r="AA383" s="287"/>
      <c r="AC383" s="288"/>
      <c r="AD383" s="286"/>
      <c r="AE383" s="286"/>
      <c r="AF383" s="287"/>
      <c r="AH383" s="288"/>
      <c r="AI383" s="286"/>
      <c r="AJ383" s="286"/>
      <c r="AK383" s="287"/>
      <c r="AM383" s="288"/>
      <c r="AN383" s="286"/>
      <c r="AO383" s="286"/>
      <c r="AP383" s="287"/>
      <c r="AR383" s="288"/>
      <c r="AS383" s="286"/>
      <c r="AT383" s="286"/>
      <c r="AU383" s="287"/>
      <c r="AW383" s="288"/>
      <c r="AX383" s="286"/>
      <c r="AY383" s="286"/>
      <c r="AZ383" s="287"/>
      <c r="BB383" s="288"/>
      <c r="BC383" s="286"/>
      <c r="BD383" s="286"/>
      <c r="BE383" s="287"/>
      <c r="BG383" s="288"/>
      <c r="BH383" s="286"/>
      <c r="BI383" s="286"/>
      <c r="BJ383" s="287"/>
      <c r="BL383" s="288"/>
      <c r="BM383" s="286"/>
      <c r="BN383" s="286"/>
      <c r="BO383" s="289"/>
    </row>
    <row r="384" spans="1:67" s="339" customFormat="1">
      <c r="D384" s="288"/>
      <c r="E384" s="286"/>
      <c r="F384" s="286"/>
      <c r="G384" s="287"/>
      <c r="H384" s="284"/>
      <c r="I384" s="288"/>
      <c r="J384" s="286"/>
      <c r="K384" s="286"/>
      <c r="L384" s="289"/>
      <c r="M384" s="290"/>
      <c r="N384" s="288"/>
      <c r="O384" s="286"/>
      <c r="P384" s="286"/>
      <c r="Q384" s="287"/>
      <c r="S384" s="288"/>
      <c r="T384" s="286"/>
      <c r="U384" s="286"/>
      <c r="V384" s="287"/>
      <c r="X384" s="288"/>
      <c r="Y384" s="286"/>
      <c r="Z384" s="286"/>
      <c r="AA384" s="287"/>
      <c r="AC384" s="288"/>
      <c r="AD384" s="286"/>
      <c r="AE384" s="286"/>
      <c r="AF384" s="287"/>
      <c r="AH384" s="288"/>
      <c r="AI384" s="286"/>
      <c r="AJ384" s="286"/>
      <c r="AK384" s="287"/>
      <c r="AM384" s="288"/>
      <c r="AN384" s="286"/>
      <c r="AO384" s="286"/>
      <c r="AP384" s="287"/>
      <c r="AR384" s="288"/>
      <c r="AS384" s="286"/>
      <c r="AT384" s="286"/>
      <c r="AU384" s="287"/>
      <c r="AW384" s="288"/>
      <c r="AX384" s="286"/>
      <c r="AY384" s="286"/>
      <c r="AZ384" s="287"/>
      <c r="BB384" s="288"/>
      <c r="BC384" s="286"/>
      <c r="BD384" s="286"/>
      <c r="BE384" s="287"/>
      <c r="BG384" s="288"/>
      <c r="BH384" s="286"/>
      <c r="BI384" s="286"/>
      <c r="BJ384" s="287"/>
      <c r="BL384" s="288"/>
      <c r="BM384" s="286"/>
      <c r="BN384" s="286"/>
      <c r="BO384" s="289"/>
    </row>
    <row r="385" spans="2:67" s="339" customFormat="1">
      <c r="D385" s="288"/>
      <c r="E385" s="286"/>
      <c r="F385" s="286"/>
      <c r="G385" s="287"/>
      <c r="H385" s="284"/>
      <c r="I385" s="288"/>
      <c r="J385" s="286"/>
      <c r="K385" s="286"/>
      <c r="L385" s="289"/>
      <c r="M385" s="290"/>
      <c r="N385" s="288"/>
      <c r="O385" s="286"/>
      <c r="P385" s="286"/>
      <c r="Q385" s="287"/>
      <c r="S385" s="288"/>
      <c r="T385" s="286"/>
      <c r="U385" s="286"/>
      <c r="V385" s="287"/>
      <c r="X385" s="288"/>
      <c r="Y385" s="286"/>
      <c r="Z385" s="286"/>
      <c r="AA385" s="287"/>
      <c r="AC385" s="288"/>
      <c r="AD385" s="286"/>
      <c r="AE385" s="286"/>
      <c r="AF385" s="287"/>
      <c r="AH385" s="288"/>
      <c r="AI385" s="286"/>
      <c r="AJ385" s="286"/>
      <c r="AK385" s="287"/>
      <c r="AM385" s="288"/>
      <c r="AN385" s="286"/>
      <c r="AO385" s="286"/>
      <c r="AP385" s="287"/>
      <c r="AR385" s="288"/>
      <c r="AS385" s="286"/>
      <c r="AT385" s="286"/>
      <c r="AU385" s="287"/>
      <c r="AW385" s="288"/>
      <c r="AX385" s="286"/>
      <c r="AY385" s="286"/>
      <c r="AZ385" s="287"/>
      <c r="BB385" s="288"/>
      <c r="BC385" s="286"/>
      <c r="BD385" s="286"/>
      <c r="BE385" s="287"/>
      <c r="BG385" s="288"/>
      <c r="BH385" s="286"/>
      <c r="BI385" s="286"/>
      <c r="BJ385" s="287"/>
      <c r="BL385" s="288"/>
      <c r="BM385" s="286"/>
      <c r="BN385" s="286"/>
      <c r="BO385" s="289"/>
    </row>
    <row r="386" spans="2:67" s="339" customFormat="1">
      <c r="D386" s="288"/>
      <c r="E386" s="286"/>
      <c r="F386" s="286"/>
      <c r="G386" s="287"/>
      <c r="H386" s="284"/>
      <c r="I386" s="288"/>
      <c r="J386" s="286"/>
      <c r="K386" s="286"/>
      <c r="L386" s="289"/>
      <c r="M386" s="290"/>
      <c r="N386" s="288"/>
      <c r="O386" s="286"/>
      <c r="P386" s="286"/>
      <c r="Q386" s="287"/>
      <c r="S386" s="288"/>
      <c r="T386" s="286"/>
      <c r="U386" s="286"/>
      <c r="V386" s="287"/>
      <c r="X386" s="288"/>
      <c r="Y386" s="286"/>
      <c r="Z386" s="286"/>
      <c r="AA386" s="287"/>
      <c r="AC386" s="288"/>
      <c r="AD386" s="286"/>
      <c r="AE386" s="286"/>
      <c r="AF386" s="287"/>
      <c r="AH386" s="288"/>
      <c r="AI386" s="286"/>
      <c r="AJ386" s="286"/>
      <c r="AK386" s="287"/>
      <c r="AM386" s="288"/>
      <c r="AN386" s="286"/>
      <c r="AO386" s="286"/>
      <c r="AP386" s="287"/>
      <c r="AR386" s="288"/>
      <c r="AS386" s="286"/>
      <c r="AT386" s="286"/>
      <c r="AU386" s="287"/>
      <c r="AW386" s="288"/>
      <c r="AX386" s="286"/>
      <c r="AY386" s="286"/>
      <c r="AZ386" s="287"/>
      <c r="BB386" s="288"/>
      <c r="BC386" s="286"/>
      <c r="BD386" s="286"/>
      <c r="BE386" s="287"/>
      <c r="BG386" s="288"/>
      <c r="BH386" s="286"/>
      <c r="BI386" s="286"/>
      <c r="BJ386" s="287"/>
      <c r="BL386" s="288"/>
      <c r="BM386" s="286"/>
      <c r="BN386" s="286"/>
      <c r="BO386" s="289"/>
    </row>
    <row r="387" spans="2:67" s="339" customFormat="1">
      <c r="D387" s="288"/>
      <c r="E387" s="286"/>
      <c r="F387" s="286"/>
      <c r="G387" s="287"/>
      <c r="H387" s="284"/>
      <c r="I387" s="288"/>
      <c r="J387" s="286"/>
      <c r="K387" s="286"/>
      <c r="L387" s="289"/>
      <c r="M387" s="290"/>
      <c r="N387" s="288"/>
      <c r="O387" s="286"/>
      <c r="P387" s="286"/>
      <c r="Q387" s="287"/>
      <c r="S387" s="288"/>
      <c r="T387" s="286"/>
      <c r="U387" s="286"/>
      <c r="V387" s="287"/>
      <c r="X387" s="288"/>
      <c r="Y387" s="286"/>
      <c r="Z387" s="286"/>
      <c r="AA387" s="287"/>
      <c r="AC387" s="288"/>
      <c r="AD387" s="286"/>
      <c r="AE387" s="286"/>
      <c r="AF387" s="287"/>
      <c r="AH387" s="288"/>
      <c r="AI387" s="286"/>
      <c r="AJ387" s="286"/>
      <c r="AK387" s="287"/>
      <c r="AM387" s="288"/>
      <c r="AN387" s="286"/>
      <c r="AO387" s="286"/>
      <c r="AP387" s="287"/>
      <c r="AR387" s="288"/>
      <c r="AS387" s="286"/>
      <c r="AT387" s="286"/>
      <c r="AU387" s="287"/>
      <c r="AW387" s="288"/>
      <c r="AX387" s="286"/>
      <c r="AY387" s="286"/>
      <c r="AZ387" s="287"/>
      <c r="BB387" s="288"/>
      <c r="BC387" s="286"/>
      <c r="BD387" s="286"/>
      <c r="BE387" s="287"/>
      <c r="BG387" s="288"/>
      <c r="BH387" s="286"/>
      <c r="BI387" s="286"/>
      <c r="BJ387" s="287"/>
      <c r="BL387" s="288"/>
      <c r="BM387" s="286"/>
      <c r="BN387" s="286"/>
      <c r="BO387" s="289"/>
    </row>
    <row r="388" spans="2:67" s="339" customFormat="1">
      <c r="D388" s="288"/>
      <c r="E388" s="286"/>
      <c r="F388" s="286"/>
      <c r="G388" s="287"/>
      <c r="H388" s="284"/>
      <c r="I388" s="288"/>
      <c r="J388" s="286"/>
      <c r="K388" s="286"/>
      <c r="L388" s="289"/>
      <c r="M388" s="290"/>
      <c r="N388" s="288"/>
      <c r="O388" s="286"/>
      <c r="P388" s="286"/>
      <c r="Q388" s="287"/>
      <c r="S388" s="288"/>
      <c r="T388" s="286"/>
      <c r="U388" s="286"/>
      <c r="V388" s="287"/>
      <c r="X388" s="288"/>
      <c r="Y388" s="286"/>
      <c r="Z388" s="286"/>
      <c r="AA388" s="287"/>
      <c r="AC388" s="288"/>
      <c r="AD388" s="286"/>
      <c r="AE388" s="286"/>
      <c r="AF388" s="287"/>
      <c r="AH388" s="288"/>
      <c r="AI388" s="286"/>
      <c r="AJ388" s="286"/>
      <c r="AK388" s="287"/>
      <c r="AM388" s="288"/>
      <c r="AN388" s="286"/>
      <c r="AO388" s="286"/>
      <c r="AP388" s="287"/>
      <c r="AR388" s="288"/>
      <c r="AS388" s="286"/>
      <c r="AT388" s="286"/>
      <c r="AU388" s="287"/>
      <c r="AW388" s="288"/>
      <c r="AX388" s="286"/>
      <c r="AY388" s="286"/>
      <c r="AZ388" s="287"/>
      <c r="BB388" s="288"/>
      <c r="BC388" s="286"/>
      <c r="BD388" s="286"/>
      <c r="BE388" s="287"/>
      <c r="BG388" s="288"/>
      <c r="BH388" s="286"/>
      <c r="BI388" s="286"/>
      <c r="BJ388" s="287"/>
      <c r="BL388" s="288"/>
      <c r="BM388" s="286"/>
      <c r="BN388" s="286"/>
      <c r="BO388" s="289"/>
    </row>
    <row r="389" spans="2:67" s="339" customFormat="1">
      <c r="D389" s="288"/>
      <c r="E389" s="286"/>
      <c r="F389" s="286"/>
      <c r="G389" s="287"/>
      <c r="H389" s="284"/>
      <c r="I389" s="288"/>
      <c r="J389" s="286"/>
      <c r="K389" s="286"/>
      <c r="L389" s="289"/>
      <c r="M389" s="290"/>
      <c r="N389" s="288"/>
      <c r="O389" s="286"/>
      <c r="P389" s="286"/>
      <c r="Q389" s="287"/>
      <c r="S389" s="288"/>
      <c r="T389" s="286"/>
      <c r="U389" s="286"/>
      <c r="V389" s="287"/>
      <c r="X389" s="288"/>
      <c r="Y389" s="286"/>
      <c r="Z389" s="286"/>
      <c r="AA389" s="287"/>
      <c r="AC389" s="288"/>
      <c r="AD389" s="286"/>
      <c r="AE389" s="286"/>
      <c r="AF389" s="287"/>
      <c r="AH389" s="288"/>
      <c r="AI389" s="286"/>
      <c r="AJ389" s="286"/>
      <c r="AK389" s="287"/>
      <c r="AM389" s="288"/>
      <c r="AN389" s="286"/>
      <c r="AO389" s="286"/>
      <c r="AP389" s="287"/>
      <c r="AR389" s="288"/>
      <c r="AS389" s="286"/>
      <c r="AT389" s="286"/>
      <c r="AU389" s="287"/>
      <c r="AW389" s="288"/>
      <c r="AX389" s="286"/>
      <c r="AY389" s="286"/>
      <c r="AZ389" s="287"/>
      <c r="BB389" s="288"/>
      <c r="BC389" s="286"/>
      <c r="BD389" s="286"/>
      <c r="BE389" s="287"/>
      <c r="BG389" s="288"/>
      <c r="BH389" s="286"/>
      <c r="BI389" s="286"/>
      <c r="BJ389" s="287"/>
      <c r="BL389" s="288"/>
      <c r="BM389" s="286"/>
      <c r="BN389" s="286"/>
      <c r="BO389" s="289"/>
    </row>
    <row r="390" spans="2:67" s="339" customFormat="1">
      <c r="B390" s="339" t="str">
        <f>B337</f>
        <v>Total Company</v>
      </c>
      <c r="D390" s="288"/>
      <c r="E390" s="286"/>
      <c r="F390" s="286"/>
      <c r="G390" s="287"/>
      <c r="H390" s="284"/>
      <c r="I390" s="288"/>
      <c r="J390" s="286"/>
      <c r="K390" s="286"/>
      <c r="L390" s="289"/>
      <c r="M390" s="290"/>
      <c r="N390" s="288"/>
      <c r="O390" s="286"/>
      <c r="P390" s="286"/>
      <c r="Q390" s="287"/>
      <c r="S390" s="288"/>
      <c r="T390" s="286"/>
      <c r="U390" s="286"/>
      <c r="V390" s="287"/>
      <c r="X390" s="288"/>
      <c r="Y390" s="286"/>
      <c r="Z390" s="286"/>
      <c r="AA390" s="287"/>
      <c r="AC390" s="288"/>
      <c r="AD390" s="286"/>
      <c r="AE390" s="286"/>
      <c r="AF390" s="287"/>
      <c r="AH390" s="288"/>
      <c r="AI390" s="286"/>
      <c r="AJ390" s="286"/>
      <c r="AK390" s="287"/>
      <c r="AM390" s="288"/>
      <c r="AN390" s="286"/>
      <c r="AO390" s="286"/>
      <c r="AP390" s="287"/>
      <c r="AR390" s="288"/>
      <c r="AS390" s="286"/>
      <c r="AT390" s="286"/>
      <c r="AU390" s="287"/>
      <c r="AW390" s="288"/>
      <c r="AX390" s="286"/>
      <c r="AY390" s="286"/>
      <c r="AZ390" s="287"/>
      <c r="BB390" s="288"/>
      <c r="BC390" s="286"/>
      <c r="BD390" s="286"/>
      <c r="BE390" s="287"/>
      <c r="BG390" s="288"/>
      <c r="BH390" s="286"/>
      <c r="BI390" s="286"/>
      <c r="BJ390" s="287"/>
      <c r="BL390" s="288"/>
      <c r="BM390" s="286"/>
      <c r="BN390" s="286"/>
      <c r="BO390" s="289"/>
    </row>
    <row r="391" spans="2:67" s="339" customFormat="1">
      <c r="B391" s="339" t="str">
        <f>D3</f>
        <v>3-year averages</v>
      </c>
      <c r="D391" s="288"/>
      <c r="E391" s="286"/>
      <c r="F391" s="286"/>
      <c r="G391" s="287"/>
      <c r="H391" s="284"/>
      <c r="I391" s="288"/>
      <c r="J391" s="286"/>
      <c r="K391" s="286"/>
      <c r="L391" s="289"/>
      <c r="M391" s="290"/>
      <c r="N391" s="288"/>
      <c r="O391" s="286"/>
      <c r="P391" s="286"/>
      <c r="Q391" s="287"/>
      <c r="S391" s="288"/>
      <c r="T391" s="286"/>
      <c r="U391" s="286"/>
      <c r="V391" s="287"/>
      <c r="X391" s="288"/>
      <c r="Y391" s="286"/>
      <c r="Z391" s="286"/>
      <c r="AA391" s="287"/>
      <c r="AC391" s="288"/>
      <c r="AD391" s="286"/>
      <c r="AE391" s="286"/>
      <c r="AF391" s="287"/>
      <c r="AH391" s="288"/>
      <c r="AI391" s="286"/>
      <c r="AJ391" s="286"/>
      <c r="AK391" s="287"/>
      <c r="AM391" s="288"/>
      <c r="AN391" s="286"/>
      <c r="AO391" s="286"/>
      <c r="AP391" s="287"/>
      <c r="AR391" s="288"/>
      <c r="AS391" s="286"/>
      <c r="AT391" s="286"/>
      <c r="AU391" s="287"/>
      <c r="AW391" s="288"/>
      <c r="AX391" s="286"/>
      <c r="AY391" s="286"/>
      <c r="AZ391" s="287"/>
      <c r="BB391" s="288"/>
      <c r="BC391" s="286"/>
      <c r="BD391" s="286"/>
      <c r="BE391" s="287"/>
      <c r="BG391" s="288"/>
      <c r="BH391" s="286"/>
      <c r="BI391" s="286"/>
      <c r="BJ391" s="287"/>
      <c r="BL391" s="288"/>
      <c r="BM391" s="286"/>
      <c r="BN391" s="286"/>
      <c r="BO391" s="289"/>
    </row>
    <row r="392" spans="2:67" s="339" customFormat="1">
      <c r="D392" s="288"/>
      <c r="E392" s="286"/>
      <c r="F392" s="286"/>
      <c r="G392" s="287"/>
      <c r="H392" s="284"/>
      <c r="I392" s="288"/>
      <c r="J392" s="286"/>
      <c r="K392" s="286"/>
      <c r="L392" s="289"/>
      <c r="M392" s="290"/>
      <c r="N392" s="288"/>
      <c r="O392" s="286"/>
      <c r="P392" s="286"/>
      <c r="Q392" s="287"/>
      <c r="S392" s="288"/>
      <c r="T392" s="286"/>
      <c r="U392" s="286"/>
      <c r="V392" s="287"/>
      <c r="X392" s="288"/>
      <c r="Y392" s="286"/>
      <c r="Z392" s="286"/>
      <c r="AA392" s="287"/>
      <c r="AC392" s="288"/>
      <c r="AD392" s="286"/>
      <c r="AE392" s="286"/>
      <c r="AF392" s="287"/>
      <c r="AH392" s="288"/>
      <c r="AI392" s="286"/>
      <c r="AJ392" s="286"/>
      <c r="AK392" s="287"/>
      <c r="AM392" s="288"/>
      <c r="AN392" s="286"/>
      <c r="AO392" s="286"/>
      <c r="AP392" s="287"/>
      <c r="AR392" s="288"/>
      <c r="AS392" s="286"/>
      <c r="AT392" s="286"/>
      <c r="AU392" s="287"/>
      <c r="AW392" s="288"/>
      <c r="AX392" s="286"/>
      <c r="AY392" s="286"/>
      <c r="AZ392" s="287"/>
      <c r="BB392" s="288"/>
      <c r="BC392" s="286"/>
      <c r="BD392" s="286"/>
      <c r="BE392" s="287"/>
      <c r="BG392" s="288"/>
      <c r="BH392" s="286"/>
      <c r="BI392" s="286"/>
      <c r="BJ392" s="287"/>
      <c r="BL392" s="288"/>
      <c r="BM392" s="286"/>
      <c r="BN392" s="286"/>
      <c r="BO392" s="289"/>
    </row>
    <row r="393" spans="2:67" s="339" customFormat="1">
      <c r="B393" s="339" t="s">
        <v>383</v>
      </c>
      <c r="D393" s="288"/>
      <c r="E393" s="286"/>
      <c r="F393" s="286"/>
      <c r="G393" s="287"/>
      <c r="H393" s="284"/>
      <c r="I393" s="288"/>
      <c r="J393" s="286"/>
      <c r="K393" s="286"/>
      <c r="L393" s="289"/>
      <c r="M393" s="334"/>
      <c r="N393" s="288"/>
      <c r="O393" s="286"/>
      <c r="P393" s="286"/>
      <c r="Q393" s="287"/>
      <c r="S393" s="288"/>
      <c r="T393" s="286"/>
      <c r="U393" s="286"/>
      <c r="V393" s="287"/>
      <c r="X393" s="288"/>
      <c r="Y393" s="286"/>
      <c r="Z393" s="286"/>
      <c r="AA393" s="287"/>
      <c r="AC393" s="288"/>
      <c r="AD393" s="286"/>
      <c r="AE393" s="286"/>
      <c r="AF393" s="287"/>
      <c r="AH393" s="288"/>
      <c r="AI393" s="286"/>
      <c r="AJ393" s="286"/>
      <c r="AK393" s="287"/>
      <c r="AM393" s="288"/>
      <c r="AN393" s="286"/>
      <c r="AO393" s="286"/>
      <c r="AP393" s="287"/>
      <c r="AR393" s="288"/>
      <c r="AS393" s="286"/>
      <c r="AT393" s="286"/>
      <c r="AU393" s="287"/>
      <c r="AW393" s="288"/>
      <c r="AX393" s="286"/>
      <c r="AY393" s="286"/>
      <c r="AZ393" s="287"/>
      <c r="BB393" s="288"/>
      <c r="BC393" s="286"/>
      <c r="BD393" s="286"/>
      <c r="BE393" s="287"/>
      <c r="BG393" s="288"/>
      <c r="BH393" s="286"/>
      <c r="BI393" s="286"/>
      <c r="BJ393" s="287"/>
      <c r="BL393" s="288"/>
      <c r="BM393" s="286"/>
      <c r="BN393" s="286"/>
      <c r="BO393" s="289"/>
    </row>
    <row r="394" spans="2:67" s="339" customFormat="1">
      <c r="B394" s="339" t="s">
        <v>384</v>
      </c>
      <c r="D394" s="288"/>
      <c r="E394" s="286" t="s">
        <v>385</v>
      </c>
      <c r="F394" s="326">
        <f>F442</f>
        <v>-8340.8690307959223</v>
      </c>
      <c r="G394" s="287"/>
      <c r="H394" s="284"/>
      <c r="I394" s="288"/>
      <c r="J394" s="286"/>
      <c r="K394" s="286"/>
      <c r="L394" s="289"/>
      <c r="M394" s="334"/>
      <c r="N394" s="288"/>
      <c r="O394" s="286"/>
      <c r="P394" s="286"/>
      <c r="Q394" s="287"/>
      <c r="R394" s="341"/>
      <c r="S394" s="288"/>
      <c r="T394" s="286"/>
      <c r="U394" s="286"/>
      <c r="V394" s="287"/>
      <c r="X394" s="288"/>
      <c r="Y394" s="286"/>
      <c r="Z394" s="286"/>
      <c r="AA394" s="287"/>
      <c r="AC394" s="288"/>
      <c r="AD394" s="286"/>
      <c r="AE394" s="286"/>
      <c r="AF394" s="287"/>
      <c r="AH394" s="288"/>
      <c r="AI394" s="286"/>
      <c r="AJ394" s="286"/>
      <c r="AK394" s="287"/>
      <c r="AM394" s="288"/>
      <c r="AN394" s="286"/>
      <c r="AO394" s="286"/>
      <c r="AP394" s="287"/>
      <c r="AR394" s="288"/>
      <c r="AS394" s="286"/>
      <c r="AT394" s="286"/>
      <c r="AU394" s="287"/>
      <c r="AW394" s="288"/>
      <c r="AX394" s="286"/>
      <c r="AY394" s="286"/>
      <c r="AZ394" s="287"/>
      <c r="BB394" s="288"/>
      <c r="BC394" s="286"/>
      <c r="BD394" s="286"/>
      <c r="BE394" s="287"/>
      <c r="BG394" s="288"/>
      <c r="BH394" s="286"/>
      <c r="BI394" s="286"/>
      <c r="BJ394" s="287"/>
      <c r="BL394" s="288"/>
      <c r="BM394" s="286"/>
      <c r="BN394" s="286"/>
      <c r="BO394" s="289"/>
    </row>
    <row r="396" spans="2:67">
      <c r="D396" s="305" t="s">
        <v>386</v>
      </c>
      <c r="E396" s="306" t="s">
        <v>387</v>
      </c>
      <c r="F396" s="306" t="s">
        <v>388</v>
      </c>
      <c r="M396" s="334"/>
    </row>
    <row r="398" spans="2:67">
      <c r="B398" s="283" t="s">
        <v>389</v>
      </c>
      <c r="M398" s="334"/>
    </row>
    <row r="399" spans="2:67" s="339" customFormat="1">
      <c r="B399" s="365" t="s">
        <v>424</v>
      </c>
      <c r="C399" s="339" t="s">
        <v>390</v>
      </c>
      <c r="D399" s="330">
        <f>G345</f>
        <v>0</v>
      </c>
      <c r="E399" s="326">
        <f>H345</f>
        <v>0</v>
      </c>
      <c r="F399" s="326">
        <f>E399-D399</f>
        <v>0</v>
      </c>
      <c r="G399" s="287"/>
      <c r="H399" s="284"/>
      <c r="I399" s="288"/>
      <c r="J399" s="286"/>
      <c r="K399" s="286"/>
      <c r="L399" s="289"/>
      <c r="M399" s="334"/>
      <c r="N399" s="288"/>
      <c r="O399" s="286"/>
      <c r="P399" s="326"/>
      <c r="Q399" s="327"/>
      <c r="R399" s="341"/>
      <c r="S399" s="288"/>
      <c r="T399" s="286"/>
      <c r="U399" s="286"/>
      <c r="V399" s="287"/>
      <c r="X399" s="288"/>
      <c r="Y399" s="286"/>
      <c r="Z399" s="286"/>
      <c r="AA399" s="287"/>
      <c r="AC399" s="288"/>
      <c r="AD399" s="286"/>
      <c r="AE399" s="286"/>
      <c r="AF399" s="287"/>
      <c r="AH399" s="288"/>
      <c r="AI399" s="286"/>
      <c r="AJ399" s="286"/>
      <c r="AK399" s="287"/>
      <c r="AM399" s="288"/>
      <c r="AN399" s="286"/>
      <c r="AO399" s="286"/>
      <c r="AP399" s="287"/>
      <c r="AR399" s="288"/>
      <c r="AS399" s="286"/>
      <c r="AT399" s="286"/>
      <c r="AU399" s="287"/>
      <c r="AW399" s="288"/>
      <c r="AX399" s="286"/>
      <c r="AY399" s="286"/>
      <c r="AZ399" s="287"/>
      <c r="BB399" s="288"/>
      <c r="BC399" s="286"/>
      <c r="BD399" s="286"/>
      <c r="BE399" s="287"/>
      <c r="BG399" s="288"/>
      <c r="BH399" s="286"/>
      <c r="BI399" s="286"/>
      <c r="BJ399" s="287"/>
      <c r="BL399" s="288"/>
      <c r="BM399" s="286"/>
      <c r="BN399" s="286"/>
      <c r="BO399" s="289"/>
    </row>
    <row r="400" spans="2:67" s="339" customFormat="1">
      <c r="B400" s="365" t="s">
        <v>391</v>
      </c>
      <c r="C400" s="339" t="s">
        <v>390</v>
      </c>
      <c r="D400" s="330">
        <f>G358</f>
        <v>2383.1501948719829</v>
      </c>
      <c r="E400" s="326">
        <f>H358</f>
        <v>1275.6266666666666</v>
      </c>
      <c r="F400" s="326">
        <f>E400-D400</f>
        <v>-1107.5235282053163</v>
      </c>
      <c r="G400" s="287"/>
      <c r="H400" s="284"/>
      <c r="I400" s="288"/>
      <c r="J400" s="286"/>
      <c r="K400" s="286"/>
      <c r="L400" s="289"/>
      <c r="M400" s="334"/>
      <c r="N400" s="288"/>
      <c r="O400" s="286"/>
      <c r="P400" s="326"/>
      <c r="Q400" s="327"/>
      <c r="R400" s="341"/>
      <c r="S400" s="288"/>
      <c r="T400" s="286"/>
      <c r="U400" s="286"/>
      <c r="V400" s="287"/>
      <c r="X400" s="288"/>
      <c r="Y400" s="286"/>
      <c r="Z400" s="286"/>
      <c r="AA400" s="287"/>
      <c r="AC400" s="288"/>
      <c r="AD400" s="286"/>
      <c r="AE400" s="286"/>
      <c r="AF400" s="287"/>
      <c r="AH400" s="288"/>
      <c r="AI400" s="286"/>
      <c r="AJ400" s="286"/>
      <c r="AK400" s="287"/>
      <c r="AM400" s="288"/>
      <c r="AN400" s="286"/>
      <c r="AO400" s="286"/>
      <c r="AP400" s="287"/>
      <c r="AR400" s="288"/>
      <c r="AS400" s="286"/>
      <c r="AT400" s="286"/>
      <c r="AU400" s="287"/>
      <c r="AW400" s="288"/>
      <c r="AX400" s="286"/>
      <c r="AY400" s="286"/>
      <c r="AZ400" s="287"/>
      <c r="BB400" s="288"/>
      <c r="BC400" s="286"/>
      <c r="BD400" s="286"/>
      <c r="BE400" s="287"/>
      <c r="BG400" s="288"/>
      <c r="BH400" s="286"/>
      <c r="BI400" s="286"/>
      <c r="BJ400" s="287"/>
      <c r="BL400" s="288"/>
      <c r="BM400" s="286"/>
      <c r="BN400" s="286"/>
      <c r="BO400" s="289"/>
    </row>
    <row r="401" spans="2:67" s="339" customFormat="1">
      <c r="B401" s="365" t="s">
        <v>392</v>
      </c>
      <c r="C401" s="339" t="s">
        <v>393</v>
      </c>
      <c r="D401" s="330">
        <f>G351</f>
        <v>6653.0805360260938</v>
      </c>
      <c r="E401" s="326">
        <f>H351</f>
        <v>6225.8533333333326</v>
      </c>
      <c r="F401" s="326">
        <f>E401-D401</f>
        <v>-427.22720269276124</v>
      </c>
      <c r="G401" s="287"/>
      <c r="H401" s="284"/>
      <c r="I401" s="288"/>
      <c r="J401" s="286"/>
      <c r="K401" s="286"/>
      <c r="L401" s="289"/>
      <c r="M401" s="334"/>
      <c r="N401" s="288"/>
      <c r="O401" s="286"/>
      <c r="P401" s="326"/>
      <c r="Q401" s="327"/>
      <c r="R401" s="341"/>
      <c r="S401" s="288"/>
      <c r="T401" s="286"/>
      <c r="U401" s="286"/>
      <c r="V401" s="287"/>
      <c r="X401" s="288"/>
      <c r="Y401" s="286"/>
      <c r="Z401" s="286"/>
      <c r="AA401" s="287"/>
      <c r="AC401" s="288"/>
      <c r="AD401" s="286"/>
      <c r="AE401" s="286"/>
      <c r="AF401" s="287"/>
      <c r="AH401" s="288"/>
      <c r="AI401" s="286"/>
      <c r="AJ401" s="286"/>
      <c r="AK401" s="287"/>
      <c r="AM401" s="288"/>
      <c r="AN401" s="286"/>
      <c r="AO401" s="286"/>
      <c r="AP401" s="287"/>
      <c r="AR401" s="288"/>
      <c r="AS401" s="286"/>
      <c r="AT401" s="286"/>
      <c r="AU401" s="287"/>
      <c r="AW401" s="288"/>
      <c r="AX401" s="286"/>
      <c r="AY401" s="286"/>
      <c r="AZ401" s="287"/>
      <c r="BB401" s="288"/>
      <c r="BC401" s="286"/>
      <c r="BD401" s="286"/>
      <c r="BE401" s="287"/>
      <c r="BG401" s="288"/>
      <c r="BH401" s="286"/>
      <c r="BI401" s="286"/>
      <c r="BJ401" s="287"/>
      <c r="BL401" s="288"/>
      <c r="BM401" s="286"/>
      <c r="BN401" s="286"/>
      <c r="BO401" s="289"/>
    </row>
    <row r="402" spans="2:67" s="339" customFormat="1">
      <c r="B402" s="365" t="s">
        <v>425</v>
      </c>
      <c r="C402" s="339" t="s">
        <v>393</v>
      </c>
      <c r="D402" s="330">
        <f>G344</f>
        <v>29388.765104914502</v>
      </c>
      <c r="E402" s="326">
        <f>H344</f>
        <v>40251.67</v>
      </c>
      <c r="F402" s="326">
        <f>E402-D402</f>
        <v>10862.904895085496</v>
      </c>
      <c r="G402" s="287"/>
      <c r="H402" s="284"/>
      <c r="I402" s="288"/>
      <c r="J402" s="286"/>
      <c r="K402" s="286"/>
      <c r="L402" s="289"/>
      <c r="M402" s="334"/>
      <c r="N402" s="288"/>
      <c r="O402" s="286"/>
      <c r="P402" s="326"/>
      <c r="Q402" s="327"/>
      <c r="R402" s="341"/>
      <c r="S402" s="288"/>
      <c r="T402" s="286"/>
      <c r="U402" s="286"/>
      <c r="V402" s="287"/>
      <c r="X402" s="288"/>
      <c r="Y402" s="286"/>
      <c r="Z402" s="286"/>
      <c r="AA402" s="287"/>
      <c r="AC402" s="288"/>
      <c r="AD402" s="286"/>
      <c r="AE402" s="286"/>
      <c r="AF402" s="287"/>
      <c r="AH402" s="288"/>
      <c r="AI402" s="286"/>
      <c r="AJ402" s="286"/>
      <c r="AK402" s="287"/>
      <c r="AM402" s="288"/>
      <c r="AN402" s="286"/>
      <c r="AO402" s="286"/>
      <c r="AP402" s="287"/>
      <c r="AR402" s="288"/>
      <c r="AS402" s="286"/>
      <c r="AT402" s="286"/>
      <c r="AU402" s="287"/>
      <c r="AW402" s="288"/>
      <c r="AX402" s="286"/>
      <c r="AY402" s="286"/>
      <c r="AZ402" s="287"/>
      <c r="BB402" s="288"/>
      <c r="BC402" s="286"/>
      <c r="BD402" s="286"/>
      <c r="BE402" s="287"/>
      <c r="BG402" s="288"/>
      <c r="BH402" s="286"/>
      <c r="BI402" s="286"/>
      <c r="BJ402" s="287"/>
      <c r="BL402" s="288"/>
      <c r="BM402" s="286"/>
      <c r="BN402" s="286"/>
      <c r="BO402" s="289"/>
    </row>
    <row r="403" spans="2:67" s="339" customFormat="1">
      <c r="B403" s="365" t="s">
        <v>394</v>
      </c>
      <c r="C403" s="339" t="s">
        <v>395</v>
      </c>
      <c r="D403" s="330">
        <f>G357</f>
        <v>1237.7344859776292</v>
      </c>
      <c r="E403" s="326">
        <f>H357</f>
        <v>948.16666666666674</v>
      </c>
      <c r="F403" s="326">
        <f>E403-D403</f>
        <v>-289.56781931096248</v>
      </c>
      <c r="G403" s="287"/>
      <c r="H403" s="284"/>
      <c r="I403" s="288"/>
      <c r="J403" s="286"/>
      <c r="K403" s="286"/>
      <c r="L403" s="289"/>
      <c r="M403" s="334"/>
      <c r="N403" s="288"/>
      <c r="O403" s="286"/>
      <c r="P403" s="326"/>
      <c r="Q403" s="327"/>
      <c r="R403" s="341"/>
      <c r="S403" s="288"/>
      <c r="T403" s="286"/>
      <c r="U403" s="286"/>
      <c r="V403" s="287"/>
      <c r="X403" s="288"/>
      <c r="Y403" s="286"/>
      <c r="Z403" s="286"/>
      <c r="AA403" s="287"/>
      <c r="AC403" s="288"/>
      <c r="AD403" s="286"/>
      <c r="AE403" s="286"/>
      <c r="AF403" s="287"/>
      <c r="AH403" s="288"/>
      <c r="AI403" s="286"/>
      <c r="AJ403" s="286"/>
      <c r="AK403" s="287"/>
      <c r="AM403" s="288"/>
      <c r="AN403" s="286"/>
      <c r="AO403" s="286"/>
      <c r="AP403" s="287"/>
      <c r="AR403" s="288"/>
      <c r="AS403" s="286"/>
      <c r="AT403" s="286"/>
      <c r="AU403" s="287"/>
      <c r="AW403" s="288"/>
      <c r="AX403" s="286"/>
      <c r="AY403" s="286"/>
      <c r="AZ403" s="287"/>
      <c r="BB403" s="288"/>
      <c r="BC403" s="286"/>
      <c r="BD403" s="286"/>
      <c r="BE403" s="287"/>
      <c r="BG403" s="288"/>
      <c r="BH403" s="286"/>
      <c r="BI403" s="286"/>
      <c r="BJ403" s="287"/>
      <c r="BL403" s="288"/>
      <c r="BM403" s="286"/>
      <c r="BN403" s="286"/>
      <c r="BO403" s="289"/>
    </row>
    <row r="404" spans="2:67" s="339" customFormat="1">
      <c r="B404" s="339" t="s">
        <v>396</v>
      </c>
      <c r="D404" s="330"/>
      <c r="E404" s="326"/>
      <c r="F404" s="326"/>
      <c r="G404" s="287"/>
      <c r="H404" s="284"/>
      <c r="I404" s="288"/>
      <c r="J404" s="286"/>
      <c r="K404" s="286"/>
      <c r="L404" s="289"/>
      <c r="M404" s="334"/>
      <c r="N404" s="288"/>
      <c r="O404" s="286"/>
      <c r="P404" s="326"/>
      <c r="Q404" s="327"/>
      <c r="R404" s="341"/>
      <c r="S404" s="288"/>
      <c r="T404" s="286"/>
      <c r="U404" s="286"/>
      <c r="V404" s="287"/>
      <c r="X404" s="288"/>
      <c r="Y404" s="286"/>
      <c r="Z404" s="286"/>
      <c r="AA404" s="287"/>
      <c r="AC404" s="288"/>
      <c r="AD404" s="286"/>
      <c r="AE404" s="286"/>
      <c r="AF404" s="287"/>
      <c r="AH404" s="288"/>
      <c r="AI404" s="286"/>
      <c r="AJ404" s="286"/>
      <c r="AK404" s="287"/>
      <c r="AM404" s="288"/>
      <c r="AN404" s="286"/>
      <c r="AO404" s="286"/>
      <c r="AP404" s="287"/>
      <c r="AR404" s="288"/>
      <c r="AS404" s="286"/>
      <c r="AT404" s="286"/>
      <c r="AU404" s="287"/>
      <c r="AW404" s="288"/>
      <c r="AX404" s="286"/>
      <c r="AY404" s="286"/>
      <c r="AZ404" s="287"/>
      <c r="BB404" s="288"/>
      <c r="BC404" s="286"/>
      <c r="BD404" s="286"/>
      <c r="BE404" s="287"/>
      <c r="BG404" s="288"/>
      <c r="BH404" s="286"/>
      <c r="BI404" s="286"/>
      <c r="BJ404" s="287"/>
      <c r="BL404" s="288"/>
      <c r="BM404" s="286"/>
      <c r="BN404" s="286"/>
      <c r="BO404" s="289"/>
    </row>
    <row r="405" spans="2:67" s="339" customFormat="1">
      <c r="B405" s="339" t="s">
        <v>397</v>
      </c>
      <c r="D405" s="330">
        <f>SUM(D399:D403)</f>
        <v>39662.730321790208</v>
      </c>
      <c r="E405" s="326">
        <f>SUM(E399:E403)</f>
        <v>48701.316666666658</v>
      </c>
      <c r="F405" s="326">
        <f>E405-D405</f>
        <v>9038.5863448764503</v>
      </c>
      <c r="G405" s="287"/>
      <c r="H405" s="284"/>
      <c r="I405" s="288"/>
      <c r="J405" s="286"/>
      <c r="K405" s="286"/>
      <c r="L405" s="289"/>
      <c r="M405" s="334"/>
      <c r="N405" s="288"/>
      <c r="O405" s="286"/>
      <c r="P405" s="326"/>
      <c r="Q405" s="327"/>
      <c r="R405" s="341"/>
      <c r="S405" s="288"/>
      <c r="T405" s="286"/>
      <c r="U405" s="286"/>
      <c r="V405" s="287"/>
      <c r="X405" s="288"/>
      <c r="Y405" s="286"/>
      <c r="Z405" s="286"/>
      <c r="AA405" s="287"/>
      <c r="AC405" s="288"/>
      <c r="AD405" s="286"/>
      <c r="AE405" s="286"/>
      <c r="AF405" s="287"/>
      <c r="AH405" s="288"/>
      <c r="AI405" s="286"/>
      <c r="AJ405" s="286"/>
      <c r="AK405" s="287"/>
      <c r="AM405" s="288"/>
      <c r="AN405" s="286"/>
      <c r="AO405" s="286"/>
      <c r="AP405" s="287"/>
      <c r="AR405" s="288"/>
      <c r="AS405" s="286"/>
      <c r="AT405" s="286"/>
      <c r="AU405" s="287"/>
      <c r="AW405" s="288"/>
      <c r="AX405" s="286"/>
      <c r="AY405" s="286"/>
      <c r="AZ405" s="287"/>
      <c r="BB405" s="288"/>
      <c r="BC405" s="286"/>
      <c r="BD405" s="286"/>
      <c r="BE405" s="287"/>
      <c r="BG405" s="288"/>
      <c r="BH405" s="286"/>
      <c r="BI405" s="286"/>
      <c r="BJ405" s="287"/>
      <c r="BL405" s="288"/>
      <c r="BM405" s="286"/>
      <c r="BN405" s="286"/>
      <c r="BO405" s="289"/>
    </row>
    <row r="406" spans="2:67" s="339" customFormat="1">
      <c r="B406" s="339" t="s">
        <v>396</v>
      </c>
      <c r="D406" s="330"/>
      <c r="E406" s="326"/>
      <c r="F406" s="326"/>
      <c r="G406" s="287"/>
      <c r="H406" s="284"/>
      <c r="I406" s="288"/>
      <c r="J406" s="286"/>
      <c r="K406" s="286"/>
      <c r="L406" s="289"/>
      <c r="M406" s="334"/>
      <c r="N406" s="288"/>
      <c r="O406" s="286"/>
      <c r="P406" s="326"/>
      <c r="Q406" s="327"/>
      <c r="R406" s="341"/>
      <c r="S406" s="288"/>
      <c r="T406" s="286"/>
      <c r="U406" s="286"/>
      <c r="V406" s="287"/>
      <c r="X406" s="288"/>
      <c r="Y406" s="286"/>
      <c r="Z406" s="286"/>
      <c r="AA406" s="287"/>
      <c r="AC406" s="288"/>
      <c r="AD406" s="286"/>
      <c r="AE406" s="286"/>
      <c r="AF406" s="287"/>
      <c r="AH406" s="288"/>
      <c r="AI406" s="286"/>
      <c r="AJ406" s="286"/>
      <c r="AK406" s="287"/>
      <c r="AM406" s="288"/>
      <c r="AN406" s="286"/>
      <c r="AO406" s="286"/>
      <c r="AP406" s="287"/>
      <c r="AR406" s="288"/>
      <c r="AS406" s="286"/>
      <c r="AT406" s="286"/>
      <c r="AU406" s="287"/>
      <c r="AW406" s="288"/>
      <c r="AX406" s="286"/>
      <c r="AY406" s="286"/>
      <c r="AZ406" s="287"/>
      <c r="BB406" s="288"/>
      <c r="BC406" s="286"/>
      <c r="BD406" s="286"/>
      <c r="BE406" s="287"/>
      <c r="BG406" s="288"/>
      <c r="BH406" s="286"/>
      <c r="BI406" s="286"/>
      <c r="BJ406" s="287"/>
      <c r="BL406" s="288"/>
      <c r="BM406" s="286"/>
      <c r="BN406" s="286"/>
      <c r="BO406" s="289"/>
    </row>
    <row r="407" spans="2:67" s="339" customFormat="1">
      <c r="D407" s="330"/>
      <c r="E407" s="326"/>
      <c r="F407" s="326"/>
      <c r="G407" s="287"/>
      <c r="H407" s="284"/>
      <c r="I407" s="288"/>
      <c r="J407" s="286"/>
      <c r="K407" s="286"/>
      <c r="L407" s="289"/>
      <c r="M407" s="334"/>
      <c r="N407" s="288"/>
      <c r="O407" s="286"/>
      <c r="P407" s="326"/>
      <c r="Q407" s="327"/>
      <c r="R407" s="341"/>
      <c r="S407" s="288"/>
      <c r="T407" s="286"/>
      <c r="U407" s="286"/>
      <c r="V407" s="287"/>
      <c r="X407" s="288"/>
      <c r="Y407" s="286"/>
      <c r="Z407" s="286"/>
      <c r="AA407" s="287"/>
      <c r="AC407" s="288"/>
      <c r="AD407" s="286"/>
      <c r="AE407" s="286"/>
      <c r="AF407" s="287"/>
      <c r="AH407" s="288"/>
      <c r="AI407" s="286"/>
      <c r="AJ407" s="286"/>
      <c r="AK407" s="287"/>
      <c r="AM407" s="288"/>
      <c r="AN407" s="286"/>
      <c r="AO407" s="286"/>
      <c r="AP407" s="287"/>
      <c r="AR407" s="288"/>
      <c r="AS407" s="286"/>
      <c r="AT407" s="286"/>
      <c r="AU407" s="287"/>
      <c r="AW407" s="288"/>
      <c r="AX407" s="286"/>
      <c r="AY407" s="286"/>
      <c r="AZ407" s="287"/>
      <c r="BB407" s="288"/>
      <c r="BC407" s="286"/>
      <c r="BD407" s="286"/>
      <c r="BE407" s="287"/>
      <c r="BG407" s="288"/>
      <c r="BH407" s="286"/>
      <c r="BI407" s="286"/>
      <c r="BJ407" s="287"/>
      <c r="BL407" s="288"/>
      <c r="BM407" s="286"/>
      <c r="BN407" s="286"/>
      <c r="BO407" s="289"/>
    </row>
    <row r="408" spans="2:67" s="339" customFormat="1">
      <c r="B408" s="339" t="s">
        <v>398</v>
      </c>
      <c r="D408" s="330"/>
      <c r="E408" s="326"/>
      <c r="F408" s="326"/>
      <c r="G408" s="287"/>
      <c r="H408" s="284"/>
      <c r="I408" s="288"/>
      <c r="J408" s="286"/>
      <c r="K408" s="286"/>
      <c r="L408" s="289"/>
      <c r="M408" s="334"/>
      <c r="N408" s="288"/>
      <c r="O408" s="286"/>
      <c r="P408" s="326"/>
      <c r="Q408" s="327"/>
      <c r="R408" s="341"/>
      <c r="S408" s="288"/>
      <c r="T408" s="286"/>
      <c r="U408" s="286"/>
      <c r="V408" s="287"/>
      <c r="X408" s="288"/>
      <c r="Y408" s="286"/>
      <c r="Z408" s="286"/>
      <c r="AA408" s="287"/>
      <c r="AC408" s="288"/>
      <c r="AD408" s="286"/>
      <c r="AE408" s="286"/>
      <c r="AF408" s="287"/>
      <c r="AH408" s="288"/>
      <c r="AI408" s="286"/>
      <c r="AJ408" s="286"/>
      <c r="AK408" s="287"/>
      <c r="AM408" s="288"/>
      <c r="AN408" s="286"/>
      <c r="AO408" s="286"/>
      <c r="AP408" s="287"/>
      <c r="AR408" s="288"/>
      <c r="AS408" s="286"/>
      <c r="AT408" s="286"/>
      <c r="AU408" s="287"/>
      <c r="AW408" s="288"/>
      <c r="AX408" s="286"/>
      <c r="AY408" s="286"/>
      <c r="AZ408" s="287"/>
      <c r="BB408" s="288"/>
      <c r="BC408" s="286"/>
      <c r="BD408" s="286"/>
      <c r="BE408" s="287"/>
      <c r="BG408" s="288"/>
      <c r="BH408" s="286"/>
      <c r="BI408" s="286"/>
      <c r="BJ408" s="287"/>
      <c r="BL408" s="288"/>
      <c r="BM408" s="286"/>
      <c r="BN408" s="286"/>
      <c r="BO408" s="289"/>
    </row>
    <row r="409" spans="2:67" s="339" customFormat="1">
      <c r="B409" s="365" t="s">
        <v>399</v>
      </c>
      <c r="C409" s="339" t="s">
        <v>393</v>
      </c>
      <c r="D409" s="330">
        <f>G347</f>
        <v>12452.535253365897</v>
      </c>
      <c r="E409" s="326">
        <f>H347</f>
        <v>11503.68</v>
      </c>
      <c r="F409" s="326">
        <f>E409-D409</f>
        <v>-948.85525336589671</v>
      </c>
      <c r="G409" s="287"/>
      <c r="H409" s="284"/>
      <c r="I409" s="288"/>
      <c r="J409" s="286"/>
      <c r="K409" s="286"/>
      <c r="L409" s="289"/>
      <c r="M409" s="334"/>
      <c r="N409" s="288"/>
      <c r="O409" s="286"/>
      <c r="P409" s="326"/>
      <c r="Q409" s="327"/>
      <c r="R409" s="341"/>
      <c r="S409" s="288"/>
      <c r="T409" s="286"/>
      <c r="U409" s="286"/>
      <c r="V409" s="287"/>
      <c r="X409" s="288"/>
      <c r="Y409" s="286"/>
      <c r="Z409" s="286"/>
      <c r="AA409" s="287"/>
      <c r="AC409" s="288"/>
      <c r="AD409" s="286"/>
      <c r="AE409" s="286"/>
      <c r="AF409" s="287"/>
      <c r="AH409" s="288"/>
      <c r="AI409" s="286"/>
      <c r="AJ409" s="286"/>
      <c r="AK409" s="287"/>
      <c r="AM409" s="288"/>
      <c r="AN409" s="286"/>
      <c r="AO409" s="286"/>
      <c r="AP409" s="287"/>
      <c r="AR409" s="288"/>
      <c r="AS409" s="286"/>
      <c r="AT409" s="286"/>
      <c r="AU409" s="287"/>
      <c r="AW409" s="288"/>
      <c r="AX409" s="286"/>
      <c r="AY409" s="286"/>
      <c r="AZ409" s="287"/>
      <c r="BB409" s="288"/>
      <c r="BC409" s="286"/>
      <c r="BD409" s="286"/>
      <c r="BE409" s="287"/>
      <c r="BG409" s="288"/>
      <c r="BH409" s="286"/>
      <c r="BI409" s="286"/>
      <c r="BJ409" s="287"/>
      <c r="BL409" s="288"/>
      <c r="BM409" s="286"/>
      <c r="BN409" s="286"/>
      <c r="BO409" s="289"/>
    </row>
    <row r="410" spans="2:67" s="339" customFormat="1">
      <c r="B410" s="365" t="s">
        <v>400</v>
      </c>
      <c r="C410" s="339" t="s">
        <v>393</v>
      </c>
      <c r="D410" s="330">
        <f>G354</f>
        <v>5880.3455923684514</v>
      </c>
      <c r="E410" s="326">
        <f>H354</f>
        <v>3910.8</v>
      </c>
      <c r="F410" s="326">
        <f>E410-D410</f>
        <v>-1969.5455923684513</v>
      </c>
      <c r="G410" s="287"/>
      <c r="H410" s="284"/>
      <c r="I410" s="288"/>
      <c r="J410" s="286"/>
      <c r="K410" s="286"/>
      <c r="L410" s="289"/>
      <c r="M410" s="334"/>
      <c r="N410" s="288"/>
      <c r="O410" s="286"/>
      <c r="P410" s="326"/>
      <c r="Q410" s="327"/>
      <c r="R410" s="341"/>
      <c r="S410" s="288"/>
      <c r="T410" s="286"/>
      <c r="U410" s="286"/>
      <c r="V410" s="287"/>
      <c r="X410" s="288"/>
      <c r="Y410" s="286"/>
      <c r="Z410" s="286"/>
      <c r="AA410" s="287"/>
      <c r="AC410" s="288"/>
      <c r="AD410" s="286"/>
      <c r="AE410" s="286"/>
      <c r="AF410" s="287"/>
      <c r="AH410" s="288"/>
      <c r="AI410" s="286"/>
      <c r="AJ410" s="286"/>
      <c r="AK410" s="287"/>
      <c r="AM410" s="288"/>
      <c r="AN410" s="286"/>
      <c r="AO410" s="286"/>
      <c r="AP410" s="287"/>
      <c r="AR410" s="288"/>
      <c r="AS410" s="286"/>
      <c r="AT410" s="286"/>
      <c r="AU410" s="287"/>
      <c r="AW410" s="288"/>
      <c r="AX410" s="286"/>
      <c r="AY410" s="286"/>
      <c r="AZ410" s="287"/>
      <c r="BB410" s="288"/>
      <c r="BC410" s="286"/>
      <c r="BD410" s="286"/>
      <c r="BE410" s="287"/>
      <c r="BG410" s="288"/>
      <c r="BH410" s="286"/>
      <c r="BI410" s="286"/>
      <c r="BJ410" s="287"/>
      <c r="BL410" s="288"/>
      <c r="BM410" s="286"/>
      <c r="BN410" s="286"/>
      <c r="BO410" s="289"/>
    </row>
    <row r="411" spans="2:67" s="339" customFormat="1">
      <c r="B411" s="365" t="s">
        <v>401</v>
      </c>
      <c r="C411" s="339" t="s">
        <v>402</v>
      </c>
      <c r="D411" s="330">
        <f>G353</f>
        <v>885.63600099463633</v>
      </c>
      <c r="E411" s="326">
        <f>H353</f>
        <v>854.83333333333337</v>
      </c>
      <c r="F411" s="326">
        <f>E411-D411</f>
        <v>-30.802667661302962</v>
      </c>
      <c r="G411" s="287"/>
      <c r="H411" s="284"/>
      <c r="I411" s="288"/>
      <c r="J411" s="286"/>
      <c r="K411" s="286"/>
      <c r="L411" s="289"/>
      <c r="M411" s="334"/>
      <c r="N411" s="288"/>
      <c r="O411" s="286"/>
      <c r="P411" s="326"/>
      <c r="Q411" s="327"/>
      <c r="R411" s="341"/>
      <c r="S411" s="288"/>
      <c r="T411" s="286"/>
      <c r="U411" s="286"/>
      <c r="V411" s="287"/>
      <c r="X411" s="288"/>
      <c r="Y411" s="286"/>
      <c r="Z411" s="286"/>
      <c r="AA411" s="287"/>
      <c r="AC411" s="288"/>
      <c r="AD411" s="286"/>
      <c r="AE411" s="286"/>
      <c r="AF411" s="287"/>
      <c r="AH411" s="288"/>
      <c r="AI411" s="286"/>
      <c r="AJ411" s="286"/>
      <c r="AK411" s="287"/>
      <c r="AM411" s="288"/>
      <c r="AN411" s="286"/>
      <c r="AO411" s="286"/>
      <c r="AP411" s="287"/>
      <c r="AR411" s="288"/>
      <c r="AS411" s="286"/>
      <c r="AT411" s="286"/>
      <c r="AU411" s="287"/>
      <c r="AW411" s="288"/>
      <c r="AX411" s="286"/>
      <c r="AY411" s="286"/>
      <c r="AZ411" s="287"/>
      <c r="BB411" s="288"/>
      <c r="BC411" s="286"/>
      <c r="BD411" s="286"/>
      <c r="BE411" s="287"/>
      <c r="BG411" s="288"/>
      <c r="BH411" s="286"/>
      <c r="BI411" s="286"/>
      <c r="BJ411" s="287"/>
      <c r="BL411" s="288"/>
      <c r="BM411" s="286"/>
      <c r="BN411" s="286"/>
      <c r="BO411" s="289"/>
    </row>
    <row r="412" spans="2:67" s="339" customFormat="1">
      <c r="B412" s="339" t="s">
        <v>396</v>
      </c>
      <c r="D412" s="330"/>
      <c r="E412" s="326"/>
      <c r="F412" s="326"/>
      <c r="G412" s="287"/>
      <c r="H412" s="284"/>
      <c r="I412" s="288"/>
      <c r="J412" s="286"/>
      <c r="K412" s="286"/>
      <c r="L412" s="289"/>
      <c r="M412" s="334"/>
      <c r="N412" s="288"/>
      <c r="O412" s="286"/>
      <c r="P412" s="326"/>
      <c r="Q412" s="327"/>
      <c r="R412" s="341"/>
      <c r="S412" s="288"/>
      <c r="T412" s="286"/>
      <c r="U412" s="286"/>
      <c r="V412" s="287"/>
      <c r="X412" s="288"/>
      <c r="Y412" s="286"/>
      <c r="Z412" s="286"/>
      <c r="AA412" s="287"/>
      <c r="AC412" s="288"/>
      <c r="AD412" s="286"/>
      <c r="AE412" s="286"/>
      <c r="AF412" s="287"/>
      <c r="AH412" s="288"/>
      <c r="AI412" s="286"/>
      <c r="AJ412" s="286"/>
      <c r="AK412" s="287"/>
      <c r="AM412" s="288"/>
      <c r="AN412" s="286"/>
      <c r="AO412" s="286"/>
      <c r="AP412" s="287"/>
      <c r="AR412" s="288"/>
      <c r="AS412" s="286"/>
      <c r="AT412" s="286"/>
      <c r="AU412" s="287"/>
      <c r="AW412" s="288"/>
      <c r="AX412" s="286"/>
      <c r="AY412" s="286"/>
      <c r="AZ412" s="287"/>
      <c r="BB412" s="288"/>
      <c r="BC412" s="286"/>
      <c r="BD412" s="286"/>
      <c r="BE412" s="287"/>
      <c r="BG412" s="288"/>
      <c r="BH412" s="286"/>
      <c r="BI412" s="286"/>
      <c r="BJ412" s="287"/>
      <c r="BL412" s="288"/>
      <c r="BM412" s="286"/>
      <c r="BN412" s="286"/>
      <c r="BO412" s="289"/>
    </row>
    <row r="413" spans="2:67" s="339" customFormat="1">
      <c r="B413" s="339" t="s">
        <v>403</v>
      </c>
      <c r="D413" s="330">
        <f>SUM(D409:D411)</f>
        <v>19218.516846728984</v>
      </c>
      <c r="E413" s="326">
        <f>SUM(E409:E411)</f>
        <v>16269.313333333334</v>
      </c>
      <c r="F413" s="326">
        <f>E413-D413</f>
        <v>-2949.2035133956506</v>
      </c>
      <c r="G413" s="287"/>
      <c r="H413" s="284"/>
      <c r="I413" s="288"/>
      <c r="J413" s="286"/>
      <c r="K413" s="286"/>
      <c r="L413" s="289"/>
      <c r="M413" s="334"/>
      <c r="N413" s="288"/>
      <c r="O413" s="286"/>
      <c r="P413" s="326"/>
      <c r="Q413" s="327"/>
      <c r="R413" s="341"/>
      <c r="S413" s="288"/>
      <c r="T413" s="286"/>
      <c r="U413" s="286"/>
      <c r="V413" s="287"/>
      <c r="X413" s="288"/>
      <c r="Y413" s="286"/>
      <c r="Z413" s="286"/>
      <c r="AA413" s="287"/>
      <c r="AC413" s="288"/>
      <c r="AD413" s="286"/>
      <c r="AE413" s="286"/>
      <c r="AF413" s="287"/>
      <c r="AH413" s="288"/>
      <c r="AI413" s="286"/>
      <c r="AJ413" s="286"/>
      <c r="AK413" s="287"/>
      <c r="AM413" s="288"/>
      <c r="AN413" s="286"/>
      <c r="AO413" s="286"/>
      <c r="AP413" s="287"/>
      <c r="AR413" s="288"/>
      <c r="AS413" s="286"/>
      <c r="AT413" s="286"/>
      <c r="AU413" s="287"/>
      <c r="AW413" s="288"/>
      <c r="AX413" s="286"/>
      <c r="AY413" s="286"/>
      <c r="AZ413" s="287"/>
      <c r="BB413" s="288"/>
      <c r="BC413" s="286"/>
      <c r="BD413" s="286"/>
      <c r="BE413" s="287"/>
      <c r="BG413" s="288"/>
      <c r="BH413" s="286"/>
      <c r="BI413" s="286"/>
      <c r="BJ413" s="287"/>
      <c r="BL413" s="288"/>
      <c r="BM413" s="286"/>
      <c r="BN413" s="286"/>
      <c r="BO413" s="289"/>
    </row>
    <row r="414" spans="2:67" s="339" customFormat="1">
      <c r="B414" s="339" t="s">
        <v>396</v>
      </c>
      <c r="D414" s="330"/>
      <c r="E414" s="326"/>
      <c r="F414" s="326"/>
      <c r="G414" s="287"/>
      <c r="H414" s="284"/>
      <c r="I414" s="288"/>
      <c r="J414" s="286"/>
      <c r="K414" s="286"/>
      <c r="L414" s="289"/>
      <c r="M414" s="334"/>
      <c r="N414" s="288"/>
      <c r="O414" s="286"/>
      <c r="P414" s="326"/>
      <c r="Q414" s="327"/>
      <c r="R414" s="341"/>
      <c r="S414" s="288"/>
      <c r="T414" s="286"/>
      <c r="U414" s="286"/>
      <c r="V414" s="287"/>
      <c r="X414" s="288"/>
      <c r="Y414" s="286"/>
      <c r="Z414" s="286"/>
      <c r="AA414" s="287"/>
      <c r="AC414" s="288"/>
      <c r="AD414" s="286"/>
      <c r="AE414" s="286"/>
      <c r="AF414" s="287"/>
      <c r="AH414" s="288"/>
      <c r="AI414" s="286"/>
      <c r="AJ414" s="286"/>
      <c r="AK414" s="287"/>
      <c r="AM414" s="288"/>
      <c r="AN414" s="286"/>
      <c r="AO414" s="286"/>
      <c r="AP414" s="287"/>
      <c r="AR414" s="288"/>
      <c r="AS414" s="286"/>
      <c r="AT414" s="286"/>
      <c r="AU414" s="287"/>
      <c r="AW414" s="288"/>
      <c r="AX414" s="286"/>
      <c r="AY414" s="286"/>
      <c r="AZ414" s="287"/>
      <c r="BB414" s="288"/>
      <c r="BC414" s="286"/>
      <c r="BD414" s="286"/>
      <c r="BE414" s="287"/>
      <c r="BG414" s="288"/>
      <c r="BH414" s="286"/>
      <c r="BI414" s="286"/>
      <c r="BJ414" s="287"/>
      <c r="BL414" s="288"/>
      <c r="BM414" s="286"/>
      <c r="BN414" s="286"/>
      <c r="BO414" s="289"/>
    </row>
    <row r="415" spans="2:67" s="339" customFormat="1">
      <c r="B415" s="365" t="s">
        <v>440</v>
      </c>
      <c r="C415" s="339" t="s">
        <v>441</v>
      </c>
      <c r="D415" s="330">
        <f>G361</f>
        <v>25421.626106251228</v>
      </c>
      <c r="E415" s="326">
        <f>H361</f>
        <v>16689.900000000001</v>
      </c>
      <c r="F415" s="326">
        <f>E415-D415</f>
        <v>-8731.7261062512262</v>
      </c>
      <c r="G415" s="287"/>
      <c r="H415" s="284"/>
      <c r="I415" s="288"/>
      <c r="J415" s="286"/>
      <c r="K415" s="286"/>
      <c r="L415" s="289"/>
      <c r="M415" s="334"/>
      <c r="N415" s="288"/>
      <c r="O415" s="286"/>
      <c r="P415" s="326"/>
      <c r="Q415" s="327"/>
      <c r="R415" s="341"/>
      <c r="S415" s="288"/>
      <c r="T415" s="286"/>
      <c r="U415" s="286"/>
      <c r="V415" s="287"/>
      <c r="X415" s="288"/>
      <c r="Y415" s="286"/>
      <c r="Z415" s="286"/>
      <c r="AA415" s="287"/>
      <c r="AC415" s="288"/>
      <c r="AD415" s="286"/>
      <c r="AE415" s="286"/>
      <c r="AF415" s="287"/>
      <c r="AH415" s="288"/>
      <c r="AI415" s="286"/>
      <c r="AJ415" s="286"/>
      <c r="AK415" s="287"/>
      <c r="AM415" s="288"/>
      <c r="AN415" s="286"/>
      <c r="AO415" s="286"/>
      <c r="AP415" s="287"/>
      <c r="AR415" s="288"/>
      <c r="AS415" s="286"/>
      <c r="AT415" s="286"/>
      <c r="AU415" s="287"/>
      <c r="AW415" s="288"/>
      <c r="AX415" s="286"/>
      <c r="AY415" s="286"/>
      <c r="AZ415" s="287"/>
      <c r="BB415" s="288"/>
      <c r="BC415" s="286"/>
      <c r="BD415" s="286"/>
      <c r="BE415" s="287"/>
      <c r="BG415" s="288"/>
      <c r="BH415" s="286"/>
      <c r="BI415" s="286"/>
      <c r="BJ415" s="287"/>
      <c r="BL415" s="288"/>
      <c r="BM415" s="286"/>
      <c r="BN415" s="286"/>
      <c r="BO415" s="289"/>
    </row>
    <row r="416" spans="2:67" s="339" customFormat="1">
      <c r="D416" s="330"/>
      <c r="E416" s="326"/>
      <c r="F416" s="326"/>
      <c r="G416" s="287"/>
      <c r="H416" s="284"/>
      <c r="I416" s="288"/>
      <c r="J416" s="286"/>
      <c r="K416" s="286"/>
      <c r="L416" s="289"/>
      <c r="M416" s="334"/>
      <c r="N416" s="288"/>
      <c r="O416" s="286"/>
      <c r="P416" s="326"/>
      <c r="Q416" s="327"/>
      <c r="R416" s="341"/>
      <c r="S416" s="288"/>
      <c r="T416" s="286"/>
      <c r="U416" s="286"/>
      <c r="V416" s="287"/>
      <c r="X416" s="288"/>
      <c r="Y416" s="286"/>
      <c r="Z416" s="286"/>
      <c r="AA416" s="287"/>
      <c r="AC416" s="288"/>
      <c r="AD416" s="286"/>
      <c r="AE416" s="286"/>
      <c r="AF416" s="287"/>
      <c r="AH416" s="288"/>
      <c r="AI416" s="286"/>
      <c r="AJ416" s="286"/>
      <c r="AK416" s="287"/>
      <c r="AM416" s="288"/>
      <c r="AN416" s="286"/>
      <c r="AO416" s="286"/>
      <c r="AP416" s="287"/>
      <c r="AR416" s="288"/>
      <c r="AS416" s="286"/>
      <c r="AT416" s="286"/>
      <c r="AU416" s="287"/>
      <c r="AW416" s="288"/>
      <c r="AX416" s="286"/>
      <c r="AY416" s="286"/>
      <c r="AZ416" s="287"/>
      <c r="BB416" s="288"/>
      <c r="BC416" s="286"/>
      <c r="BD416" s="286"/>
      <c r="BE416" s="287"/>
      <c r="BG416" s="288"/>
      <c r="BH416" s="286"/>
      <c r="BI416" s="286"/>
      <c r="BJ416" s="287"/>
      <c r="BL416" s="288"/>
      <c r="BM416" s="286"/>
      <c r="BN416" s="286"/>
      <c r="BO416" s="289"/>
    </row>
    <row r="417" spans="2:67" s="339" customFormat="1">
      <c r="B417" s="365" t="s">
        <v>439</v>
      </c>
      <c r="C417" s="339" t="s">
        <v>432</v>
      </c>
      <c r="D417" s="330">
        <f>G346</f>
        <v>0</v>
      </c>
      <c r="E417" s="326">
        <f>H346</f>
        <v>0</v>
      </c>
      <c r="F417" s="326">
        <f>E417-D417</f>
        <v>0</v>
      </c>
      <c r="G417" s="287"/>
      <c r="H417" s="284"/>
      <c r="I417" s="288"/>
      <c r="J417" s="286"/>
      <c r="K417" s="286"/>
      <c r="L417" s="289"/>
      <c r="M417" s="334"/>
      <c r="N417" s="288"/>
      <c r="O417" s="286"/>
      <c r="P417" s="326"/>
      <c r="Q417" s="327"/>
      <c r="R417" s="341"/>
      <c r="S417" s="288"/>
      <c r="T417" s="286"/>
      <c r="U417" s="286"/>
      <c r="V417" s="287"/>
      <c r="X417" s="288"/>
      <c r="Y417" s="286"/>
      <c r="Z417" s="286"/>
      <c r="AA417" s="287"/>
      <c r="AC417" s="288"/>
      <c r="AD417" s="286"/>
      <c r="AE417" s="286"/>
      <c r="AF417" s="287"/>
      <c r="AH417" s="288"/>
      <c r="AI417" s="286"/>
      <c r="AJ417" s="286"/>
      <c r="AK417" s="287"/>
      <c r="AM417" s="288"/>
      <c r="AN417" s="286"/>
      <c r="AO417" s="286"/>
      <c r="AP417" s="287"/>
      <c r="AR417" s="288"/>
      <c r="AS417" s="286"/>
      <c r="AT417" s="286"/>
      <c r="AU417" s="287"/>
      <c r="AW417" s="288"/>
      <c r="AX417" s="286"/>
      <c r="AY417" s="286"/>
      <c r="AZ417" s="287"/>
      <c r="BB417" s="288"/>
      <c r="BC417" s="286"/>
      <c r="BD417" s="286"/>
      <c r="BE417" s="287"/>
      <c r="BG417" s="288"/>
      <c r="BH417" s="286"/>
      <c r="BI417" s="286"/>
      <c r="BJ417" s="287"/>
      <c r="BL417" s="288"/>
      <c r="BM417" s="286"/>
      <c r="BN417" s="286"/>
      <c r="BO417" s="289"/>
    </row>
    <row r="418" spans="2:67" s="339" customFormat="1">
      <c r="B418" s="339" t="s">
        <v>442</v>
      </c>
      <c r="D418" s="330"/>
      <c r="E418" s="326"/>
      <c r="F418" s="326"/>
      <c r="G418" s="287"/>
      <c r="H418" s="284"/>
      <c r="I418" s="288"/>
      <c r="J418" s="286"/>
      <c r="K418" s="286"/>
      <c r="L418" s="289"/>
      <c r="M418" s="334"/>
      <c r="N418" s="288"/>
      <c r="O418" s="286"/>
      <c r="P418" s="326"/>
      <c r="Q418" s="327"/>
      <c r="R418" s="341"/>
      <c r="S418" s="288"/>
      <c r="T418" s="286"/>
      <c r="U418" s="286"/>
      <c r="V418" s="287"/>
      <c r="X418" s="288"/>
      <c r="Y418" s="286"/>
      <c r="Z418" s="286"/>
      <c r="AA418" s="287"/>
      <c r="AC418" s="288"/>
      <c r="AD418" s="286"/>
      <c r="AE418" s="286"/>
      <c r="AF418" s="287"/>
      <c r="AH418" s="288"/>
      <c r="AI418" s="286"/>
      <c r="AJ418" s="286"/>
      <c r="AK418" s="287"/>
      <c r="AM418" s="288"/>
      <c r="AN418" s="286"/>
      <c r="AO418" s="286"/>
      <c r="AP418" s="287"/>
      <c r="AR418" s="288"/>
      <c r="AS418" s="286"/>
      <c r="AT418" s="286"/>
      <c r="AU418" s="287"/>
      <c r="AW418" s="288"/>
      <c r="AX418" s="286"/>
      <c r="AY418" s="286"/>
      <c r="AZ418" s="287"/>
      <c r="BB418" s="288"/>
      <c r="BC418" s="286"/>
      <c r="BD418" s="286"/>
      <c r="BE418" s="287"/>
      <c r="BG418" s="288"/>
      <c r="BH418" s="286"/>
      <c r="BI418" s="286"/>
      <c r="BJ418" s="287"/>
      <c r="BL418" s="288"/>
      <c r="BM418" s="286"/>
      <c r="BN418" s="286"/>
      <c r="BO418" s="289"/>
    </row>
    <row r="419" spans="2:67" s="339" customFormat="1">
      <c r="B419" s="365" t="s">
        <v>433</v>
      </c>
      <c r="C419" s="339" t="s">
        <v>390</v>
      </c>
      <c r="D419" s="330">
        <f>G352</f>
        <v>0</v>
      </c>
      <c r="E419" s="326">
        <f>H352</f>
        <v>-5150.1866666666674</v>
      </c>
      <c r="F419" s="326">
        <f>E419-D419</f>
        <v>-5150.1866666666674</v>
      </c>
      <c r="G419" s="287"/>
      <c r="H419" s="284"/>
      <c r="I419" s="288"/>
      <c r="J419" s="286"/>
      <c r="K419" s="286"/>
      <c r="L419" s="289"/>
      <c r="M419" s="334"/>
      <c r="N419" s="288"/>
      <c r="O419" s="286"/>
      <c r="P419" s="326"/>
      <c r="Q419" s="327"/>
      <c r="R419" s="341"/>
      <c r="S419" s="288"/>
      <c r="T419" s="286"/>
      <c r="U419" s="286"/>
      <c r="V419" s="287"/>
      <c r="X419" s="288"/>
      <c r="Y419" s="286"/>
      <c r="Z419" s="286"/>
      <c r="AA419" s="287"/>
      <c r="AC419" s="288"/>
      <c r="AD419" s="286"/>
      <c r="AE419" s="286"/>
      <c r="AF419" s="287"/>
      <c r="AH419" s="288"/>
      <c r="AI419" s="286"/>
      <c r="AJ419" s="286"/>
      <c r="AK419" s="287"/>
      <c r="AM419" s="288"/>
      <c r="AN419" s="286"/>
      <c r="AO419" s="286"/>
      <c r="AP419" s="287"/>
      <c r="AR419" s="288"/>
      <c r="AS419" s="286"/>
      <c r="AT419" s="286"/>
      <c r="AU419" s="287"/>
      <c r="AW419" s="288"/>
      <c r="AX419" s="286"/>
      <c r="AY419" s="286"/>
      <c r="AZ419" s="287"/>
      <c r="BB419" s="288"/>
      <c r="BC419" s="286"/>
      <c r="BD419" s="286"/>
      <c r="BE419" s="287"/>
      <c r="BG419" s="288"/>
      <c r="BH419" s="286"/>
      <c r="BI419" s="286"/>
      <c r="BJ419" s="287"/>
      <c r="BL419" s="288"/>
      <c r="BM419" s="286"/>
      <c r="BN419" s="286"/>
      <c r="BO419" s="289"/>
    </row>
    <row r="420" spans="2:67" s="339" customFormat="1">
      <c r="D420" s="330"/>
      <c r="E420" s="326"/>
      <c r="F420" s="326"/>
      <c r="G420" s="287"/>
      <c r="H420" s="284"/>
      <c r="I420" s="288"/>
      <c r="J420" s="286"/>
      <c r="K420" s="286"/>
      <c r="L420" s="289"/>
      <c r="M420" s="334"/>
      <c r="N420" s="288"/>
      <c r="O420" s="286"/>
      <c r="P420" s="326"/>
      <c r="Q420" s="327"/>
      <c r="R420" s="341"/>
      <c r="S420" s="288"/>
      <c r="T420" s="286"/>
      <c r="U420" s="286"/>
      <c r="V420" s="287"/>
      <c r="X420" s="288"/>
      <c r="Y420" s="286"/>
      <c r="Z420" s="286"/>
      <c r="AA420" s="287"/>
      <c r="AC420" s="288"/>
      <c r="AD420" s="286"/>
      <c r="AE420" s="286"/>
      <c r="AF420" s="287"/>
      <c r="AH420" s="288"/>
      <c r="AI420" s="286"/>
      <c r="AJ420" s="286"/>
      <c r="AK420" s="287"/>
      <c r="AM420" s="288"/>
      <c r="AN420" s="286"/>
      <c r="AO420" s="286"/>
      <c r="AP420" s="287"/>
      <c r="AR420" s="288"/>
      <c r="AS420" s="286"/>
      <c r="AT420" s="286"/>
      <c r="AU420" s="287"/>
      <c r="AW420" s="288"/>
      <c r="AX420" s="286"/>
      <c r="AY420" s="286"/>
      <c r="AZ420" s="287"/>
      <c r="BB420" s="288"/>
      <c r="BC420" s="286"/>
      <c r="BD420" s="286"/>
      <c r="BE420" s="287"/>
      <c r="BG420" s="288"/>
      <c r="BH420" s="286"/>
      <c r="BI420" s="286"/>
      <c r="BJ420" s="287"/>
      <c r="BL420" s="288"/>
      <c r="BM420" s="286"/>
      <c r="BN420" s="286"/>
      <c r="BO420" s="289"/>
    </row>
    <row r="421" spans="2:67" s="339" customFormat="1">
      <c r="B421" s="365" t="s">
        <v>407</v>
      </c>
      <c r="C421" s="339" t="s">
        <v>390</v>
      </c>
      <c r="D421" s="330">
        <f>G355</f>
        <v>2454.7869680055196</v>
      </c>
      <c r="E421" s="326">
        <f>H355</f>
        <v>1479.4133333333336</v>
      </c>
      <c r="F421" s="326">
        <f>E421-D421</f>
        <v>-975.37363467218597</v>
      </c>
      <c r="G421" s="287"/>
      <c r="H421" s="284"/>
      <c r="I421" s="288"/>
      <c r="J421" s="286"/>
      <c r="K421" s="286"/>
      <c r="L421" s="289"/>
      <c r="M421" s="334"/>
      <c r="N421" s="288"/>
      <c r="O421" s="286"/>
      <c r="P421" s="326"/>
      <c r="Q421" s="327"/>
      <c r="R421" s="341"/>
      <c r="S421" s="288"/>
      <c r="T421" s="286"/>
      <c r="U421" s="286"/>
      <c r="V421" s="287"/>
      <c r="X421" s="288"/>
      <c r="Y421" s="286"/>
      <c r="Z421" s="286"/>
      <c r="AA421" s="287"/>
      <c r="AC421" s="288"/>
      <c r="AD421" s="286"/>
      <c r="AE421" s="286"/>
      <c r="AF421" s="287"/>
      <c r="AH421" s="288"/>
      <c r="AI421" s="286"/>
      <c r="AJ421" s="286"/>
      <c r="AK421" s="287"/>
      <c r="AM421" s="288"/>
      <c r="AN421" s="286"/>
      <c r="AO421" s="286"/>
      <c r="AP421" s="287"/>
      <c r="AR421" s="288"/>
      <c r="AS421" s="286"/>
      <c r="AT421" s="286"/>
      <c r="AU421" s="287"/>
      <c r="AW421" s="288"/>
      <c r="AX421" s="286"/>
      <c r="AY421" s="286"/>
      <c r="AZ421" s="287"/>
      <c r="BB421" s="288"/>
      <c r="BC421" s="286"/>
      <c r="BD421" s="286"/>
      <c r="BE421" s="287"/>
      <c r="BG421" s="288"/>
      <c r="BH421" s="286"/>
      <c r="BI421" s="286"/>
      <c r="BJ421" s="287"/>
      <c r="BL421" s="288"/>
      <c r="BM421" s="286"/>
      <c r="BN421" s="286"/>
      <c r="BO421" s="289"/>
    </row>
    <row r="422" spans="2:67" s="339" customFormat="1">
      <c r="B422" s="339" t="s">
        <v>396</v>
      </c>
      <c r="D422" s="330"/>
      <c r="E422" s="326"/>
      <c r="F422" s="326"/>
      <c r="G422" s="287"/>
      <c r="H422" s="284"/>
      <c r="I422" s="288"/>
      <c r="J422" s="286"/>
      <c r="K422" s="286"/>
      <c r="L422" s="289"/>
      <c r="M422" s="334"/>
      <c r="N422" s="288"/>
      <c r="O422" s="286"/>
      <c r="P422" s="326"/>
      <c r="Q422" s="327"/>
      <c r="R422" s="341"/>
      <c r="S422" s="288"/>
      <c r="T422" s="286"/>
      <c r="U422" s="286"/>
      <c r="V422" s="287"/>
      <c r="X422" s="288"/>
      <c r="Y422" s="286"/>
      <c r="Z422" s="286"/>
      <c r="AA422" s="287"/>
      <c r="AC422" s="288"/>
      <c r="AD422" s="286"/>
      <c r="AE422" s="286"/>
      <c r="AF422" s="287"/>
      <c r="AH422" s="288"/>
      <c r="AI422" s="286"/>
      <c r="AJ422" s="286"/>
      <c r="AK422" s="287"/>
      <c r="AM422" s="288"/>
      <c r="AN422" s="286"/>
      <c r="AO422" s="286"/>
      <c r="AP422" s="287"/>
      <c r="AR422" s="288"/>
      <c r="AS422" s="286"/>
      <c r="AT422" s="286"/>
      <c r="AU422" s="287"/>
      <c r="AW422" s="288"/>
      <c r="AX422" s="286"/>
      <c r="AY422" s="286"/>
      <c r="AZ422" s="287"/>
      <c r="BB422" s="288"/>
      <c r="BC422" s="286"/>
      <c r="BD422" s="286"/>
      <c r="BE422" s="287"/>
      <c r="BG422" s="288"/>
      <c r="BH422" s="286"/>
      <c r="BI422" s="286"/>
      <c r="BJ422" s="287"/>
      <c r="BL422" s="288"/>
      <c r="BM422" s="286"/>
      <c r="BN422" s="286"/>
      <c r="BO422" s="289"/>
    </row>
    <row r="423" spans="2:67" s="339" customFormat="1">
      <c r="B423" s="339" t="s">
        <v>408</v>
      </c>
      <c r="D423" s="330">
        <f>SUM(D415:D421)</f>
        <v>27876.413074256747</v>
      </c>
      <c r="E423" s="326">
        <f>SUM(E415:E421)</f>
        <v>13019.126666666667</v>
      </c>
      <c r="F423" s="326">
        <f>E423-D423</f>
        <v>-14857.28640759008</v>
      </c>
      <c r="G423" s="287"/>
      <c r="H423" s="284"/>
      <c r="I423" s="288"/>
      <c r="J423" s="286"/>
      <c r="K423" s="286"/>
      <c r="L423" s="289"/>
      <c r="M423" s="334"/>
      <c r="N423" s="288"/>
      <c r="O423" s="286"/>
      <c r="P423" s="326"/>
      <c r="Q423" s="327"/>
      <c r="R423" s="341"/>
      <c r="S423" s="288"/>
      <c r="T423" s="286"/>
      <c r="U423" s="286"/>
      <c r="V423" s="287"/>
      <c r="X423" s="288"/>
      <c r="Y423" s="286"/>
      <c r="Z423" s="286"/>
      <c r="AA423" s="287"/>
      <c r="AC423" s="288"/>
      <c r="AD423" s="286"/>
      <c r="AE423" s="286"/>
      <c r="AF423" s="287"/>
      <c r="AH423" s="288"/>
      <c r="AI423" s="286"/>
      <c r="AJ423" s="286"/>
      <c r="AK423" s="287"/>
      <c r="AM423" s="288"/>
      <c r="AN423" s="286"/>
      <c r="AO423" s="286"/>
      <c r="AP423" s="287"/>
      <c r="AR423" s="288"/>
      <c r="AS423" s="286"/>
      <c r="AT423" s="286"/>
      <c r="AU423" s="287"/>
      <c r="AW423" s="288"/>
      <c r="AX423" s="286"/>
      <c r="AY423" s="286"/>
      <c r="AZ423" s="287"/>
      <c r="BB423" s="288"/>
      <c r="BC423" s="286"/>
      <c r="BD423" s="286"/>
      <c r="BE423" s="287"/>
      <c r="BG423" s="288"/>
      <c r="BH423" s="286"/>
      <c r="BI423" s="286"/>
      <c r="BJ423" s="287"/>
      <c r="BL423" s="288"/>
      <c r="BM423" s="286"/>
      <c r="BN423" s="286"/>
      <c r="BO423" s="289"/>
    </row>
    <row r="424" spans="2:67" s="339" customFormat="1">
      <c r="B424" s="339" t="s">
        <v>396</v>
      </c>
      <c r="D424" s="330"/>
      <c r="E424" s="326"/>
      <c r="F424" s="326"/>
      <c r="G424" s="287"/>
      <c r="H424" s="284"/>
      <c r="I424" s="288"/>
      <c r="J424" s="286"/>
      <c r="K424" s="286"/>
      <c r="L424" s="289"/>
      <c r="M424" s="334"/>
      <c r="N424" s="288"/>
      <c r="O424" s="286"/>
      <c r="P424" s="326"/>
      <c r="Q424" s="327"/>
      <c r="R424" s="341"/>
      <c r="S424" s="288"/>
      <c r="T424" s="286"/>
      <c r="U424" s="286"/>
      <c r="V424" s="287"/>
      <c r="X424" s="288"/>
      <c r="Y424" s="286"/>
      <c r="Z424" s="286"/>
      <c r="AA424" s="287"/>
      <c r="AC424" s="288"/>
      <c r="AD424" s="286"/>
      <c r="AE424" s="286"/>
      <c r="AF424" s="287"/>
      <c r="AH424" s="288"/>
      <c r="AI424" s="286"/>
      <c r="AJ424" s="286"/>
      <c r="AK424" s="287"/>
      <c r="AM424" s="288"/>
      <c r="AN424" s="286"/>
      <c r="AO424" s="286"/>
      <c r="AP424" s="287"/>
      <c r="AR424" s="288"/>
      <c r="AS424" s="286"/>
      <c r="AT424" s="286"/>
      <c r="AU424" s="287"/>
      <c r="AW424" s="288"/>
      <c r="AX424" s="286"/>
      <c r="AY424" s="286"/>
      <c r="AZ424" s="287"/>
      <c r="BB424" s="288"/>
      <c r="BC424" s="286"/>
      <c r="BD424" s="286"/>
      <c r="BE424" s="287"/>
      <c r="BG424" s="288"/>
      <c r="BH424" s="286"/>
      <c r="BI424" s="286"/>
      <c r="BJ424" s="287"/>
      <c r="BL424" s="288"/>
      <c r="BM424" s="286"/>
      <c r="BN424" s="286"/>
      <c r="BO424" s="289"/>
    </row>
    <row r="425" spans="2:67" s="339" customFormat="1">
      <c r="D425" s="330"/>
      <c r="E425" s="326"/>
      <c r="F425" s="326"/>
      <c r="G425" s="287"/>
      <c r="H425" s="284"/>
      <c r="I425" s="288"/>
      <c r="J425" s="286"/>
      <c r="K425" s="286"/>
      <c r="L425" s="289"/>
      <c r="M425" s="334"/>
      <c r="N425" s="288"/>
      <c r="O425" s="286"/>
      <c r="P425" s="326"/>
      <c r="Q425" s="327"/>
      <c r="R425" s="341"/>
      <c r="S425" s="288"/>
      <c r="T425" s="286"/>
      <c r="U425" s="286"/>
      <c r="V425" s="287"/>
      <c r="X425" s="288"/>
      <c r="Y425" s="286"/>
      <c r="Z425" s="286"/>
      <c r="AA425" s="287"/>
      <c r="AC425" s="288"/>
      <c r="AD425" s="286"/>
      <c r="AE425" s="286"/>
      <c r="AF425" s="287"/>
      <c r="AH425" s="288"/>
      <c r="AI425" s="286"/>
      <c r="AJ425" s="286"/>
      <c r="AK425" s="287"/>
      <c r="AM425" s="288"/>
      <c r="AN425" s="286"/>
      <c r="AO425" s="286"/>
      <c r="AP425" s="287"/>
      <c r="AR425" s="288"/>
      <c r="AS425" s="286"/>
      <c r="AT425" s="286"/>
      <c r="AU425" s="287"/>
      <c r="AW425" s="288"/>
      <c r="AX425" s="286"/>
      <c r="AY425" s="286"/>
      <c r="AZ425" s="287"/>
      <c r="BB425" s="288"/>
      <c r="BC425" s="286"/>
      <c r="BD425" s="286"/>
      <c r="BE425" s="287"/>
      <c r="BG425" s="288"/>
      <c r="BH425" s="286"/>
      <c r="BI425" s="286"/>
      <c r="BJ425" s="287"/>
      <c r="BL425" s="288"/>
      <c r="BM425" s="286"/>
      <c r="BN425" s="286"/>
      <c r="BO425" s="289"/>
    </row>
    <row r="426" spans="2:67" s="339" customFormat="1">
      <c r="B426" s="339" t="s">
        <v>409</v>
      </c>
      <c r="D426" s="330"/>
      <c r="E426" s="326"/>
      <c r="F426" s="326"/>
      <c r="G426" s="287"/>
      <c r="H426" s="284"/>
      <c r="I426" s="288"/>
      <c r="J426" s="286"/>
      <c r="K426" s="286"/>
      <c r="L426" s="289"/>
      <c r="M426" s="334"/>
      <c r="N426" s="288"/>
      <c r="O426" s="286"/>
      <c r="P426" s="326"/>
      <c r="Q426" s="327"/>
      <c r="R426" s="341"/>
      <c r="S426" s="288"/>
      <c r="T426" s="286"/>
      <c r="U426" s="286"/>
      <c r="V426" s="287"/>
      <c r="X426" s="288"/>
      <c r="Y426" s="286"/>
      <c r="Z426" s="286"/>
      <c r="AA426" s="287"/>
      <c r="AC426" s="288"/>
      <c r="AD426" s="286"/>
      <c r="AE426" s="286"/>
      <c r="AF426" s="287"/>
      <c r="AH426" s="288"/>
      <c r="AI426" s="286"/>
      <c r="AJ426" s="286"/>
      <c r="AK426" s="287"/>
      <c r="AM426" s="288"/>
      <c r="AN426" s="286"/>
      <c r="AO426" s="286"/>
      <c r="AP426" s="287"/>
      <c r="AR426" s="288"/>
      <c r="AS426" s="286"/>
      <c r="AT426" s="286"/>
      <c r="AU426" s="287"/>
      <c r="AW426" s="288"/>
      <c r="AX426" s="286"/>
      <c r="AY426" s="286"/>
      <c r="AZ426" s="287"/>
      <c r="BB426" s="288"/>
      <c r="BC426" s="286"/>
      <c r="BD426" s="286"/>
      <c r="BE426" s="287"/>
      <c r="BG426" s="288"/>
      <c r="BH426" s="286"/>
      <c r="BI426" s="286"/>
      <c r="BJ426" s="287"/>
      <c r="BL426" s="288"/>
      <c r="BM426" s="286"/>
      <c r="BN426" s="286"/>
      <c r="BO426" s="289"/>
    </row>
    <row r="427" spans="2:67" s="339" customFormat="1">
      <c r="B427" s="365" t="s">
        <v>410</v>
      </c>
      <c r="C427" s="339" t="s">
        <v>395</v>
      </c>
      <c r="D427" s="330">
        <f>G348</f>
        <v>10852.65348076679</v>
      </c>
      <c r="E427" s="326">
        <f>H348</f>
        <v>11841.24</v>
      </c>
      <c r="F427" s="326">
        <f>E427-D427</f>
        <v>988.5865192332094</v>
      </c>
      <c r="G427" s="287"/>
      <c r="H427" s="284"/>
      <c r="I427" s="288"/>
      <c r="J427" s="286"/>
      <c r="K427" s="286"/>
      <c r="L427" s="289"/>
      <c r="M427" s="334"/>
      <c r="N427" s="288"/>
      <c r="O427" s="286"/>
      <c r="P427" s="326"/>
      <c r="Q427" s="327"/>
      <c r="R427" s="341"/>
      <c r="S427" s="288"/>
      <c r="T427" s="286"/>
      <c r="U427" s="286"/>
      <c r="V427" s="287"/>
      <c r="X427" s="288"/>
      <c r="Y427" s="286"/>
      <c r="Z427" s="286"/>
      <c r="AA427" s="287"/>
      <c r="AC427" s="288"/>
      <c r="AD427" s="286"/>
      <c r="AE427" s="286"/>
      <c r="AF427" s="287"/>
      <c r="AH427" s="288"/>
      <c r="AI427" s="286"/>
      <c r="AJ427" s="286"/>
      <c r="AK427" s="287"/>
      <c r="AM427" s="288"/>
      <c r="AN427" s="286"/>
      <c r="AO427" s="286"/>
      <c r="AP427" s="287"/>
      <c r="AR427" s="288"/>
      <c r="AS427" s="286"/>
      <c r="AT427" s="286"/>
      <c r="AU427" s="287"/>
      <c r="AW427" s="288"/>
      <c r="AX427" s="286"/>
      <c r="AY427" s="286"/>
      <c r="AZ427" s="287"/>
      <c r="BB427" s="288"/>
      <c r="BC427" s="286"/>
      <c r="BD427" s="286"/>
      <c r="BE427" s="287"/>
      <c r="BG427" s="288"/>
      <c r="BH427" s="286"/>
      <c r="BI427" s="286"/>
      <c r="BJ427" s="287"/>
      <c r="BL427" s="288"/>
      <c r="BM427" s="286"/>
      <c r="BN427" s="286"/>
      <c r="BO427" s="289"/>
    </row>
    <row r="428" spans="2:67" s="339" customFormat="1">
      <c r="B428" s="339" t="s">
        <v>396</v>
      </c>
      <c r="D428" s="330"/>
      <c r="E428" s="326"/>
      <c r="F428" s="326"/>
      <c r="G428" s="287"/>
      <c r="H428" s="284"/>
      <c r="I428" s="288"/>
      <c r="J428" s="286"/>
      <c r="K428" s="286"/>
      <c r="L428" s="289"/>
      <c r="M428" s="334"/>
      <c r="N428" s="288"/>
      <c r="O428" s="286"/>
      <c r="P428" s="326"/>
      <c r="Q428" s="327"/>
      <c r="R428" s="341"/>
      <c r="S428" s="288"/>
      <c r="T428" s="286"/>
      <c r="U428" s="286"/>
      <c r="V428" s="287"/>
      <c r="X428" s="288"/>
      <c r="Y428" s="286"/>
      <c r="Z428" s="286"/>
      <c r="AA428" s="287"/>
      <c r="AC428" s="288"/>
      <c r="AD428" s="286"/>
      <c r="AE428" s="286"/>
      <c r="AF428" s="287"/>
      <c r="AH428" s="288"/>
      <c r="AI428" s="286"/>
      <c r="AJ428" s="286"/>
      <c r="AK428" s="287"/>
      <c r="AM428" s="288"/>
      <c r="AN428" s="286"/>
      <c r="AO428" s="286"/>
      <c r="AP428" s="287"/>
      <c r="AR428" s="288"/>
      <c r="AS428" s="286"/>
      <c r="AT428" s="286"/>
      <c r="AU428" s="287"/>
      <c r="AW428" s="288"/>
      <c r="AX428" s="286"/>
      <c r="AY428" s="286"/>
      <c r="AZ428" s="287"/>
      <c r="BB428" s="288"/>
      <c r="BC428" s="286"/>
      <c r="BD428" s="286"/>
      <c r="BE428" s="287"/>
      <c r="BG428" s="288"/>
      <c r="BH428" s="286"/>
      <c r="BI428" s="286"/>
      <c r="BJ428" s="287"/>
      <c r="BL428" s="288"/>
      <c r="BM428" s="286"/>
      <c r="BN428" s="286"/>
      <c r="BO428" s="289"/>
    </row>
    <row r="429" spans="2:67" s="339" customFormat="1">
      <c r="B429" s="339" t="s">
        <v>411</v>
      </c>
      <c r="D429" s="330">
        <f>D427</f>
        <v>10852.65348076679</v>
      </c>
      <c r="E429" s="326">
        <f>E427</f>
        <v>11841.24</v>
      </c>
      <c r="F429" s="326">
        <f>E429-D429</f>
        <v>988.5865192332094</v>
      </c>
      <c r="G429" s="287"/>
      <c r="H429" s="284"/>
      <c r="I429" s="288"/>
      <c r="J429" s="286"/>
      <c r="K429" s="286"/>
      <c r="L429" s="289"/>
      <c r="M429" s="334"/>
      <c r="N429" s="288"/>
      <c r="O429" s="286"/>
      <c r="P429" s="326"/>
      <c r="Q429" s="327"/>
      <c r="R429" s="341"/>
      <c r="S429" s="288"/>
      <c r="T429" s="286"/>
      <c r="U429" s="286"/>
      <c r="V429" s="287"/>
      <c r="X429" s="288"/>
      <c r="Y429" s="286"/>
      <c r="Z429" s="286"/>
      <c r="AA429" s="287"/>
      <c r="AC429" s="288"/>
      <c r="AD429" s="286"/>
      <c r="AE429" s="286"/>
      <c r="AF429" s="287"/>
      <c r="AH429" s="288"/>
      <c r="AI429" s="286"/>
      <c r="AJ429" s="286"/>
      <c r="AK429" s="287"/>
      <c r="AM429" s="288"/>
      <c r="AN429" s="286"/>
      <c r="AO429" s="286"/>
      <c r="AP429" s="287"/>
      <c r="AR429" s="288"/>
      <c r="AS429" s="286"/>
      <c r="AT429" s="286"/>
      <c r="AU429" s="287"/>
      <c r="AW429" s="288"/>
      <c r="AX429" s="286"/>
      <c r="AY429" s="286"/>
      <c r="AZ429" s="287"/>
      <c r="BB429" s="288"/>
      <c r="BC429" s="286"/>
      <c r="BD429" s="286"/>
      <c r="BE429" s="287"/>
      <c r="BG429" s="288"/>
      <c r="BH429" s="286"/>
      <c r="BI429" s="286"/>
      <c r="BJ429" s="287"/>
      <c r="BL429" s="288"/>
      <c r="BM429" s="286"/>
      <c r="BN429" s="286"/>
      <c r="BO429" s="289"/>
    </row>
    <row r="430" spans="2:67" s="339" customFormat="1">
      <c r="B430" s="339" t="s">
        <v>396</v>
      </c>
      <c r="D430" s="330"/>
      <c r="E430" s="326"/>
      <c r="F430" s="326"/>
      <c r="G430" s="287"/>
      <c r="H430" s="284"/>
      <c r="I430" s="288"/>
      <c r="J430" s="286"/>
      <c r="K430" s="286"/>
      <c r="L430" s="289"/>
      <c r="M430" s="334"/>
      <c r="N430" s="288"/>
      <c r="O430" s="286"/>
      <c r="P430" s="326"/>
      <c r="Q430" s="327"/>
      <c r="R430" s="341"/>
      <c r="S430" s="288"/>
      <c r="T430" s="286"/>
      <c r="U430" s="286"/>
      <c r="V430" s="287"/>
      <c r="X430" s="288"/>
      <c r="Y430" s="286"/>
      <c r="Z430" s="286"/>
      <c r="AA430" s="287"/>
      <c r="AC430" s="288"/>
      <c r="AD430" s="286"/>
      <c r="AE430" s="286"/>
      <c r="AF430" s="287"/>
      <c r="AH430" s="288"/>
      <c r="AI430" s="286"/>
      <c r="AJ430" s="286"/>
      <c r="AK430" s="287"/>
      <c r="AM430" s="288"/>
      <c r="AN430" s="286"/>
      <c r="AO430" s="286"/>
      <c r="AP430" s="287"/>
      <c r="AR430" s="288"/>
      <c r="AS430" s="286"/>
      <c r="AT430" s="286"/>
      <c r="AU430" s="287"/>
      <c r="AW430" s="288"/>
      <c r="AX430" s="286"/>
      <c r="AY430" s="286"/>
      <c r="AZ430" s="287"/>
      <c r="BB430" s="288"/>
      <c r="BC430" s="286"/>
      <c r="BD430" s="286"/>
      <c r="BE430" s="287"/>
      <c r="BG430" s="288"/>
      <c r="BH430" s="286"/>
      <c r="BI430" s="286"/>
      <c r="BJ430" s="287"/>
      <c r="BL430" s="288"/>
      <c r="BM430" s="286"/>
      <c r="BN430" s="286"/>
      <c r="BO430" s="289"/>
    </row>
    <row r="431" spans="2:67" s="339" customFormat="1">
      <c r="B431" s="339" t="s">
        <v>412</v>
      </c>
      <c r="D431" s="330">
        <f>G359</f>
        <v>932.74</v>
      </c>
      <c r="E431" s="326">
        <f>H359</f>
        <v>932.74</v>
      </c>
      <c r="F431" s="326">
        <f>E431-D431</f>
        <v>0</v>
      </c>
      <c r="G431" s="287"/>
      <c r="H431" s="284"/>
      <c r="I431" s="288"/>
      <c r="J431" s="286"/>
      <c r="K431" s="286"/>
      <c r="L431" s="289"/>
      <c r="M431" s="334"/>
      <c r="N431" s="288"/>
      <c r="O431" s="286"/>
      <c r="P431" s="326"/>
      <c r="Q431" s="327"/>
      <c r="R431" s="341"/>
      <c r="S431" s="288"/>
      <c r="T431" s="286"/>
      <c r="U431" s="286"/>
      <c r="V431" s="287"/>
      <c r="X431" s="288"/>
      <c r="Y431" s="286"/>
      <c r="Z431" s="286"/>
      <c r="AA431" s="287"/>
      <c r="AC431" s="288"/>
      <c r="AD431" s="286"/>
      <c r="AE431" s="286"/>
      <c r="AF431" s="287"/>
      <c r="AH431" s="288"/>
      <c r="AI431" s="286"/>
      <c r="AJ431" s="286"/>
      <c r="AK431" s="287"/>
      <c r="AM431" s="288"/>
      <c r="AN431" s="286"/>
      <c r="AO431" s="286"/>
      <c r="AP431" s="287"/>
      <c r="AR431" s="288"/>
      <c r="AS431" s="286"/>
      <c r="AT431" s="286"/>
      <c r="AU431" s="287"/>
      <c r="AW431" s="288"/>
      <c r="AX431" s="286"/>
      <c r="AY431" s="286"/>
      <c r="AZ431" s="287"/>
      <c r="BB431" s="288"/>
      <c r="BC431" s="286"/>
      <c r="BD431" s="286"/>
      <c r="BE431" s="287"/>
      <c r="BG431" s="288"/>
      <c r="BH431" s="286"/>
      <c r="BI431" s="286"/>
      <c r="BJ431" s="287"/>
      <c r="BL431" s="288"/>
      <c r="BM431" s="286"/>
      <c r="BN431" s="286"/>
      <c r="BO431" s="289"/>
    </row>
    <row r="432" spans="2:67" s="339" customFormat="1">
      <c r="B432" s="339" t="s">
        <v>396</v>
      </c>
      <c r="D432" s="330"/>
      <c r="E432" s="326"/>
      <c r="F432" s="326"/>
      <c r="G432" s="287"/>
      <c r="H432" s="284"/>
      <c r="I432" s="288"/>
      <c r="J432" s="286"/>
      <c r="K432" s="286"/>
      <c r="L432" s="289"/>
      <c r="M432" s="334"/>
      <c r="N432" s="288"/>
      <c r="O432" s="286"/>
      <c r="P432" s="326"/>
      <c r="Q432" s="327"/>
      <c r="R432" s="341"/>
      <c r="S432" s="288"/>
      <c r="T432" s="286"/>
      <c r="U432" s="286"/>
      <c r="V432" s="287"/>
      <c r="X432" s="288"/>
      <c r="Y432" s="286"/>
      <c r="Z432" s="286"/>
      <c r="AA432" s="287"/>
      <c r="AC432" s="288"/>
      <c r="AD432" s="286"/>
      <c r="AE432" s="286"/>
      <c r="AF432" s="287"/>
      <c r="AH432" s="288"/>
      <c r="AI432" s="286"/>
      <c r="AJ432" s="286"/>
      <c r="AK432" s="287"/>
      <c r="AM432" s="288"/>
      <c r="AN432" s="286"/>
      <c r="AO432" s="286"/>
      <c r="AP432" s="287"/>
      <c r="AR432" s="288"/>
      <c r="AS432" s="286"/>
      <c r="AT432" s="286"/>
      <c r="AU432" s="287"/>
      <c r="AW432" s="288"/>
      <c r="AX432" s="286"/>
      <c r="AY432" s="286"/>
      <c r="AZ432" s="287"/>
      <c r="BB432" s="288"/>
      <c r="BC432" s="286"/>
      <c r="BD432" s="286"/>
      <c r="BE432" s="287"/>
      <c r="BG432" s="288"/>
      <c r="BH432" s="286"/>
      <c r="BI432" s="286"/>
      <c r="BJ432" s="287"/>
      <c r="BL432" s="288"/>
      <c r="BM432" s="286"/>
      <c r="BN432" s="286"/>
      <c r="BO432" s="289"/>
    </row>
    <row r="433" spans="2:67" s="339" customFormat="1">
      <c r="B433" s="339" t="s">
        <v>413</v>
      </c>
      <c r="D433" s="330">
        <f>G360</f>
        <v>615.96</v>
      </c>
      <c r="E433" s="326">
        <f>H360</f>
        <v>615.96</v>
      </c>
      <c r="F433" s="326">
        <f>E433-D433</f>
        <v>0</v>
      </c>
      <c r="G433" s="287"/>
      <c r="H433" s="284"/>
      <c r="I433" s="288"/>
      <c r="J433" s="286"/>
      <c r="K433" s="286"/>
      <c r="L433" s="289"/>
      <c r="M433" s="334"/>
      <c r="N433" s="288"/>
      <c r="O433" s="286"/>
      <c r="P433" s="326"/>
      <c r="Q433" s="327"/>
      <c r="R433" s="341"/>
      <c r="S433" s="288"/>
      <c r="T433" s="286"/>
      <c r="U433" s="286"/>
      <c r="V433" s="287"/>
      <c r="X433" s="288"/>
      <c r="Y433" s="286"/>
      <c r="Z433" s="286"/>
      <c r="AA433" s="287"/>
      <c r="AC433" s="288"/>
      <c r="AD433" s="286"/>
      <c r="AE433" s="286"/>
      <c r="AF433" s="287"/>
      <c r="AH433" s="288"/>
      <c r="AI433" s="286"/>
      <c r="AJ433" s="286"/>
      <c r="AK433" s="287"/>
      <c r="AM433" s="288"/>
      <c r="AN433" s="286"/>
      <c r="AO433" s="286"/>
      <c r="AP433" s="287"/>
      <c r="AR433" s="288"/>
      <c r="AS433" s="286"/>
      <c r="AT433" s="286"/>
      <c r="AU433" s="287"/>
      <c r="AW433" s="288"/>
      <c r="AX433" s="286"/>
      <c r="AY433" s="286"/>
      <c r="AZ433" s="287"/>
      <c r="BB433" s="288"/>
      <c r="BC433" s="286"/>
      <c r="BD433" s="286"/>
      <c r="BE433" s="287"/>
      <c r="BG433" s="288"/>
      <c r="BH433" s="286"/>
      <c r="BI433" s="286"/>
      <c r="BJ433" s="287"/>
      <c r="BL433" s="288"/>
      <c r="BM433" s="286"/>
      <c r="BN433" s="286"/>
      <c r="BO433" s="289"/>
    </row>
    <row r="434" spans="2:67" s="339" customFormat="1">
      <c r="B434" s="339" t="s">
        <v>396</v>
      </c>
      <c r="D434" s="330"/>
      <c r="E434" s="326"/>
      <c r="F434" s="326"/>
      <c r="G434" s="287"/>
      <c r="H434" s="284"/>
      <c r="I434" s="288"/>
      <c r="J434" s="286"/>
      <c r="K434" s="286"/>
      <c r="L434" s="289"/>
      <c r="M434" s="334"/>
      <c r="N434" s="288"/>
      <c r="O434" s="286"/>
      <c r="P434" s="326"/>
      <c r="Q434" s="327"/>
      <c r="R434" s="341"/>
      <c r="S434" s="288"/>
      <c r="T434" s="286"/>
      <c r="U434" s="286"/>
      <c r="V434" s="287"/>
      <c r="X434" s="288"/>
      <c r="Y434" s="286"/>
      <c r="Z434" s="286"/>
      <c r="AA434" s="287"/>
      <c r="AC434" s="288"/>
      <c r="AD434" s="286"/>
      <c r="AE434" s="286"/>
      <c r="AF434" s="287"/>
      <c r="AH434" s="288"/>
      <c r="AI434" s="286"/>
      <c r="AJ434" s="286"/>
      <c r="AK434" s="287"/>
      <c r="AM434" s="288"/>
      <c r="AN434" s="286"/>
      <c r="AO434" s="286"/>
      <c r="AP434" s="287"/>
      <c r="AR434" s="288"/>
      <c r="AS434" s="286"/>
      <c r="AT434" s="286"/>
      <c r="AU434" s="287"/>
      <c r="AW434" s="288"/>
      <c r="AX434" s="286"/>
      <c r="AY434" s="286"/>
      <c r="AZ434" s="287"/>
      <c r="BB434" s="288"/>
      <c r="BC434" s="286"/>
      <c r="BD434" s="286"/>
      <c r="BE434" s="287"/>
      <c r="BG434" s="288"/>
      <c r="BH434" s="286"/>
      <c r="BI434" s="286"/>
      <c r="BJ434" s="287"/>
      <c r="BL434" s="288"/>
      <c r="BM434" s="286"/>
      <c r="BN434" s="286"/>
      <c r="BO434" s="289"/>
    </row>
    <row r="435" spans="2:67" s="339" customFormat="1">
      <c r="B435" s="365" t="s">
        <v>443</v>
      </c>
      <c r="C435" s="339" t="s">
        <v>402</v>
      </c>
      <c r="D435" s="330">
        <f>G349</f>
        <v>870.35405592540667</v>
      </c>
      <c r="E435" s="326">
        <f>H349</f>
        <v>241.89</v>
      </c>
      <c r="F435" s="326">
        <f>E435-D435</f>
        <v>-628.46405592540668</v>
      </c>
      <c r="G435" s="287"/>
      <c r="H435" s="284"/>
      <c r="I435" s="288"/>
      <c r="J435" s="286"/>
      <c r="K435" s="286"/>
      <c r="L435" s="289"/>
      <c r="M435" s="334"/>
      <c r="N435" s="288"/>
      <c r="O435" s="286"/>
      <c r="P435" s="326"/>
      <c r="Q435" s="327"/>
      <c r="R435" s="341"/>
      <c r="S435" s="288"/>
      <c r="T435" s="286"/>
      <c r="U435" s="286"/>
      <c r="V435" s="287"/>
      <c r="X435" s="288"/>
      <c r="Y435" s="286"/>
      <c r="Z435" s="286"/>
      <c r="AA435" s="287"/>
      <c r="AC435" s="288"/>
      <c r="AD435" s="286"/>
      <c r="AE435" s="286"/>
      <c r="AF435" s="287"/>
      <c r="AH435" s="288"/>
      <c r="AI435" s="286"/>
      <c r="AJ435" s="286"/>
      <c r="AK435" s="287"/>
      <c r="AM435" s="288"/>
      <c r="AN435" s="286"/>
      <c r="AO435" s="286"/>
      <c r="AP435" s="287"/>
      <c r="AR435" s="288"/>
      <c r="AS435" s="286"/>
      <c r="AT435" s="286"/>
      <c r="AU435" s="287"/>
      <c r="AW435" s="288"/>
      <c r="AX435" s="286"/>
      <c r="AY435" s="286"/>
      <c r="AZ435" s="287"/>
      <c r="BB435" s="288"/>
      <c r="BC435" s="286"/>
      <c r="BD435" s="286"/>
      <c r="BE435" s="287"/>
      <c r="BG435" s="288"/>
      <c r="BH435" s="286"/>
      <c r="BI435" s="286"/>
      <c r="BJ435" s="287"/>
      <c r="BL435" s="288"/>
      <c r="BM435" s="286"/>
      <c r="BN435" s="286"/>
      <c r="BO435" s="289"/>
    </row>
    <row r="436" spans="2:67" s="339" customFormat="1">
      <c r="B436" s="365" t="s">
        <v>416</v>
      </c>
      <c r="C436" s="339" t="s">
        <v>402</v>
      </c>
      <c r="D436" s="330">
        <f>G350</f>
        <v>0</v>
      </c>
      <c r="E436" s="326">
        <f>H350</f>
        <v>0</v>
      </c>
      <c r="F436" s="326">
        <f>E436-D436</f>
        <v>0</v>
      </c>
      <c r="G436" s="287"/>
      <c r="H436" s="284"/>
      <c r="I436" s="288"/>
      <c r="J436" s="286"/>
      <c r="K436" s="286"/>
      <c r="L436" s="289"/>
      <c r="M436" s="334"/>
      <c r="N436" s="288"/>
      <c r="O436" s="286"/>
      <c r="P436" s="326"/>
      <c r="Q436" s="327"/>
      <c r="R436" s="341"/>
      <c r="S436" s="288"/>
      <c r="T436" s="286"/>
      <c r="U436" s="286"/>
      <c r="V436" s="287"/>
      <c r="X436" s="288"/>
      <c r="Y436" s="286"/>
      <c r="Z436" s="286"/>
      <c r="AA436" s="287"/>
      <c r="AC436" s="288"/>
      <c r="AD436" s="286"/>
      <c r="AE436" s="286"/>
      <c r="AF436" s="287"/>
      <c r="AH436" s="288"/>
      <c r="AI436" s="286"/>
      <c r="AJ436" s="286"/>
      <c r="AK436" s="287"/>
      <c r="AM436" s="288"/>
      <c r="AN436" s="286"/>
      <c r="AO436" s="286"/>
      <c r="AP436" s="287"/>
      <c r="AR436" s="288"/>
      <c r="AS436" s="286"/>
      <c r="AT436" s="286"/>
      <c r="AU436" s="287"/>
      <c r="AW436" s="288"/>
      <c r="AX436" s="286"/>
      <c r="AY436" s="286"/>
      <c r="AZ436" s="287"/>
      <c r="BB436" s="288"/>
      <c r="BC436" s="286"/>
      <c r="BD436" s="286"/>
      <c r="BE436" s="287"/>
      <c r="BG436" s="288"/>
      <c r="BH436" s="286"/>
      <c r="BI436" s="286"/>
      <c r="BJ436" s="287"/>
      <c r="BL436" s="288"/>
      <c r="BM436" s="286"/>
      <c r="BN436" s="286"/>
      <c r="BO436" s="289"/>
    </row>
    <row r="437" spans="2:67" s="339" customFormat="1">
      <c r="B437" s="365" t="s">
        <v>417</v>
      </c>
      <c r="C437" s="339" t="s">
        <v>402</v>
      </c>
      <c r="D437" s="330">
        <f>G356</f>
        <v>3725.4745846611113</v>
      </c>
      <c r="E437" s="326">
        <f>H356</f>
        <v>3792.3866666666668</v>
      </c>
      <c r="F437" s="326">
        <f>E437-D437</f>
        <v>66.912082005555476</v>
      </c>
      <c r="G437" s="287"/>
      <c r="H437" s="284"/>
      <c r="I437" s="288"/>
      <c r="J437" s="286"/>
      <c r="K437" s="286"/>
      <c r="L437" s="289"/>
      <c r="M437" s="334"/>
      <c r="N437" s="288"/>
      <c r="O437" s="286"/>
      <c r="P437" s="326"/>
      <c r="Q437" s="327"/>
      <c r="R437" s="341"/>
      <c r="S437" s="288"/>
      <c r="T437" s="286"/>
      <c r="U437" s="286"/>
      <c r="V437" s="287"/>
      <c r="X437" s="288"/>
      <c r="Y437" s="286"/>
      <c r="Z437" s="286"/>
      <c r="AA437" s="287"/>
      <c r="AC437" s="288"/>
      <c r="AD437" s="286"/>
      <c r="AE437" s="286"/>
      <c r="AF437" s="287"/>
      <c r="AH437" s="288"/>
      <c r="AI437" s="286"/>
      <c r="AJ437" s="286"/>
      <c r="AK437" s="287"/>
      <c r="AM437" s="288"/>
      <c r="AN437" s="286"/>
      <c r="AO437" s="286"/>
      <c r="AP437" s="287"/>
      <c r="AR437" s="288"/>
      <c r="AS437" s="286"/>
      <c r="AT437" s="286"/>
      <c r="AU437" s="287"/>
      <c r="AW437" s="288"/>
      <c r="AX437" s="286"/>
      <c r="AY437" s="286"/>
      <c r="AZ437" s="287"/>
      <c r="BB437" s="288"/>
      <c r="BC437" s="286"/>
      <c r="BD437" s="286"/>
      <c r="BE437" s="287"/>
      <c r="BG437" s="288"/>
      <c r="BH437" s="286"/>
      <c r="BI437" s="286"/>
      <c r="BJ437" s="287"/>
      <c r="BL437" s="288"/>
      <c r="BM437" s="286"/>
      <c r="BN437" s="286"/>
      <c r="BO437" s="289"/>
    </row>
    <row r="438" spans="2:67" s="339" customFormat="1">
      <c r="B438" s="339" t="s">
        <v>396</v>
      </c>
      <c r="D438" s="330"/>
      <c r="E438" s="326"/>
      <c r="F438" s="326"/>
      <c r="G438" s="287"/>
      <c r="H438" s="284"/>
      <c r="I438" s="288"/>
      <c r="J438" s="286"/>
      <c r="K438" s="286"/>
      <c r="L438" s="289"/>
      <c r="M438" s="334"/>
      <c r="N438" s="288"/>
      <c r="O438" s="286"/>
      <c r="P438" s="326"/>
      <c r="Q438" s="327"/>
      <c r="R438" s="341"/>
      <c r="S438" s="288"/>
      <c r="T438" s="286"/>
      <c r="U438" s="286"/>
      <c r="V438" s="287"/>
      <c r="X438" s="288"/>
      <c r="Y438" s="286"/>
      <c r="Z438" s="286"/>
      <c r="AA438" s="287"/>
      <c r="AC438" s="288"/>
      <c r="AD438" s="286"/>
      <c r="AE438" s="286"/>
      <c r="AF438" s="287"/>
      <c r="AH438" s="288"/>
      <c r="AI438" s="286"/>
      <c r="AJ438" s="286"/>
      <c r="AK438" s="287"/>
      <c r="AM438" s="288"/>
      <c r="AN438" s="286"/>
      <c r="AO438" s="286"/>
      <c r="AP438" s="287"/>
      <c r="AR438" s="288"/>
      <c r="AS438" s="286"/>
      <c r="AT438" s="286"/>
      <c r="AU438" s="287"/>
      <c r="AW438" s="288"/>
      <c r="AX438" s="286"/>
      <c r="AY438" s="286"/>
      <c r="AZ438" s="287"/>
      <c r="BB438" s="288"/>
      <c r="BC438" s="286"/>
      <c r="BD438" s="286"/>
      <c r="BE438" s="287"/>
      <c r="BG438" s="288"/>
      <c r="BH438" s="286"/>
      <c r="BI438" s="286"/>
      <c r="BJ438" s="287"/>
      <c r="BL438" s="288"/>
      <c r="BM438" s="286"/>
      <c r="BN438" s="286"/>
      <c r="BO438" s="289"/>
    </row>
    <row r="439" spans="2:67" s="339" customFormat="1">
      <c r="B439" s="339" t="s">
        <v>418</v>
      </c>
      <c r="D439" s="330">
        <f>SUM(D435:D437)</f>
        <v>4595.8286405865183</v>
      </c>
      <c r="E439" s="326">
        <f>SUM(E435:E437)</f>
        <v>4034.2766666666666</v>
      </c>
      <c r="F439" s="326">
        <f>SUM(F435:F437)</f>
        <v>-561.55197391985121</v>
      </c>
      <c r="G439" s="287"/>
      <c r="H439" s="284"/>
      <c r="I439" s="288"/>
      <c r="J439" s="286"/>
      <c r="K439" s="286"/>
      <c r="L439" s="289"/>
      <c r="M439" s="334"/>
      <c r="N439" s="288"/>
      <c r="O439" s="286"/>
      <c r="P439" s="326"/>
      <c r="Q439" s="327"/>
      <c r="R439" s="341"/>
      <c r="S439" s="288"/>
      <c r="T439" s="286"/>
      <c r="U439" s="286"/>
      <c r="V439" s="287"/>
      <c r="X439" s="288"/>
      <c r="Y439" s="286"/>
      <c r="Z439" s="286"/>
      <c r="AA439" s="287"/>
      <c r="AC439" s="288"/>
      <c r="AD439" s="286"/>
      <c r="AE439" s="286"/>
      <c r="AF439" s="287"/>
      <c r="AH439" s="288"/>
      <c r="AI439" s="286"/>
      <c r="AJ439" s="286"/>
      <c r="AK439" s="287"/>
      <c r="AM439" s="288"/>
      <c r="AN439" s="286"/>
      <c r="AO439" s="286"/>
      <c r="AP439" s="287"/>
      <c r="AR439" s="288"/>
      <c r="AS439" s="286"/>
      <c r="AT439" s="286"/>
      <c r="AU439" s="287"/>
      <c r="AW439" s="288"/>
      <c r="AX439" s="286"/>
      <c r="AY439" s="286"/>
      <c r="AZ439" s="287"/>
      <c r="BB439" s="288"/>
      <c r="BC439" s="286"/>
      <c r="BD439" s="286"/>
      <c r="BE439" s="287"/>
      <c r="BG439" s="288"/>
      <c r="BH439" s="286"/>
      <c r="BI439" s="286"/>
      <c r="BJ439" s="287"/>
      <c r="BL439" s="288"/>
      <c r="BM439" s="286"/>
      <c r="BN439" s="286"/>
      <c r="BO439" s="289"/>
    </row>
    <row r="440" spans="2:67" s="339" customFormat="1">
      <c r="B440" s="339" t="s">
        <v>396</v>
      </c>
      <c r="D440" s="330"/>
      <c r="E440" s="326"/>
      <c r="F440" s="326"/>
      <c r="G440" s="287"/>
      <c r="H440" s="284"/>
      <c r="I440" s="288"/>
      <c r="J440" s="286"/>
      <c r="K440" s="286"/>
      <c r="L440" s="289"/>
      <c r="M440" s="334"/>
      <c r="N440" s="288"/>
      <c r="O440" s="286"/>
      <c r="P440" s="326"/>
      <c r="Q440" s="327"/>
      <c r="R440" s="341"/>
      <c r="S440" s="288"/>
      <c r="T440" s="286"/>
      <c r="U440" s="286"/>
      <c r="V440" s="287"/>
      <c r="X440" s="288"/>
      <c r="Y440" s="286"/>
      <c r="Z440" s="286"/>
      <c r="AA440" s="287"/>
      <c r="AC440" s="288"/>
      <c r="AD440" s="286"/>
      <c r="AE440" s="286"/>
      <c r="AF440" s="287"/>
      <c r="AH440" s="288"/>
      <c r="AI440" s="286"/>
      <c r="AJ440" s="286"/>
      <c r="AK440" s="287"/>
      <c r="AM440" s="288"/>
      <c r="AN440" s="286"/>
      <c r="AO440" s="286"/>
      <c r="AP440" s="287"/>
      <c r="AR440" s="288"/>
      <c r="AS440" s="286"/>
      <c r="AT440" s="286"/>
      <c r="AU440" s="287"/>
      <c r="AW440" s="288"/>
      <c r="AX440" s="286"/>
      <c r="AY440" s="286"/>
      <c r="AZ440" s="287"/>
      <c r="BB440" s="288"/>
      <c r="BC440" s="286"/>
      <c r="BD440" s="286"/>
      <c r="BE440" s="287"/>
      <c r="BG440" s="288"/>
      <c r="BH440" s="286"/>
      <c r="BI440" s="286"/>
      <c r="BJ440" s="287"/>
      <c r="BL440" s="288"/>
      <c r="BM440" s="286"/>
      <c r="BN440" s="286"/>
      <c r="BO440" s="289"/>
    </row>
    <row r="441" spans="2:67" s="339" customFormat="1">
      <c r="D441" s="305" t="s">
        <v>230</v>
      </c>
      <c r="E441" s="306" t="s">
        <v>218</v>
      </c>
      <c r="F441" s="306" t="s">
        <v>371</v>
      </c>
      <c r="G441" s="287"/>
      <c r="H441" s="284"/>
      <c r="I441" s="288"/>
      <c r="J441" s="286"/>
      <c r="K441" s="286"/>
      <c r="L441" s="289"/>
      <c r="M441" s="334"/>
      <c r="N441" s="288"/>
      <c r="O441" s="286"/>
      <c r="P441" s="326"/>
      <c r="Q441" s="327"/>
      <c r="R441" s="341"/>
      <c r="S441" s="288"/>
      <c r="T441" s="286"/>
      <c r="U441" s="286"/>
      <c r="V441" s="287"/>
      <c r="X441" s="288"/>
      <c r="Y441" s="286"/>
      <c r="Z441" s="286"/>
      <c r="AA441" s="287"/>
      <c r="AC441" s="288"/>
      <c r="AD441" s="286"/>
      <c r="AE441" s="286"/>
      <c r="AF441" s="287"/>
      <c r="AH441" s="288"/>
      <c r="AI441" s="286"/>
      <c r="AJ441" s="286"/>
      <c r="AK441" s="287"/>
      <c r="AM441" s="288"/>
      <c r="AN441" s="286"/>
      <c r="AO441" s="286"/>
      <c r="AP441" s="287"/>
      <c r="AR441" s="288"/>
      <c r="AS441" s="286"/>
      <c r="AT441" s="286"/>
      <c r="AU441" s="287"/>
      <c r="AW441" s="288"/>
      <c r="AX441" s="286"/>
      <c r="AY441" s="286"/>
      <c r="AZ441" s="287"/>
      <c r="BB441" s="288"/>
      <c r="BC441" s="286"/>
      <c r="BD441" s="286"/>
      <c r="BE441" s="287"/>
      <c r="BG441" s="288"/>
      <c r="BH441" s="286"/>
      <c r="BI441" s="286"/>
      <c r="BJ441" s="287"/>
      <c r="BL441" s="288"/>
      <c r="BM441" s="286"/>
      <c r="BN441" s="286"/>
      <c r="BO441" s="289"/>
    </row>
    <row r="442" spans="2:67" s="339" customFormat="1">
      <c r="B442" s="339" t="s">
        <v>419</v>
      </c>
      <c r="D442" s="330">
        <f>SUM(D439+D431+D429+D423+D413+D405+D433)</f>
        <v>103754.84236412925</v>
      </c>
      <c r="E442" s="326">
        <f>SUM(E439+E431+E429+E423+E413+E405+E433)</f>
        <v>95413.973333333342</v>
      </c>
      <c r="F442" s="326">
        <f>SUM(F439+F431+F429+F423+F413+F405+F433)</f>
        <v>-8340.8690307959223</v>
      </c>
      <c r="G442" s="287"/>
      <c r="H442" s="284"/>
      <c r="I442" s="288"/>
      <c r="J442" s="286"/>
      <c r="K442" s="286"/>
      <c r="L442" s="289"/>
      <c r="M442" s="334"/>
      <c r="N442" s="288"/>
      <c r="O442" s="286"/>
      <c r="P442" s="326"/>
      <c r="Q442" s="327"/>
      <c r="R442" s="341"/>
      <c r="S442" s="288"/>
      <c r="T442" s="286"/>
      <c r="U442" s="286"/>
      <c r="V442" s="287"/>
      <c r="X442" s="288"/>
      <c r="Y442" s="286"/>
      <c r="Z442" s="286"/>
      <c r="AA442" s="287"/>
      <c r="AC442" s="288"/>
      <c r="AD442" s="286"/>
      <c r="AE442" s="286"/>
      <c r="AF442" s="287"/>
      <c r="AH442" s="288"/>
      <c r="AI442" s="286"/>
      <c r="AJ442" s="286"/>
      <c r="AK442" s="287"/>
      <c r="AM442" s="288"/>
      <c r="AN442" s="286"/>
      <c r="AO442" s="286"/>
      <c r="AP442" s="287"/>
      <c r="AR442" s="288"/>
      <c r="AS442" s="286"/>
      <c r="AT442" s="286"/>
      <c r="AU442" s="287"/>
      <c r="AW442" s="288"/>
      <c r="AX442" s="286"/>
      <c r="AY442" s="286"/>
      <c r="AZ442" s="287"/>
      <c r="BB442" s="288"/>
      <c r="BC442" s="286"/>
      <c r="BD442" s="286"/>
      <c r="BE442" s="287"/>
      <c r="BG442" s="288"/>
      <c r="BH442" s="286"/>
      <c r="BI442" s="286"/>
      <c r="BJ442" s="287"/>
      <c r="BL442" s="288"/>
      <c r="BM442" s="286"/>
      <c r="BN442" s="286"/>
      <c r="BO442" s="289"/>
    </row>
    <row r="443" spans="2:67" s="339" customFormat="1">
      <c r="B443" s="339" t="s">
        <v>396</v>
      </c>
      <c r="D443" s="288"/>
      <c r="E443" s="286"/>
      <c r="F443" s="286"/>
      <c r="G443" s="287"/>
      <c r="H443" s="284"/>
      <c r="I443" s="288"/>
      <c r="J443" s="286"/>
      <c r="K443" s="286"/>
      <c r="L443" s="289"/>
      <c r="M443" s="334"/>
      <c r="N443" s="288"/>
      <c r="O443" s="286"/>
      <c r="P443" s="286"/>
      <c r="Q443" s="287"/>
      <c r="S443" s="288"/>
      <c r="T443" s="286"/>
      <c r="U443" s="286"/>
      <c r="V443" s="287"/>
      <c r="X443" s="288"/>
      <c r="Y443" s="286"/>
      <c r="Z443" s="286"/>
      <c r="AA443" s="287"/>
      <c r="AC443" s="288"/>
      <c r="AD443" s="286"/>
      <c r="AE443" s="286"/>
      <c r="AF443" s="287"/>
      <c r="AH443" s="288"/>
      <c r="AI443" s="286"/>
      <c r="AJ443" s="286"/>
      <c r="AK443" s="287"/>
      <c r="AM443" s="288"/>
      <c r="AN443" s="286"/>
      <c r="AO443" s="286"/>
      <c r="AP443" s="287"/>
      <c r="AR443" s="288"/>
      <c r="AS443" s="286"/>
      <c r="AT443" s="286"/>
      <c r="AU443" s="287"/>
      <c r="AW443" s="288"/>
      <c r="AX443" s="286"/>
      <c r="AY443" s="286"/>
      <c r="AZ443" s="287"/>
      <c r="BB443" s="288"/>
      <c r="BC443" s="286"/>
      <c r="BD443" s="286"/>
      <c r="BE443" s="287"/>
      <c r="BG443" s="288"/>
      <c r="BH443" s="286"/>
      <c r="BI443" s="286"/>
      <c r="BJ443" s="287"/>
      <c r="BL443" s="288"/>
      <c r="BM443" s="286"/>
      <c r="BN443" s="286"/>
      <c r="BO443" s="289"/>
    </row>
    <row r="444" spans="2:67" s="339" customFormat="1">
      <c r="D444" s="288"/>
      <c r="E444" s="286"/>
      <c r="F444" s="286"/>
      <c r="G444" s="287"/>
      <c r="H444" s="284"/>
      <c r="I444" s="288"/>
      <c r="J444" s="286"/>
      <c r="K444" s="286"/>
      <c r="L444" s="289"/>
      <c r="M444" s="290"/>
      <c r="N444" s="288"/>
      <c r="O444" s="286"/>
      <c r="P444" s="286"/>
      <c r="Q444" s="287"/>
      <c r="S444" s="288"/>
      <c r="T444" s="286"/>
      <c r="U444" s="286"/>
      <c r="V444" s="287"/>
      <c r="X444" s="288"/>
      <c r="Y444" s="286"/>
      <c r="Z444" s="286"/>
      <c r="AA444" s="287"/>
      <c r="AC444" s="288"/>
      <c r="AD444" s="286"/>
      <c r="AE444" s="286"/>
      <c r="AF444" s="287"/>
      <c r="AH444" s="288"/>
      <c r="AI444" s="286"/>
      <c r="AJ444" s="286"/>
      <c r="AK444" s="287"/>
      <c r="AM444" s="288"/>
      <c r="AN444" s="286"/>
      <c r="AO444" s="286"/>
      <c r="AP444" s="287"/>
      <c r="AR444" s="288"/>
      <c r="AS444" s="286"/>
      <c r="AT444" s="286"/>
      <c r="AU444" s="287"/>
      <c r="AW444" s="288"/>
      <c r="AX444" s="286"/>
      <c r="AY444" s="286"/>
      <c r="AZ444" s="287"/>
      <c r="BB444" s="288"/>
      <c r="BC444" s="286"/>
      <c r="BD444" s="286"/>
      <c r="BE444" s="287"/>
      <c r="BG444" s="288"/>
      <c r="BH444" s="286"/>
      <c r="BI444" s="286"/>
      <c r="BJ444" s="287"/>
      <c r="BL444" s="288"/>
      <c r="BM444" s="286"/>
      <c r="BN444" s="286"/>
      <c r="BO444" s="289"/>
    </row>
    <row r="445" spans="2:67" s="339" customFormat="1">
      <c r="D445" s="288"/>
      <c r="E445" s="286"/>
      <c r="F445" s="286"/>
      <c r="G445" s="287"/>
      <c r="H445" s="284"/>
      <c r="I445" s="288"/>
      <c r="J445" s="286"/>
      <c r="K445" s="286"/>
      <c r="L445" s="289"/>
      <c r="M445" s="290"/>
      <c r="N445" s="288"/>
      <c r="O445" s="286"/>
      <c r="P445" s="286"/>
      <c r="Q445" s="287"/>
      <c r="S445" s="288"/>
      <c r="T445" s="286"/>
      <c r="U445" s="286"/>
      <c r="V445" s="287"/>
      <c r="X445" s="288"/>
      <c r="Y445" s="286"/>
      <c r="Z445" s="286"/>
      <c r="AA445" s="287"/>
      <c r="AC445" s="288"/>
      <c r="AD445" s="286"/>
      <c r="AE445" s="286"/>
      <c r="AF445" s="287"/>
      <c r="AH445" s="288"/>
      <c r="AI445" s="286"/>
      <c r="AJ445" s="286"/>
      <c r="AK445" s="287"/>
      <c r="AM445" s="288"/>
      <c r="AN445" s="286"/>
      <c r="AO445" s="286"/>
      <c r="AP445" s="287"/>
      <c r="AR445" s="288"/>
      <c r="AS445" s="286"/>
      <c r="AT445" s="286"/>
      <c r="AU445" s="287"/>
      <c r="AW445" s="288"/>
      <c r="AX445" s="286"/>
      <c r="AY445" s="286"/>
      <c r="AZ445" s="287"/>
      <c r="BB445" s="288"/>
      <c r="BC445" s="286"/>
      <c r="BD445" s="286"/>
      <c r="BE445" s="287"/>
      <c r="BG445" s="288"/>
      <c r="BH445" s="286"/>
      <c r="BI445" s="286"/>
      <c r="BJ445" s="287"/>
      <c r="BL445" s="288"/>
      <c r="BM445" s="286"/>
      <c r="BN445" s="286"/>
      <c r="BO445" s="289"/>
    </row>
    <row r="446" spans="2:67" s="339" customFormat="1">
      <c r="D446" s="288"/>
      <c r="E446" s="286"/>
      <c r="F446" s="286"/>
      <c r="G446" s="287"/>
      <c r="H446" s="284"/>
      <c r="I446" s="288"/>
      <c r="J446" s="286"/>
      <c r="K446" s="286"/>
      <c r="L446" s="289"/>
      <c r="M446" s="290"/>
      <c r="N446" s="288"/>
      <c r="O446" s="286"/>
      <c r="P446" s="286"/>
      <c r="Q446" s="287"/>
      <c r="S446" s="288"/>
      <c r="T446" s="286"/>
      <c r="U446" s="286"/>
      <c r="V446" s="287"/>
      <c r="X446" s="288"/>
      <c r="Y446" s="286"/>
      <c r="Z446" s="286"/>
      <c r="AA446" s="287"/>
      <c r="AC446" s="288"/>
      <c r="AD446" s="286"/>
      <c r="AE446" s="286"/>
      <c r="AF446" s="287"/>
      <c r="AH446" s="288"/>
      <c r="AI446" s="286"/>
      <c r="AJ446" s="286"/>
      <c r="AK446" s="287"/>
      <c r="AM446" s="288"/>
      <c r="AN446" s="286"/>
      <c r="AO446" s="286"/>
      <c r="AP446" s="287"/>
      <c r="AR446" s="288"/>
      <c r="AS446" s="286"/>
      <c r="AT446" s="286"/>
      <c r="AU446" s="287"/>
      <c r="AW446" s="288"/>
      <c r="AX446" s="286"/>
      <c r="AY446" s="286"/>
      <c r="AZ446" s="287"/>
      <c r="BB446" s="288"/>
      <c r="BC446" s="286"/>
      <c r="BD446" s="286"/>
      <c r="BE446" s="287"/>
      <c r="BG446" s="288"/>
      <c r="BH446" s="286"/>
      <c r="BI446" s="286"/>
      <c r="BJ446" s="287"/>
      <c r="BL446" s="288"/>
      <c r="BM446" s="286"/>
      <c r="BN446" s="286"/>
      <c r="BO446" s="289"/>
    </row>
    <row r="447" spans="2:67" s="339" customFormat="1">
      <c r="D447" s="288"/>
      <c r="E447" s="286"/>
      <c r="F447" s="286"/>
      <c r="G447" s="287"/>
      <c r="H447" s="284"/>
      <c r="I447" s="288"/>
      <c r="J447" s="286"/>
      <c r="K447" s="286"/>
      <c r="L447" s="289"/>
      <c r="M447" s="290"/>
      <c r="N447" s="288"/>
      <c r="O447" s="286"/>
      <c r="P447" s="286"/>
      <c r="Q447" s="287"/>
      <c r="S447" s="288"/>
      <c r="T447" s="286"/>
      <c r="U447" s="286"/>
      <c r="V447" s="287"/>
      <c r="X447" s="288"/>
      <c r="Y447" s="286"/>
      <c r="Z447" s="286"/>
      <c r="AA447" s="287"/>
      <c r="AC447" s="288"/>
      <c r="AD447" s="286"/>
      <c r="AE447" s="286"/>
      <c r="AF447" s="287"/>
      <c r="AH447" s="288"/>
      <c r="AI447" s="286"/>
      <c r="AJ447" s="286"/>
      <c r="AK447" s="287"/>
      <c r="AM447" s="288"/>
      <c r="AN447" s="286"/>
      <c r="AO447" s="286"/>
      <c r="AP447" s="287"/>
      <c r="AR447" s="288"/>
      <c r="AS447" s="286"/>
      <c r="AT447" s="286"/>
      <c r="AU447" s="287"/>
      <c r="AW447" s="288"/>
      <c r="AX447" s="286"/>
      <c r="AY447" s="286"/>
      <c r="AZ447" s="287"/>
      <c r="BB447" s="288"/>
      <c r="BC447" s="286"/>
      <c r="BD447" s="286"/>
      <c r="BE447" s="287"/>
      <c r="BG447" s="288"/>
      <c r="BH447" s="286"/>
      <c r="BI447" s="286"/>
      <c r="BJ447" s="287"/>
      <c r="BL447" s="288"/>
      <c r="BM447" s="286"/>
      <c r="BN447" s="286"/>
      <c r="BO447" s="289"/>
    </row>
    <row r="448" spans="2:67" s="339" customFormat="1">
      <c r="D448" s="288"/>
      <c r="E448" s="286"/>
      <c r="F448" s="286"/>
      <c r="G448" s="287"/>
      <c r="H448" s="284"/>
      <c r="I448" s="288"/>
      <c r="J448" s="286"/>
      <c r="K448" s="286"/>
      <c r="L448" s="289"/>
      <c r="M448" s="290"/>
      <c r="N448" s="288"/>
      <c r="O448" s="286"/>
      <c r="P448" s="286"/>
      <c r="Q448" s="287"/>
      <c r="S448" s="288"/>
      <c r="T448" s="286"/>
      <c r="U448" s="286"/>
      <c r="V448" s="287"/>
      <c r="X448" s="288"/>
      <c r="Y448" s="286"/>
      <c r="Z448" s="286"/>
      <c r="AA448" s="287"/>
      <c r="AC448" s="288"/>
      <c r="AD448" s="286"/>
      <c r="AE448" s="286"/>
      <c r="AF448" s="287"/>
      <c r="AH448" s="288"/>
      <c r="AI448" s="286"/>
      <c r="AJ448" s="286"/>
      <c r="AK448" s="287"/>
      <c r="AM448" s="288"/>
      <c r="AN448" s="286"/>
      <c r="AO448" s="286"/>
      <c r="AP448" s="287"/>
      <c r="AR448" s="288"/>
      <c r="AS448" s="286"/>
      <c r="AT448" s="286"/>
      <c r="AU448" s="287"/>
      <c r="AW448" s="288"/>
      <c r="AX448" s="286"/>
      <c r="AY448" s="286"/>
      <c r="AZ448" s="287"/>
      <c r="BB448" s="288"/>
      <c r="BC448" s="286"/>
      <c r="BD448" s="286"/>
      <c r="BE448" s="287"/>
      <c r="BG448" s="288"/>
      <c r="BH448" s="286"/>
      <c r="BI448" s="286"/>
      <c r="BJ448" s="287"/>
      <c r="BL448" s="288"/>
      <c r="BM448" s="286"/>
      <c r="BN448" s="286"/>
      <c r="BO448" s="289"/>
    </row>
    <row r="449" spans="2:67" s="339" customFormat="1">
      <c r="D449" s="288"/>
      <c r="E449" s="286"/>
      <c r="F449" s="286"/>
      <c r="G449" s="287"/>
      <c r="H449" s="284"/>
      <c r="I449" s="288"/>
      <c r="J449" s="286"/>
      <c r="K449" s="286"/>
      <c r="L449" s="289"/>
      <c r="M449" s="290"/>
      <c r="N449" s="288"/>
      <c r="O449" s="286"/>
      <c r="P449" s="286"/>
      <c r="Q449" s="287"/>
      <c r="S449" s="288"/>
      <c r="T449" s="286"/>
      <c r="U449" s="286"/>
      <c r="V449" s="287"/>
      <c r="X449" s="288"/>
      <c r="Y449" s="286"/>
      <c r="Z449" s="286"/>
      <c r="AA449" s="287"/>
      <c r="AC449" s="288"/>
      <c r="AD449" s="286"/>
      <c r="AE449" s="286"/>
      <c r="AF449" s="287"/>
      <c r="AH449" s="288"/>
      <c r="AI449" s="286"/>
      <c r="AJ449" s="286"/>
      <c r="AK449" s="287"/>
      <c r="AM449" s="288"/>
      <c r="AN449" s="286"/>
      <c r="AO449" s="286"/>
      <c r="AP449" s="287"/>
      <c r="AR449" s="288"/>
      <c r="AS449" s="286"/>
      <c r="AT449" s="286"/>
      <c r="AU449" s="287"/>
      <c r="AW449" s="288"/>
      <c r="AX449" s="286"/>
      <c r="AY449" s="286"/>
      <c r="AZ449" s="287"/>
      <c r="BB449" s="288"/>
      <c r="BC449" s="286"/>
      <c r="BD449" s="286"/>
      <c r="BE449" s="287"/>
      <c r="BG449" s="288"/>
      <c r="BH449" s="286"/>
      <c r="BI449" s="286"/>
      <c r="BJ449" s="287"/>
      <c r="BL449" s="288"/>
      <c r="BM449" s="286"/>
      <c r="BN449" s="286"/>
      <c r="BO449" s="289"/>
    </row>
    <row r="450" spans="2:67" s="339" customFormat="1">
      <c r="D450" s="288"/>
      <c r="E450" s="286">
        <f>H476-3693</f>
        <v>1674682.1908333336</v>
      </c>
      <c r="F450" s="286"/>
      <c r="G450" s="287"/>
      <c r="H450" s="284"/>
      <c r="I450" s="288"/>
      <c r="J450" s="286"/>
      <c r="K450" s="286"/>
      <c r="L450" s="289"/>
      <c r="M450" s="290"/>
      <c r="N450" s="288"/>
      <c r="O450" s="286"/>
      <c r="P450" s="286"/>
      <c r="Q450" s="287"/>
      <c r="S450" s="288"/>
      <c r="T450" s="286"/>
      <c r="U450" s="286"/>
      <c r="V450" s="287"/>
      <c r="X450" s="288"/>
      <c r="Y450" s="286"/>
      <c r="Z450" s="286"/>
      <c r="AA450" s="287"/>
      <c r="AC450" s="288"/>
      <c r="AD450" s="286"/>
      <c r="AE450" s="286"/>
      <c r="AF450" s="287"/>
      <c r="AH450" s="288"/>
      <c r="AI450" s="286"/>
      <c r="AJ450" s="286"/>
      <c r="AK450" s="287"/>
      <c r="AM450" s="288"/>
      <c r="AN450" s="286"/>
      <c r="AO450" s="286"/>
      <c r="AP450" s="287"/>
      <c r="AR450" s="288"/>
      <c r="AS450" s="286"/>
      <c r="AT450" s="286"/>
      <c r="AU450" s="287"/>
      <c r="AW450" s="288"/>
      <c r="AX450" s="286"/>
      <c r="AY450" s="286"/>
      <c r="AZ450" s="287"/>
      <c r="BB450" s="288"/>
      <c r="BC450" s="286"/>
      <c r="BD450" s="286"/>
      <c r="BE450" s="287"/>
      <c r="BG450" s="288"/>
      <c r="BH450" s="286"/>
      <c r="BI450" s="286"/>
      <c r="BJ450" s="287"/>
      <c r="BL450" s="288"/>
      <c r="BM450" s="286"/>
      <c r="BN450" s="286"/>
      <c r="BO450" s="289"/>
    </row>
    <row r="451" spans="2:67" s="339" customFormat="1">
      <c r="B451" s="339" t="s">
        <v>437</v>
      </c>
      <c r="D451" s="288"/>
      <c r="E451" s="286">
        <f>E450/G476</f>
        <v>0.86435952639783931</v>
      </c>
      <c r="F451" s="286"/>
      <c r="G451" s="287">
        <v>305206</v>
      </c>
      <c r="H451" s="284"/>
      <c r="I451" s="288"/>
      <c r="J451" s="286"/>
      <c r="K451" s="286"/>
      <c r="L451" s="289"/>
      <c r="M451" s="290"/>
      <c r="N451" s="288"/>
      <c r="O451" s="286"/>
      <c r="P451" s="286"/>
      <c r="Q451" s="287"/>
      <c r="S451" s="288"/>
      <c r="T451" s="286"/>
      <c r="U451" s="286"/>
      <c r="V451" s="287"/>
      <c r="X451" s="288"/>
      <c r="Y451" s="286"/>
      <c r="Z451" s="286"/>
      <c r="AA451" s="287"/>
      <c r="AC451" s="288"/>
      <c r="AD451" s="286"/>
      <c r="AE451" s="286"/>
      <c r="AF451" s="287"/>
      <c r="AH451" s="288"/>
      <c r="AI451" s="286"/>
      <c r="AJ451" s="286"/>
      <c r="AK451" s="287"/>
      <c r="AM451" s="288"/>
      <c r="AN451" s="286"/>
      <c r="AO451" s="286"/>
      <c r="AP451" s="287"/>
      <c r="AR451" s="288"/>
      <c r="AS451" s="286"/>
      <c r="AT451" s="286"/>
      <c r="AU451" s="287"/>
      <c r="AW451" s="288"/>
      <c r="AX451" s="286"/>
      <c r="AY451" s="286"/>
      <c r="AZ451" s="287"/>
      <c r="BB451" s="288"/>
      <c r="BC451" s="286"/>
      <c r="BD451" s="286"/>
      <c r="BE451" s="287"/>
      <c r="BG451" s="288"/>
      <c r="BH451" s="286"/>
      <c r="BI451" s="286"/>
      <c r="BJ451" s="287"/>
      <c r="BL451" s="288"/>
      <c r="BM451" s="286"/>
      <c r="BN451" s="286"/>
      <c r="BO451" s="289"/>
    </row>
    <row r="452" spans="2:67" s="339" customFormat="1">
      <c r="B452" s="339" t="s">
        <v>444</v>
      </c>
      <c r="D452" s="288"/>
      <c r="E452" s="286"/>
      <c r="F452" s="286"/>
      <c r="G452" s="287">
        <f>G476+G451</f>
        <v>2242689.3500273433</v>
      </c>
      <c r="H452" s="284">
        <f>1-(G452/H476)</f>
        <v>-0.33622646609416384</v>
      </c>
      <c r="I452" s="288"/>
      <c r="J452" s="286"/>
      <c r="K452" s="286"/>
      <c r="L452" s="289"/>
      <c r="M452" s="290"/>
      <c r="N452" s="288"/>
      <c r="O452" s="286"/>
      <c r="P452" s="286"/>
      <c r="Q452" s="287"/>
      <c r="S452" s="288"/>
      <c r="T452" s="286"/>
      <c r="U452" s="286"/>
      <c r="V452" s="287"/>
      <c r="X452" s="288"/>
      <c r="Y452" s="286"/>
      <c r="Z452" s="286"/>
      <c r="AA452" s="287"/>
      <c r="AC452" s="288"/>
      <c r="AD452" s="286"/>
      <c r="AE452" s="286"/>
      <c r="AF452" s="287"/>
      <c r="AH452" s="288"/>
      <c r="AI452" s="286"/>
      <c r="AJ452" s="286"/>
      <c r="AK452" s="287"/>
      <c r="AM452" s="288"/>
      <c r="AN452" s="286"/>
      <c r="AO452" s="286"/>
      <c r="AP452" s="287"/>
      <c r="AR452" s="288"/>
      <c r="AS452" s="286"/>
      <c r="AT452" s="286"/>
      <c r="AU452" s="287"/>
      <c r="AW452" s="288"/>
      <c r="AX452" s="286"/>
      <c r="AY452" s="286"/>
      <c r="AZ452" s="287"/>
      <c r="BB452" s="288"/>
      <c r="BC452" s="286"/>
      <c r="BD452" s="286"/>
      <c r="BE452" s="287"/>
      <c r="BG452" s="288"/>
      <c r="BH452" s="286"/>
      <c r="BI452" s="286"/>
      <c r="BJ452" s="287"/>
      <c r="BL452" s="288"/>
      <c r="BM452" s="286"/>
      <c r="BN452" s="286"/>
      <c r="BO452" s="289"/>
    </row>
    <row r="453" spans="2:67" s="339" customFormat="1">
      <c r="D453" s="288"/>
      <c r="E453" s="286"/>
      <c r="F453" s="286"/>
      <c r="G453" s="287"/>
      <c r="H453" s="284"/>
      <c r="I453" s="288"/>
      <c r="J453" s="286"/>
      <c r="K453" s="286"/>
      <c r="L453" s="289"/>
      <c r="M453" s="290"/>
      <c r="N453" s="288"/>
      <c r="O453" s="286"/>
      <c r="P453" s="286"/>
      <c r="Q453" s="287"/>
      <c r="S453" s="288"/>
      <c r="T453" s="286"/>
      <c r="U453" s="286"/>
      <c r="V453" s="287"/>
      <c r="X453" s="288"/>
      <c r="Y453" s="286"/>
      <c r="Z453" s="286"/>
      <c r="AA453" s="287"/>
      <c r="AC453" s="288"/>
      <c r="AD453" s="286"/>
      <c r="AE453" s="286"/>
      <c r="AF453" s="287"/>
      <c r="AH453" s="288"/>
      <c r="AI453" s="286"/>
      <c r="AJ453" s="286"/>
      <c r="AK453" s="287"/>
      <c r="AM453" s="288"/>
      <c r="AN453" s="286"/>
      <c r="AO453" s="286"/>
      <c r="AP453" s="287"/>
      <c r="AR453" s="288"/>
      <c r="AS453" s="286"/>
      <c r="AT453" s="286"/>
      <c r="AU453" s="287"/>
      <c r="AW453" s="288"/>
      <c r="AX453" s="286"/>
      <c r="AY453" s="286"/>
      <c r="AZ453" s="287"/>
      <c r="BB453" s="288"/>
      <c r="BC453" s="286"/>
      <c r="BD453" s="286"/>
      <c r="BE453" s="287"/>
      <c r="BG453" s="288"/>
      <c r="BH453" s="286"/>
      <c r="BI453" s="286"/>
      <c r="BJ453" s="287"/>
      <c r="BL453" s="288"/>
      <c r="BM453" s="286"/>
      <c r="BN453" s="286"/>
      <c r="BO453" s="289"/>
    </row>
    <row r="454" spans="2:67" s="339" customFormat="1">
      <c r="B454" s="339" t="s">
        <v>370</v>
      </c>
      <c r="D454" s="288"/>
      <c r="E454" s="286"/>
      <c r="F454" s="286" t="s">
        <v>371</v>
      </c>
      <c r="G454" s="287" t="s">
        <v>372</v>
      </c>
      <c r="H454" s="358">
        <f>SUM(H476-G476)</f>
        <v>-259108.15919400984</v>
      </c>
      <c r="I454" s="288"/>
      <c r="J454" s="286"/>
      <c r="K454" s="286"/>
      <c r="L454" s="289"/>
      <c r="M454" s="290"/>
      <c r="N454" s="288"/>
      <c r="O454" s="286"/>
      <c r="P454" s="286"/>
      <c r="Q454" s="287"/>
      <c r="S454" s="288"/>
      <c r="T454" s="286"/>
      <c r="U454" s="286"/>
      <c r="V454" s="287"/>
      <c r="X454" s="288"/>
      <c r="Y454" s="286"/>
      <c r="Z454" s="286"/>
      <c r="AA454" s="287"/>
      <c r="AC454" s="288"/>
      <c r="AD454" s="286"/>
      <c r="AE454" s="286"/>
      <c r="AF454" s="287"/>
      <c r="AH454" s="288"/>
      <c r="AI454" s="286"/>
      <c r="AJ454" s="286"/>
      <c r="AK454" s="287"/>
      <c r="AM454" s="288"/>
      <c r="AN454" s="286"/>
      <c r="AO454" s="286"/>
      <c r="AP454" s="287"/>
      <c r="AR454" s="288"/>
      <c r="AS454" s="286"/>
      <c r="AT454" s="286"/>
      <c r="AU454" s="287"/>
      <c r="AW454" s="288"/>
      <c r="AX454" s="286"/>
      <c r="AY454" s="286"/>
      <c r="AZ454" s="287"/>
      <c r="BB454" s="288"/>
      <c r="BC454" s="286"/>
      <c r="BD454" s="286"/>
      <c r="BE454" s="287"/>
      <c r="BG454" s="288"/>
      <c r="BH454" s="286"/>
      <c r="BI454" s="286"/>
      <c r="BJ454" s="287"/>
      <c r="BL454" s="288"/>
      <c r="BM454" s="286"/>
      <c r="BN454" s="286"/>
      <c r="BO454" s="289"/>
    </row>
    <row r="455" spans="2:67">
      <c r="D455" s="288">
        <f>D458/365</f>
        <v>12204.44292237443</v>
      </c>
    </row>
    <row r="456" spans="2:67">
      <c r="C456" s="284" t="s">
        <v>216</v>
      </c>
      <c r="E456" s="286" t="s">
        <v>374</v>
      </c>
      <c r="G456" s="287" t="s">
        <v>345</v>
      </c>
      <c r="I456" s="305" t="s">
        <v>218</v>
      </c>
    </row>
    <row r="457" spans="2:67">
      <c r="C457" s="304" t="s">
        <v>230</v>
      </c>
      <c r="D457" s="305" t="s">
        <v>218</v>
      </c>
      <c r="E457" s="306" t="s">
        <v>230</v>
      </c>
      <c r="F457" s="306" t="s">
        <v>218</v>
      </c>
      <c r="G457" s="303" t="s">
        <v>230</v>
      </c>
      <c r="H457" s="304" t="s">
        <v>218</v>
      </c>
      <c r="I457" s="305" t="s">
        <v>55</v>
      </c>
    </row>
    <row r="458" spans="2:67">
      <c r="B458" s="283" t="s">
        <v>242</v>
      </c>
      <c r="C458" s="284">
        <f t="shared" ref="C458:C473" si="68">BK78</f>
        <v>4171188.7812376055</v>
      </c>
      <c r="D458" s="288">
        <f t="shared" ref="D458:D473" si="69">BL78</f>
        <v>4454621.666666667</v>
      </c>
      <c r="E458" s="326">
        <f t="shared" ref="E458:E476" si="70">IF(C458=0,0,+G458/C458)</f>
        <v>0.14506990953242863</v>
      </c>
      <c r="F458" s="326">
        <f t="shared" ref="F458:F476" si="71">IF(D458=0,0,+H458/D458)</f>
        <v>0.14497016843555363</v>
      </c>
      <c r="G458" s="327">
        <f t="shared" ref="G458:G473" si="72">BM78</f>
        <v>605113.97913682065</v>
      </c>
      <c r="H458" s="358">
        <f t="shared" ref="H458:H473" si="73">BN78</f>
        <v>645787.25333333341</v>
      </c>
      <c r="I458" s="330">
        <f t="shared" ref="I458:I476" si="74">D458/F$483</f>
        <v>341.27604053278725</v>
      </c>
    </row>
    <row r="459" spans="2:67">
      <c r="B459" s="283" t="s">
        <v>445</v>
      </c>
      <c r="C459" s="284">
        <f t="shared" si="68"/>
        <v>0</v>
      </c>
      <c r="D459" s="288">
        <f t="shared" si="69"/>
        <v>0</v>
      </c>
      <c r="E459" s="326">
        <f t="shared" si="70"/>
        <v>0</v>
      </c>
      <c r="F459" s="326">
        <f t="shared" si="71"/>
        <v>0</v>
      </c>
      <c r="G459" s="327">
        <f t="shared" si="72"/>
        <v>0</v>
      </c>
      <c r="H459" s="358">
        <f t="shared" si="73"/>
        <v>0</v>
      </c>
      <c r="I459" s="330">
        <f t="shared" si="74"/>
        <v>0</v>
      </c>
    </row>
    <row r="460" spans="2:67">
      <c r="B460" s="283" t="s">
        <v>245</v>
      </c>
      <c r="C460" s="284">
        <f t="shared" si="68"/>
        <v>0</v>
      </c>
      <c r="D460" s="288">
        <f t="shared" si="69"/>
        <v>0</v>
      </c>
      <c r="E460" s="326">
        <f t="shared" si="70"/>
        <v>0</v>
      </c>
      <c r="F460" s="326">
        <f t="shared" si="71"/>
        <v>0</v>
      </c>
      <c r="G460" s="327">
        <f t="shared" si="72"/>
        <v>0</v>
      </c>
      <c r="H460" s="358">
        <f t="shared" si="73"/>
        <v>0</v>
      </c>
      <c r="I460" s="330">
        <f t="shared" si="74"/>
        <v>0</v>
      </c>
    </row>
    <row r="461" spans="2:67">
      <c r="B461" s="283" t="s">
        <v>61</v>
      </c>
      <c r="C461" s="284">
        <f t="shared" si="68"/>
        <v>916173.40119650459</v>
      </c>
      <c r="D461" s="288">
        <f t="shared" si="69"/>
        <v>857994.66666666663</v>
      </c>
      <c r="E461" s="326">
        <f t="shared" si="70"/>
        <v>0.22596916916812401</v>
      </c>
      <c r="F461" s="326">
        <f t="shared" si="71"/>
        <v>0.20909703401419746</v>
      </c>
      <c r="G461" s="327">
        <f t="shared" si="72"/>
        <v>207026.9422823085</v>
      </c>
      <c r="H461" s="358">
        <f t="shared" si="73"/>
        <v>179404.14</v>
      </c>
      <c r="I461" s="330">
        <f t="shared" si="74"/>
        <v>65.732411088764053</v>
      </c>
      <c r="K461" s="286">
        <f>(F461/0.343)-1</f>
        <v>-0.39038765593528446</v>
      </c>
    </row>
    <row r="462" spans="2:67">
      <c r="B462" s="283" t="s">
        <v>66</v>
      </c>
      <c r="C462" s="284">
        <f t="shared" si="68"/>
        <v>612845.07752875797</v>
      </c>
      <c r="D462" s="288">
        <f t="shared" si="69"/>
        <v>626740.21000000008</v>
      </c>
      <c r="E462" s="326">
        <f t="shared" si="70"/>
        <v>0.2727485955822056</v>
      </c>
      <c r="F462" s="326">
        <f t="shared" si="71"/>
        <v>0.27001036043307319</v>
      </c>
      <c r="G462" s="327">
        <f t="shared" si="72"/>
        <v>167152.63420543665</v>
      </c>
      <c r="H462" s="358">
        <f t="shared" si="73"/>
        <v>169226.35</v>
      </c>
      <c r="I462" s="330">
        <f t="shared" si="74"/>
        <v>48.015619129231162</v>
      </c>
    </row>
    <row r="463" spans="2:67">
      <c r="B463" s="283" t="s">
        <v>60</v>
      </c>
      <c r="C463" s="284">
        <f t="shared" si="68"/>
        <v>41103.28535278378</v>
      </c>
      <c r="D463" s="288">
        <f t="shared" si="69"/>
        <v>17984.333333333332</v>
      </c>
      <c r="E463" s="326">
        <f t="shared" si="70"/>
        <v>0.71527342172090447</v>
      </c>
      <c r="F463" s="326">
        <f t="shared" si="71"/>
        <v>0.74605341686282511</v>
      </c>
      <c r="G463" s="327">
        <f t="shared" si="72"/>
        <v>29400.087558256389</v>
      </c>
      <c r="H463" s="358">
        <f t="shared" si="73"/>
        <v>13417.273333333334</v>
      </c>
      <c r="I463" s="330">
        <f t="shared" si="74"/>
        <v>1.3778099535475306</v>
      </c>
    </row>
    <row r="464" spans="2:67">
      <c r="B464" s="283" t="s">
        <v>62</v>
      </c>
      <c r="C464" s="284">
        <f t="shared" si="68"/>
        <v>31677.123333333337</v>
      </c>
      <c r="D464" s="288">
        <f t="shared" si="69"/>
        <v>21800</v>
      </c>
      <c r="E464" s="326">
        <f t="shared" si="70"/>
        <v>1.4025545748945849</v>
      </c>
      <c r="F464" s="326">
        <f t="shared" si="71"/>
        <v>1.4896954128440369</v>
      </c>
      <c r="G464" s="327">
        <f t="shared" si="72"/>
        <v>44428.894250666672</v>
      </c>
      <c r="H464" s="358">
        <f t="shared" si="73"/>
        <v>32475.360000000004</v>
      </c>
      <c r="I464" s="330">
        <f t="shared" si="74"/>
        <v>1.6701345793933331</v>
      </c>
    </row>
    <row r="465" spans="2:67">
      <c r="B465" s="283" t="s">
        <v>262</v>
      </c>
      <c r="C465" s="284">
        <f t="shared" si="68"/>
        <v>306884.74381866981</v>
      </c>
      <c r="D465" s="288">
        <f t="shared" si="69"/>
        <v>288182</v>
      </c>
      <c r="E465" s="326">
        <f t="shared" si="70"/>
        <v>0.33922637070319173</v>
      </c>
      <c r="F465" s="326">
        <f t="shared" si="71"/>
        <v>0.28597449991093588</v>
      </c>
      <c r="G465" s="327">
        <f t="shared" si="72"/>
        <v>104103.39786978612</v>
      </c>
      <c r="H465" s="358">
        <f t="shared" si="73"/>
        <v>82412.703333333324</v>
      </c>
      <c r="I465" s="330">
        <f t="shared" si="74"/>
        <v>22.078106576088508</v>
      </c>
    </row>
    <row r="466" spans="2:67">
      <c r="B466" s="283" t="s">
        <v>326</v>
      </c>
      <c r="C466" s="284">
        <f t="shared" si="68"/>
        <v>0</v>
      </c>
      <c r="D466" s="288">
        <f t="shared" si="69"/>
        <v>2934.9733333333347</v>
      </c>
      <c r="E466" s="326">
        <f t="shared" si="70"/>
        <v>0</v>
      </c>
      <c r="F466" s="326">
        <f t="shared" si="71"/>
        <v>-3.6988808529776516</v>
      </c>
      <c r="G466" s="327">
        <f t="shared" si="72"/>
        <v>0</v>
      </c>
      <c r="H466" s="358">
        <f t="shared" si="73"/>
        <v>-10856.116666666667</v>
      </c>
      <c r="I466" s="330">
        <f t="shared" si="74"/>
        <v>0.22485323181639072</v>
      </c>
    </row>
    <row r="467" spans="2:67">
      <c r="B467" s="283" t="s">
        <v>72</v>
      </c>
      <c r="C467" s="284">
        <f t="shared" si="68"/>
        <v>70282.979317945108</v>
      </c>
      <c r="D467" s="288">
        <f t="shared" si="69"/>
        <v>52150</v>
      </c>
      <c r="E467" s="326">
        <f t="shared" si="70"/>
        <v>0.16245255173068693</v>
      </c>
      <c r="F467" s="326">
        <f t="shared" si="71"/>
        <v>0.16253640140620004</v>
      </c>
      <c r="G467" s="327">
        <f t="shared" si="72"/>
        <v>11417.649333435278</v>
      </c>
      <c r="H467" s="358">
        <f t="shared" si="73"/>
        <v>8476.2733333333326</v>
      </c>
      <c r="I467" s="330">
        <f t="shared" si="74"/>
        <v>3.9952990052918493</v>
      </c>
    </row>
    <row r="468" spans="2:67">
      <c r="B468" s="283" t="s">
        <v>54</v>
      </c>
      <c r="C468" s="284">
        <f t="shared" si="68"/>
        <v>145595.95753633912</v>
      </c>
      <c r="D468" s="288">
        <f t="shared" si="69"/>
        <v>136638.33333333331</v>
      </c>
      <c r="E468" s="326">
        <f t="shared" si="70"/>
        <v>0.69229329374603632</v>
      </c>
      <c r="F468" s="326">
        <f t="shared" si="71"/>
        <v>0.42257499725552861</v>
      </c>
      <c r="G468" s="327">
        <f t="shared" si="72"/>
        <v>100795.10499894025</v>
      </c>
      <c r="H468" s="358">
        <f t="shared" si="73"/>
        <v>57739.943333333329</v>
      </c>
      <c r="I468" s="330">
        <f t="shared" si="74"/>
        <v>10.468091989480397</v>
      </c>
    </row>
    <row r="469" spans="2:67">
      <c r="B469" s="283" t="s">
        <v>269</v>
      </c>
      <c r="C469" s="284">
        <f t="shared" si="68"/>
        <v>499381.79641695716</v>
      </c>
      <c r="D469" s="288">
        <f t="shared" si="69"/>
        <v>528555.33333333337</v>
      </c>
      <c r="E469" s="326">
        <f t="shared" si="70"/>
        <v>0.25110435030540651</v>
      </c>
      <c r="F469" s="326">
        <f t="shared" si="71"/>
        <v>0.15196689592890306</v>
      </c>
      <c r="G469" s="327">
        <f t="shared" si="72"/>
        <v>125396.9415436268</v>
      </c>
      <c r="H469" s="358">
        <f t="shared" si="73"/>
        <v>80322.91333333333</v>
      </c>
      <c r="I469" s="330">
        <f t="shared" si="74"/>
        <v>40.493510978108702</v>
      </c>
    </row>
    <row r="470" spans="2:67">
      <c r="B470" s="283" t="s">
        <v>274</v>
      </c>
      <c r="C470" s="284">
        <f t="shared" si="68"/>
        <v>18584.496057929246</v>
      </c>
      <c r="D470" s="288">
        <f t="shared" si="69"/>
        <v>14655.666666666666</v>
      </c>
      <c r="E470" s="326">
        <f t="shared" si="70"/>
        <v>3.0184590049158748</v>
      </c>
      <c r="F470" s="326">
        <f t="shared" si="71"/>
        <v>2.4424052130006593</v>
      </c>
      <c r="G470" s="327">
        <f t="shared" si="72"/>
        <v>56096.539477880106</v>
      </c>
      <c r="H470" s="358">
        <f t="shared" si="73"/>
        <v>35795.07666666666</v>
      </c>
      <c r="I470" s="330">
        <f t="shared" si="74"/>
        <v>1.1227952148652396</v>
      </c>
    </row>
    <row r="471" spans="2:67">
      <c r="B471" s="283" t="s">
        <v>279</v>
      </c>
      <c r="C471" s="284">
        <f t="shared" si="68"/>
        <v>17143.148408648627</v>
      </c>
      <c r="D471" s="288">
        <f t="shared" si="69"/>
        <v>8102.3333333333339</v>
      </c>
      <c r="E471" s="326">
        <f t="shared" si="70"/>
        <v>1.1849542039897218</v>
      </c>
      <c r="F471" s="326">
        <f t="shared" si="71"/>
        <v>0.91461307442300566</v>
      </c>
      <c r="G471" s="327">
        <f t="shared" si="72"/>
        <v>20313.845776447899</v>
      </c>
      <c r="H471" s="358">
        <f t="shared" si="73"/>
        <v>7410.5</v>
      </c>
      <c r="I471" s="330">
        <f t="shared" si="74"/>
        <v>0.62073335200785551</v>
      </c>
    </row>
    <row r="472" spans="2:67">
      <c r="B472" s="283" t="s">
        <v>65</v>
      </c>
      <c r="C472" s="284">
        <f t="shared" si="68"/>
        <v>699005.80235849193</v>
      </c>
      <c r="D472" s="288">
        <f t="shared" si="69"/>
        <v>1328690.6666666667</v>
      </c>
      <c r="E472" s="326">
        <f t="shared" si="70"/>
        <v>0.15923149202650366</v>
      </c>
      <c r="F472" s="326">
        <f t="shared" si="71"/>
        <v>0.10513152296295702</v>
      </c>
      <c r="G472" s="327">
        <f t="shared" si="72"/>
        <v>111303.73684472601</v>
      </c>
      <c r="H472" s="358">
        <f t="shared" si="73"/>
        <v>139687.27333333335</v>
      </c>
      <c r="I472" s="330">
        <f t="shared" si="74"/>
        <v>101.79322145491655</v>
      </c>
    </row>
    <row r="473" spans="2:67">
      <c r="B473" s="283" t="s">
        <v>280</v>
      </c>
      <c r="C473" s="284">
        <f t="shared" si="68"/>
        <v>2667</v>
      </c>
      <c r="D473" s="288">
        <f t="shared" si="69"/>
        <v>2667</v>
      </c>
      <c r="E473" s="326">
        <f t="shared" si="70"/>
        <v>0.56626546681664791</v>
      </c>
      <c r="F473" s="326">
        <f t="shared" si="71"/>
        <v>0.56626546681664791</v>
      </c>
      <c r="G473" s="327">
        <f t="shared" si="72"/>
        <v>1510.23</v>
      </c>
      <c r="H473" s="358">
        <f t="shared" si="73"/>
        <v>1510.23</v>
      </c>
      <c r="I473" s="330">
        <f t="shared" si="74"/>
        <v>0.20432334510284492</v>
      </c>
    </row>
    <row r="474" spans="2:67">
      <c r="B474" s="283" t="s">
        <v>283</v>
      </c>
      <c r="C474" s="284">
        <f>BK77</f>
        <v>17759</v>
      </c>
      <c r="D474" s="288">
        <f>BL77</f>
        <v>17759</v>
      </c>
      <c r="E474" s="326">
        <f t="shared" si="70"/>
        <v>8.8505405709780938E-2</v>
      </c>
      <c r="F474" s="326">
        <f t="shared" si="71"/>
        <v>8.8505405709780938E-2</v>
      </c>
      <c r="G474" s="327">
        <f>BM77</f>
        <v>1571.7674999999997</v>
      </c>
      <c r="H474" s="358">
        <f>BN77</f>
        <v>1571.7674999999997</v>
      </c>
      <c r="I474" s="330">
        <f t="shared" si="74"/>
        <v>1.3605467887819358</v>
      </c>
    </row>
    <row r="475" spans="2:67">
      <c r="B475" s="283" t="s">
        <v>63</v>
      </c>
      <c r="C475" s="284">
        <f>BK94</f>
        <v>458105.84566469211</v>
      </c>
      <c r="D475" s="288">
        <f>BL94</f>
        <v>437979.33333333331</v>
      </c>
      <c r="E475" s="326">
        <f t="shared" si="70"/>
        <v>0.76805743165859586</v>
      </c>
      <c r="F475" s="326">
        <f t="shared" si="71"/>
        <v>0.53425865604008715</v>
      </c>
      <c r="G475" s="327">
        <f>BM94</f>
        <v>351851.59924901254</v>
      </c>
      <c r="H475" s="358">
        <f>BN94</f>
        <v>233994.25</v>
      </c>
      <c r="I475" s="330">
        <f t="shared" si="74"/>
        <v>33.554331635763262</v>
      </c>
    </row>
    <row r="476" spans="2:67">
      <c r="B476" s="283" t="s">
        <v>13</v>
      </c>
      <c r="C476" s="284">
        <f>BK96</f>
        <v>7993078.9382286575</v>
      </c>
      <c r="D476" s="288">
        <f>BL96</f>
        <v>8782136.0166666675</v>
      </c>
      <c r="E476" s="326">
        <f t="shared" si="70"/>
        <v>0.24239512270558261</v>
      </c>
      <c r="F476" s="326">
        <f t="shared" si="71"/>
        <v>0.19111241133684637</v>
      </c>
      <c r="G476" s="327">
        <f>SUM(G458:G475)</f>
        <v>1937483.3500273435</v>
      </c>
      <c r="H476" s="358">
        <f>SUM(H458:H475)</f>
        <v>1678375.1908333336</v>
      </c>
      <c r="I476" s="330">
        <f t="shared" si="74"/>
        <v>672.81417625553331</v>
      </c>
      <c r="K476" s="286">
        <f>(F476/0.154)-1</f>
        <v>0.24098968400549592</v>
      </c>
    </row>
    <row r="477" spans="2:67">
      <c r="G477" s="327"/>
      <c r="H477" s="358"/>
      <c r="L477" s="328"/>
    </row>
    <row r="478" spans="2:67">
      <c r="L478" s="328"/>
    </row>
    <row r="479" spans="2:67">
      <c r="D479" s="288" t="s">
        <v>230</v>
      </c>
      <c r="F479" s="286" t="s">
        <v>218</v>
      </c>
      <c r="H479" s="284" t="s">
        <v>231</v>
      </c>
      <c r="L479" s="328"/>
      <c r="U479" s="361"/>
    </row>
    <row r="480" spans="2:67" s="339" customFormat="1">
      <c r="B480" s="339" t="s">
        <v>243</v>
      </c>
      <c r="D480" s="330">
        <f>BL99</f>
        <v>237926.33333333331</v>
      </c>
      <c r="E480" s="326"/>
      <c r="F480" s="326">
        <f>BM99</f>
        <v>195054.79</v>
      </c>
      <c r="G480" s="327"/>
      <c r="H480" s="358">
        <f>BN99</f>
        <v>184242.83999999997</v>
      </c>
      <c r="I480" s="330"/>
      <c r="J480" s="286"/>
      <c r="K480" s="286"/>
      <c r="L480" s="289"/>
      <c r="M480" s="290"/>
      <c r="N480" s="288"/>
      <c r="O480" s="286"/>
      <c r="P480" s="286"/>
      <c r="Q480" s="287"/>
      <c r="S480" s="288"/>
      <c r="T480" s="286"/>
      <c r="U480" s="286"/>
      <c r="V480" s="287"/>
      <c r="X480" s="288"/>
      <c r="Y480" s="286"/>
      <c r="Z480" s="286"/>
      <c r="AA480" s="287"/>
      <c r="AC480" s="288"/>
      <c r="AD480" s="286"/>
      <c r="AE480" s="286"/>
      <c r="AF480" s="287"/>
      <c r="AH480" s="288"/>
      <c r="AI480" s="286"/>
      <c r="AJ480" s="286"/>
      <c r="AK480" s="287"/>
      <c r="AM480" s="288"/>
      <c r="AN480" s="286"/>
      <c r="AO480" s="286"/>
      <c r="AP480" s="287"/>
      <c r="AR480" s="288"/>
      <c r="AS480" s="286"/>
      <c r="AT480" s="286"/>
      <c r="AU480" s="287"/>
      <c r="AW480" s="288"/>
      <c r="AX480" s="286"/>
      <c r="AY480" s="286"/>
      <c r="AZ480" s="287"/>
      <c r="BB480" s="288"/>
      <c r="BC480" s="286"/>
      <c r="BD480" s="286"/>
      <c r="BE480" s="287"/>
      <c r="BG480" s="288"/>
      <c r="BH480" s="286"/>
      <c r="BI480" s="286"/>
      <c r="BJ480" s="287"/>
      <c r="BL480" s="288"/>
      <c r="BM480" s="286"/>
      <c r="BN480" s="286"/>
      <c r="BO480" s="289"/>
    </row>
    <row r="482" spans="1:67">
      <c r="D482" s="288" t="s">
        <v>230</v>
      </c>
      <c r="F482" s="286" t="s">
        <v>218</v>
      </c>
      <c r="H482" s="284" t="s">
        <v>231</v>
      </c>
    </row>
    <row r="483" spans="1:67" s="344" customFormat="1">
      <c r="B483" s="344" t="s">
        <v>296</v>
      </c>
      <c r="D483" s="330">
        <f>BL100</f>
        <v>14054.796742611552</v>
      </c>
      <c r="E483" s="326"/>
      <c r="F483" s="326">
        <f>BM100</f>
        <v>13052.840333333334</v>
      </c>
      <c r="G483" s="327"/>
      <c r="H483" s="358">
        <f>BN100</f>
        <v>13636.342529020159</v>
      </c>
      <c r="I483" s="288"/>
      <c r="J483" s="286"/>
      <c r="K483" s="286"/>
      <c r="L483" s="289"/>
      <c r="M483" s="290"/>
      <c r="N483" s="362"/>
      <c r="O483" s="361"/>
      <c r="P483" s="326"/>
      <c r="Q483" s="332"/>
      <c r="R483" s="349"/>
      <c r="S483" s="362"/>
      <c r="T483" s="326"/>
      <c r="U483" s="286"/>
      <c r="V483" s="287"/>
      <c r="X483" s="288"/>
      <c r="Y483" s="286"/>
      <c r="Z483" s="286"/>
      <c r="AA483" s="287"/>
      <c r="AC483" s="288"/>
      <c r="AD483" s="286"/>
      <c r="AE483" s="286"/>
      <c r="AF483" s="287"/>
      <c r="AH483" s="288"/>
      <c r="AI483" s="286"/>
      <c r="AJ483" s="286"/>
      <c r="AK483" s="287"/>
      <c r="AM483" s="288"/>
      <c r="AN483" s="286"/>
      <c r="AO483" s="286"/>
      <c r="AP483" s="287"/>
      <c r="AR483" s="288"/>
      <c r="AS483" s="286"/>
      <c r="AT483" s="286"/>
      <c r="AU483" s="287"/>
      <c r="AW483" s="288"/>
      <c r="AX483" s="286"/>
      <c r="AY483" s="286"/>
      <c r="AZ483" s="287"/>
      <c r="BB483" s="288"/>
      <c r="BC483" s="286"/>
      <c r="BD483" s="286"/>
      <c r="BE483" s="287"/>
      <c r="BG483" s="288"/>
      <c r="BH483" s="286"/>
      <c r="BI483" s="286"/>
      <c r="BJ483" s="287"/>
      <c r="BL483" s="288"/>
      <c r="BM483" s="286"/>
      <c r="BN483" s="286"/>
      <c r="BO483" s="289"/>
    </row>
    <row r="484" spans="1:67">
      <c r="L484" s="328"/>
      <c r="T484" s="361"/>
      <c r="U484" s="361"/>
    </row>
    <row r="485" spans="1:67" s="339" customFormat="1">
      <c r="B485" s="339" t="s">
        <v>253</v>
      </c>
      <c r="D485" s="330">
        <f>BL102</f>
        <v>93353.483333333337</v>
      </c>
      <c r="E485" s="326"/>
      <c r="F485" s="326">
        <f>BM102</f>
        <v>92823.183333333334</v>
      </c>
      <c r="G485" s="327"/>
      <c r="H485" s="358">
        <f>BN102</f>
        <v>83419.046666666676</v>
      </c>
      <c r="I485" s="288"/>
      <c r="J485" s="286"/>
      <c r="K485" s="286"/>
      <c r="L485" s="289"/>
      <c r="M485" s="290"/>
      <c r="N485" s="288"/>
      <c r="O485" s="286"/>
      <c r="P485" s="286"/>
      <c r="Q485" s="287"/>
      <c r="S485" s="288"/>
      <c r="T485" s="286"/>
      <c r="U485" s="286"/>
      <c r="V485" s="287"/>
      <c r="X485" s="288"/>
      <c r="Y485" s="286"/>
      <c r="Z485" s="286"/>
      <c r="AA485" s="287"/>
      <c r="AC485" s="288"/>
      <c r="AD485" s="286"/>
      <c r="AE485" s="286"/>
      <c r="AF485" s="287"/>
      <c r="AH485" s="288"/>
      <c r="AI485" s="286"/>
      <c r="AJ485" s="286"/>
      <c r="AK485" s="287"/>
      <c r="AM485" s="288"/>
      <c r="AN485" s="286"/>
      <c r="AO485" s="286"/>
      <c r="AP485" s="287"/>
      <c r="AR485" s="288"/>
      <c r="AS485" s="286"/>
      <c r="AT485" s="286"/>
      <c r="AU485" s="287"/>
      <c r="AW485" s="288"/>
      <c r="AX485" s="286"/>
      <c r="AY485" s="286"/>
      <c r="AZ485" s="287"/>
      <c r="BB485" s="288"/>
      <c r="BC485" s="286"/>
      <c r="BD485" s="286"/>
      <c r="BE485" s="287"/>
      <c r="BG485" s="288"/>
      <c r="BH485" s="286"/>
      <c r="BI485" s="286"/>
      <c r="BJ485" s="287"/>
      <c r="BL485" s="288"/>
      <c r="BM485" s="286"/>
      <c r="BN485" s="286"/>
      <c r="BO485" s="289"/>
    </row>
    <row r="486" spans="1:67" s="339" customFormat="1">
      <c r="D486" s="288"/>
      <c r="E486" s="286"/>
      <c r="F486" s="286"/>
      <c r="G486" s="287"/>
      <c r="H486" s="284"/>
      <c r="I486" s="288"/>
      <c r="J486" s="286"/>
      <c r="K486" s="286"/>
      <c r="L486" s="289"/>
      <c r="M486" s="290"/>
      <c r="N486" s="288"/>
      <c r="O486" s="286"/>
      <c r="P486" s="286"/>
      <c r="Q486" s="287"/>
      <c r="S486" s="288"/>
      <c r="T486" s="286"/>
      <c r="U486" s="286"/>
      <c r="V486" s="287"/>
      <c r="X486" s="288"/>
      <c r="Y486" s="286"/>
      <c r="Z486" s="286"/>
      <c r="AA486" s="287"/>
      <c r="AC486" s="288"/>
      <c r="AD486" s="286"/>
      <c r="AE486" s="286"/>
      <c r="AF486" s="287"/>
      <c r="AH486" s="288"/>
      <c r="AI486" s="286"/>
      <c r="AJ486" s="286"/>
      <c r="AK486" s="287"/>
      <c r="AM486" s="288"/>
      <c r="AN486" s="286"/>
      <c r="AO486" s="286"/>
      <c r="AP486" s="287"/>
      <c r="AR486" s="288"/>
      <c r="AS486" s="286"/>
      <c r="AT486" s="286"/>
      <c r="AU486" s="287"/>
      <c r="AW486" s="288"/>
      <c r="AX486" s="286"/>
      <c r="AY486" s="286"/>
      <c r="AZ486" s="287"/>
      <c r="BB486" s="288"/>
      <c r="BC486" s="286"/>
      <c r="BD486" s="286"/>
      <c r="BE486" s="287"/>
      <c r="BG486" s="288"/>
      <c r="BH486" s="286"/>
      <c r="BI486" s="286"/>
      <c r="BJ486" s="287"/>
      <c r="BL486" s="288"/>
      <c r="BM486" s="286"/>
      <c r="BN486" s="286"/>
      <c r="BO486" s="289"/>
    </row>
    <row r="487" spans="1:67" s="339" customFormat="1">
      <c r="B487" s="339" t="s">
        <v>252</v>
      </c>
      <c r="D487" s="330">
        <f>BL101</f>
        <v>137.85210739855464</v>
      </c>
      <c r="E487" s="326"/>
      <c r="F487" s="326">
        <f>BM101</f>
        <v>128.58313960580892</v>
      </c>
      <c r="G487" s="327"/>
      <c r="H487" s="358">
        <f>BN101</f>
        <v>76.400000000000006</v>
      </c>
      <c r="I487" s="288"/>
      <c r="J487" s="286"/>
      <c r="K487" s="286"/>
      <c r="L487" s="289"/>
      <c r="M487" s="290"/>
      <c r="N487" s="288"/>
      <c r="O487" s="286"/>
      <c r="P487" s="286"/>
      <c r="Q487" s="287"/>
      <c r="S487" s="288"/>
      <c r="T487" s="361"/>
      <c r="U487" s="361"/>
      <c r="V487" s="287"/>
      <c r="X487" s="288"/>
      <c r="Y487" s="286"/>
      <c r="Z487" s="286"/>
      <c r="AA487" s="287"/>
      <c r="AC487" s="288"/>
      <c r="AD487" s="286"/>
      <c r="AE487" s="286"/>
      <c r="AF487" s="287"/>
      <c r="AH487" s="288"/>
      <c r="AI487" s="286"/>
      <c r="AJ487" s="286"/>
      <c r="AK487" s="287"/>
      <c r="AM487" s="288"/>
      <c r="AN487" s="286"/>
      <c r="AO487" s="286"/>
      <c r="AP487" s="287"/>
      <c r="AR487" s="288"/>
      <c r="AS487" s="286"/>
      <c r="AT487" s="286"/>
      <c r="AU487" s="287"/>
      <c r="AW487" s="288"/>
      <c r="AX487" s="286"/>
      <c r="AY487" s="286"/>
      <c r="AZ487" s="287"/>
      <c r="BB487" s="288"/>
      <c r="BC487" s="286"/>
      <c r="BD487" s="286"/>
      <c r="BE487" s="287"/>
      <c r="BG487" s="288"/>
      <c r="BH487" s="286"/>
      <c r="BI487" s="286"/>
      <c r="BJ487" s="287"/>
      <c r="BL487" s="288"/>
      <c r="BM487" s="286"/>
      <c r="BN487" s="286"/>
      <c r="BO487" s="289"/>
    </row>
    <row r="488" spans="1:67" s="339" customFormat="1">
      <c r="D488" s="288"/>
      <c r="E488" s="286"/>
      <c r="F488" s="286"/>
      <c r="G488" s="287"/>
      <c r="H488" s="284"/>
      <c r="I488" s="288"/>
      <c r="J488" s="286"/>
      <c r="K488" s="286"/>
      <c r="L488" s="289"/>
      <c r="M488" s="290"/>
      <c r="N488" s="288"/>
      <c r="O488" s="286"/>
      <c r="P488" s="286"/>
      <c r="Q488" s="287"/>
      <c r="S488" s="288"/>
      <c r="T488" s="286"/>
      <c r="U488" s="286"/>
      <c r="V488" s="287"/>
      <c r="X488" s="288"/>
      <c r="Y488" s="286"/>
      <c r="Z488" s="286"/>
      <c r="AA488" s="287"/>
      <c r="AC488" s="288"/>
      <c r="AD488" s="286"/>
      <c r="AE488" s="286"/>
      <c r="AF488" s="287"/>
      <c r="AH488" s="288"/>
      <c r="AI488" s="286"/>
      <c r="AJ488" s="286"/>
      <c r="AK488" s="287"/>
      <c r="AM488" s="288"/>
      <c r="AN488" s="286"/>
      <c r="AO488" s="286"/>
      <c r="AP488" s="287"/>
      <c r="AR488" s="288"/>
      <c r="AS488" s="286"/>
      <c r="AT488" s="286"/>
      <c r="AU488" s="287"/>
      <c r="AW488" s="288"/>
      <c r="AX488" s="286"/>
      <c r="AY488" s="286"/>
      <c r="AZ488" s="287"/>
      <c r="BB488" s="288"/>
      <c r="BC488" s="286"/>
      <c r="BD488" s="286"/>
      <c r="BE488" s="287"/>
      <c r="BG488" s="288"/>
      <c r="BH488" s="286"/>
      <c r="BI488" s="286"/>
      <c r="BJ488" s="287"/>
      <c r="BL488" s="288"/>
      <c r="BM488" s="286"/>
      <c r="BN488" s="286"/>
      <c r="BO488" s="289"/>
    </row>
    <row r="489" spans="1:67" s="339" customFormat="1">
      <c r="A489" s="341" t="s">
        <v>192</v>
      </c>
      <c r="B489" s="339" t="s">
        <v>378</v>
      </c>
      <c r="D489" s="288"/>
      <c r="E489" s="286"/>
      <c r="F489" s="286"/>
      <c r="G489" s="287"/>
      <c r="H489" s="284"/>
      <c r="I489" s="288"/>
      <c r="J489" s="286"/>
      <c r="K489" s="286"/>
      <c r="L489" s="289"/>
      <c r="M489" s="290"/>
      <c r="N489" s="288"/>
      <c r="O489" s="286"/>
      <c r="P489" s="286"/>
      <c r="Q489" s="287"/>
      <c r="S489" s="288"/>
      <c r="T489" s="286"/>
      <c r="U489" s="286"/>
      <c r="V489" s="287"/>
      <c r="X489" s="288"/>
      <c r="Y489" s="286"/>
      <c r="Z489" s="286"/>
      <c r="AA489" s="287"/>
      <c r="AC489" s="288"/>
      <c r="AD489" s="286"/>
      <c r="AE489" s="286"/>
      <c r="AF489" s="287"/>
      <c r="AH489" s="288"/>
      <c r="AI489" s="286"/>
      <c r="AJ489" s="286"/>
      <c r="AK489" s="287"/>
      <c r="AM489" s="288"/>
      <c r="AN489" s="286"/>
      <c r="AO489" s="286"/>
      <c r="AP489" s="287"/>
      <c r="AR489" s="288"/>
      <c r="AS489" s="286"/>
      <c r="AT489" s="286"/>
      <c r="AU489" s="287"/>
      <c r="AW489" s="288"/>
      <c r="AX489" s="286"/>
      <c r="AY489" s="286"/>
      <c r="AZ489" s="287"/>
      <c r="BB489" s="288"/>
      <c r="BC489" s="286"/>
      <c r="BD489" s="286"/>
      <c r="BE489" s="287"/>
      <c r="BG489" s="288"/>
      <c r="BH489" s="286"/>
      <c r="BI489" s="286"/>
      <c r="BJ489" s="287"/>
      <c r="BL489" s="288"/>
      <c r="BM489" s="286"/>
      <c r="BN489" s="286"/>
      <c r="BO489" s="289"/>
    </row>
    <row r="490" spans="1:67" s="339" customFormat="1">
      <c r="A490" s="341" t="s">
        <v>192</v>
      </c>
      <c r="B490" s="339" t="s">
        <v>379</v>
      </c>
      <c r="D490" s="288"/>
      <c r="E490" s="286"/>
      <c r="F490" s="286"/>
      <c r="G490" s="327">
        <f>(F483-D483)*(C476/D483)*E476</f>
        <v>-138121.80254049113</v>
      </c>
      <c r="H490" s="284"/>
      <c r="I490" s="288"/>
      <c r="J490" s="286"/>
      <c r="K490" s="286"/>
      <c r="L490" s="289"/>
      <c r="M490" s="290"/>
      <c r="N490" s="288"/>
      <c r="O490" s="286"/>
      <c r="P490" s="286"/>
      <c r="Q490" s="287"/>
      <c r="S490" s="288"/>
      <c r="T490" s="286"/>
      <c r="U490" s="286"/>
      <c r="V490" s="287"/>
      <c r="X490" s="288"/>
      <c r="Y490" s="286"/>
      <c r="Z490" s="286"/>
      <c r="AA490" s="287"/>
      <c r="AC490" s="288"/>
      <c r="AD490" s="286"/>
      <c r="AE490" s="286"/>
      <c r="AF490" s="287"/>
      <c r="AH490" s="288"/>
      <c r="AI490" s="286"/>
      <c r="AJ490" s="286"/>
      <c r="AK490" s="287"/>
      <c r="AM490" s="288"/>
      <c r="AN490" s="286"/>
      <c r="AO490" s="286"/>
      <c r="AP490" s="287"/>
      <c r="AR490" s="288"/>
      <c r="AS490" s="286"/>
      <c r="AT490" s="286"/>
      <c r="AU490" s="287"/>
      <c r="AW490" s="288"/>
      <c r="AX490" s="286"/>
      <c r="AY490" s="286"/>
      <c r="AZ490" s="287"/>
      <c r="BB490" s="288"/>
      <c r="BC490" s="286"/>
      <c r="BD490" s="286"/>
      <c r="BE490" s="287"/>
      <c r="BG490" s="288"/>
      <c r="BH490" s="286"/>
      <c r="BI490" s="286"/>
      <c r="BJ490" s="287"/>
      <c r="BL490" s="288"/>
      <c r="BM490" s="286"/>
      <c r="BN490" s="286"/>
      <c r="BO490" s="289"/>
    </row>
    <row r="491" spans="1:67" s="339" customFormat="1">
      <c r="A491" s="341" t="s">
        <v>192</v>
      </c>
      <c r="B491" s="339" t="s">
        <v>380</v>
      </c>
      <c r="D491" s="288"/>
      <c r="E491" s="286"/>
      <c r="F491" s="286"/>
      <c r="G491" s="327">
        <f>(D476/F483-C476/D483)*(F483*E476)</f>
        <v>329385.38989018102</v>
      </c>
      <c r="H491" s="358"/>
      <c r="I491" s="288"/>
      <c r="J491" s="286"/>
      <c r="K491" s="286"/>
      <c r="L491" s="289"/>
      <c r="M491" s="290"/>
      <c r="N491" s="288"/>
      <c r="O491" s="286"/>
      <c r="P491" s="286"/>
      <c r="Q491" s="287"/>
      <c r="S491" s="288"/>
      <c r="T491" s="361"/>
      <c r="U491" s="361"/>
      <c r="V491" s="287"/>
      <c r="X491" s="288"/>
      <c r="Y491" s="286"/>
      <c r="Z491" s="286"/>
      <c r="AA491" s="287"/>
      <c r="AC491" s="288"/>
      <c r="AD491" s="286"/>
      <c r="AE491" s="286"/>
      <c r="AF491" s="287"/>
      <c r="AH491" s="288"/>
      <c r="AI491" s="286"/>
      <c r="AJ491" s="286"/>
      <c r="AK491" s="287"/>
      <c r="AM491" s="288"/>
      <c r="AN491" s="286"/>
      <c r="AO491" s="286"/>
      <c r="AP491" s="287"/>
      <c r="AR491" s="288"/>
      <c r="AS491" s="286"/>
      <c r="AT491" s="286"/>
      <c r="AU491" s="287"/>
      <c r="AW491" s="288"/>
      <c r="AX491" s="286"/>
      <c r="AY491" s="286"/>
      <c r="AZ491" s="287"/>
      <c r="BB491" s="288"/>
      <c r="BC491" s="286"/>
      <c r="BD491" s="286"/>
      <c r="BE491" s="287"/>
      <c r="BG491" s="288"/>
      <c r="BH491" s="286"/>
      <c r="BI491" s="286"/>
      <c r="BJ491" s="287"/>
      <c r="BL491" s="288"/>
      <c r="BM491" s="286"/>
      <c r="BN491" s="286"/>
      <c r="BO491" s="289"/>
    </row>
    <row r="492" spans="1:67" s="339" customFormat="1">
      <c r="A492" s="341" t="s">
        <v>192</v>
      </c>
      <c r="B492" s="339" t="s">
        <v>381</v>
      </c>
      <c r="D492" s="288"/>
      <c r="E492" s="286"/>
      <c r="F492" s="286"/>
      <c r="G492" s="327">
        <f>(F476-E476)*D476</f>
        <v>-450371.74654369976</v>
      </c>
      <c r="H492" s="358"/>
      <c r="I492" s="288"/>
      <c r="J492" s="286"/>
      <c r="K492" s="286"/>
      <c r="L492" s="289"/>
      <c r="M492" s="290"/>
      <c r="N492" s="288"/>
      <c r="O492" s="286"/>
      <c r="P492" s="286"/>
      <c r="Q492" s="287"/>
      <c r="S492" s="288"/>
      <c r="T492" s="286"/>
      <c r="U492" s="286"/>
      <c r="V492" s="287"/>
      <c r="X492" s="288"/>
      <c r="Y492" s="286"/>
      <c r="Z492" s="286"/>
      <c r="AA492" s="287"/>
      <c r="AC492" s="288"/>
      <c r="AD492" s="286"/>
      <c r="AE492" s="286"/>
      <c r="AF492" s="287"/>
      <c r="AH492" s="288"/>
      <c r="AI492" s="286"/>
      <c r="AJ492" s="286"/>
      <c r="AK492" s="287"/>
      <c r="AM492" s="288"/>
      <c r="AN492" s="286"/>
      <c r="AO492" s="286"/>
      <c r="AP492" s="287"/>
      <c r="AR492" s="288"/>
      <c r="AS492" s="286"/>
      <c r="AT492" s="286"/>
      <c r="AU492" s="287"/>
      <c r="AW492" s="288"/>
      <c r="AX492" s="286"/>
      <c r="AY492" s="286"/>
      <c r="AZ492" s="287"/>
      <c r="BB492" s="288"/>
      <c r="BC492" s="286"/>
      <c r="BD492" s="286"/>
      <c r="BE492" s="287"/>
      <c r="BG492" s="288"/>
      <c r="BH492" s="286"/>
      <c r="BI492" s="286"/>
      <c r="BJ492" s="287"/>
      <c r="BL492" s="288"/>
      <c r="BM492" s="286"/>
      <c r="BN492" s="286"/>
      <c r="BO492" s="289"/>
    </row>
    <row r="493" spans="1:67" s="339" customFormat="1">
      <c r="A493" s="341" t="s">
        <v>192</v>
      </c>
      <c r="B493" s="339" t="s">
        <v>382</v>
      </c>
      <c r="D493" s="288"/>
      <c r="E493" s="286"/>
      <c r="F493" s="286"/>
      <c r="G493" s="327">
        <f>SUM(G490:G492)</f>
        <v>-259108.15919400987</v>
      </c>
      <c r="H493" s="358"/>
      <c r="I493" s="288"/>
      <c r="J493" s="286"/>
      <c r="K493" s="286"/>
      <c r="L493" s="289"/>
      <c r="M493" s="290"/>
      <c r="N493" s="288"/>
      <c r="O493" s="286"/>
      <c r="P493" s="286"/>
      <c r="Q493" s="287"/>
      <c r="S493" s="288"/>
      <c r="T493" s="286"/>
      <c r="U493" s="286"/>
      <c r="V493" s="287"/>
      <c r="X493" s="288"/>
      <c r="Y493" s="286"/>
      <c r="Z493" s="286"/>
      <c r="AA493" s="287"/>
      <c r="AC493" s="288"/>
      <c r="AD493" s="286"/>
      <c r="AE493" s="286"/>
      <c r="AF493" s="287"/>
      <c r="AH493" s="288"/>
      <c r="AI493" s="286"/>
      <c r="AJ493" s="286"/>
      <c r="AK493" s="287"/>
      <c r="AM493" s="288"/>
      <c r="AN493" s="286"/>
      <c r="AO493" s="286"/>
      <c r="AP493" s="287"/>
      <c r="AR493" s="288"/>
      <c r="AS493" s="286"/>
      <c r="AT493" s="286"/>
      <c r="AU493" s="287"/>
      <c r="AW493" s="288"/>
      <c r="AX493" s="286"/>
      <c r="AY493" s="286"/>
      <c r="AZ493" s="287"/>
      <c r="BB493" s="288"/>
      <c r="BC493" s="286"/>
      <c r="BD493" s="286"/>
      <c r="BE493" s="287"/>
      <c r="BG493" s="288"/>
      <c r="BH493" s="286"/>
      <c r="BI493" s="286"/>
      <c r="BJ493" s="287"/>
      <c r="BL493" s="288"/>
      <c r="BM493" s="286"/>
      <c r="BN493" s="286"/>
      <c r="BO493" s="289"/>
    </row>
    <row r="503" spans="1:67">
      <c r="A503" s="323" t="s">
        <v>327</v>
      </c>
    </row>
    <row r="504" spans="1:67">
      <c r="B504" s="283" t="str">
        <f>B451</f>
        <v>Total Company</v>
      </c>
    </row>
    <row r="505" spans="1:67">
      <c r="B505" s="283" t="str">
        <f>B452</f>
        <v>Year-to-Date</v>
      </c>
    </row>
    <row r="507" spans="1:67">
      <c r="B507" s="283" t="s">
        <v>383</v>
      </c>
    </row>
    <row r="508" spans="1:67">
      <c r="B508" s="283" t="s">
        <v>384</v>
      </c>
      <c r="E508" s="286" t="s">
        <v>385</v>
      </c>
      <c r="F508" s="326">
        <f>F556</f>
        <v>-259108.15919401078</v>
      </c>
    </row>
    <row r="510" spans="1:67">
      <c r="D510" s="305" t="s">
        <v>386</v>
      </c>
      <c r="E510" s="306" t="s">
        <v>387</v>
      </c>
      <c r="F510" s="306" t="s">
        <v>388</v>
      </c>
    </row>
    <row r="512" spans="1:67" s="339" customFormat="1">
      <c r="B512" s="339" t="s">
        <v>389</v>
      </c>
      <c r="D512" s="288"/>
      <c r="E512" s="286"/>
      <c r="F512" s="286"/>
      <c r="G512" s="287"/>
      <c r="H512" s="284"/>
      <c r="I512" s="288"/>
      <c r="J512" s="286"/>
      <c r="K512" s="286"/>
      <c r="L512" s="289"/>
      <c r="M512" s="290"/>
      <c r="N512" s="288"/>
      <c r="O512" s="286"/>
      <c r="P512" s="286"/>
      <c r="Q512" s="287"/>
      <c r="S512" s="288"/>
      <c r="T512" s="286"/>
      <c r="U512" s="286"/>
      <c r="V512" s="287"/>
      <c r="X512" s="288"/>
      <c r="Y512" s="286"/>
      <c r="Z512" s="286"/>
      <c r="AA512" s="287"/>
      <c r="AC512" s="288"/>
      <c r="AD512" s="286"/>
      <c r="AE512" s="286"/>
      <c r="AF512" s="287"/>
      <c r="AH512" s="288"/>
      <c r="AI512" s="286"/>
      <c r="AJ512" s="286"/>
      <c r="AK512" s="287"/>
      <c r="AM512" s="288"/>
      <c r="AN512" s="286"/>
      <c r="AO512" s="286"/>
      <c r="AP512" s="287"/>
      <c r="AR512" s="288"/>
      <c r="AS512" s="286"/>
      <c r="AT512" s="286"/>
      <c r="AU512" s="287"/>
      <c r="AW512" s="288"/>
      <c r="AX512" s="286"/>
      <c r="AY512" s="286"/>
      <c r="AZ512" s="287"/>
      <c r="BB512" s="288"/>
      <c r="BC512" s="286"/>
      <c r="BD512" s="286"/>
      <c r="BE512" s="287"/>
      <c r="BG512" s="288"/>
      <c r="BH512" s="286"/>
      <c r="BI512" s="286"/>
      <c r="BJ512" s="287"/>
      <c r="BL512" s="288"/>
      <c r="BM512" s="286"/>
      <c r="BN512" s="286"/>
      <c r="BO512" s="289"/>
    </row>
    <row r="513" spans="2:67" s="339" customFormat="1">
      <c r="B513" s="365" t="s">
        <v>446</v>
      </c>
      <c r="C513" s="339" t="s">
        <v>390</v>
      </c>
      <c r="D513" s="330">
        <f>G459</f>
        <v>0</v>
      </c>
      <c r="E513" s="326">
        <f>H459</f>
        <v>0</v>
      </c>
      <c r="F513" s="326">
        <f>E513-D513</f>
        <v>0</v>
      </c>
      <c r="G513" s="287"/>
      <c r="H513" s="284"/>
      <c r="I513" s="288"/>
      <c r="J513" s="286"/>
      <c r="K513" s="286"/>
      <c r="L513" s="289"/>
      <c r="M513" s="290"/>
      <c r="N513" s="288"/>
      <c r="O513" s="286"/>
      <c r="P513" s="286"/>
      <c r="Q513" s="287"/>
      <c r="S513" s="288"/>
      <c r="T513" s="286"/>
      <c r="U513" s="286"/>
      <c r="V513" s="287"/>
      <c r="X513" s="288"/>
      <c r="Y513" s="286"/>
      <c r="Z513" s="286"/>
      <c r="AA513" s="287"/>
      <c r="AC513" s="288"/>
      <c r="AD513" s="286"/>
      <c r="AE513" s="286"/>
      <c r="AF513" s="287"/>
      <c r="AH513" s="288"/>
      <c r="AI513" s="286"/>
      <c r="AJ513" s="286"/>
      <c r="AK513" s="287"/>
      <c r="AM513" s="288"/>
      <c r="AN513" s="286"/>
      <c r="AO513" s="286"/>
      <c r="AP513" s="287"/>
      <c r="AR513" s="288"/>
      <c r="AS513" s="286"/>
      <c r="AT513" s="286"/>
      <c r="AU513" s="287"/>
      <c r="AW513" s="288"/>
      <c r="AX513" s="286"/>
      <c r="AY513" s="286"/>
      <c r="AZ513" s="287"/>
      <c r="BB513" s="288"/>
      <c r="BC513" s="286"/>
      <c r="BD513" s="286"/>
      <c r="BE513" s="287"/>
      <c r="BG513" s="288"/>
      <c r="BH513" s="286"/>
      <c r="BI513" s="286"/>
      <c r="BJ513" s="287"/>
      <c r="BL513" s="288"/>
      <c r="BM513" s="286"/>
      <c r="BN513" s="286"/>
      <c r="BO513" s="289"/>
    </row>
    <row r="514" spans="2:67" s="339" customFormat="1">
      <c r="B514" s="365" t="s">
        <v>391</v>
      </c>
      <c r="C514" s="339" t="s">
        <v>390</v>
      </c>
      <c r="D514" s="330">
        <f>G472</f>
        <v>111303.73684472601</v>
      </c>
      <c r="E514" s="326">
        <f>H472</f>
        <v>139687.27333333335</v>
      </c>
      <c r="F514" s="326">
        <f>E514-D514</f>
        <v>28383.536488607337</v>
      </c>
      <c r="G514" s="287"/>
      <c r="H514" s="284"/>
      <c r="I514" s="288"/>
      <c r="J514" s="286"/>
      <c r="K514" s="286"/>
      <c r="L514" s="289"/>
      <c r="M514" s="290"/>
      <c r="N514" s="288"/>
      <c r="O514" s="286"/>
      <c r="P514" s="286"/>
      <c r="Q514" s="287"/>
      <c r="S514" s="288"/>
      <c r="T514" s="286"/>
      <c r="U514" s="286"/>
      <c r="V514" s="287"/>
      <c r="X514" s="288"/>
      <c r="Y514" s="286"/>
      <c r="Z514" s="286"/>
      <c r="AA514" s="287"/>
      <c r="AC514" s="288"/>
      <c r="AD514" s="286"/>
      <c r="AE514" s="286"/>
      <c r="AF514" s="287"/>
      <c r="AH514" s="288"/>
      <c r="AI514" s="286"/>
      <c r="AJ514" s="286"/>
      <c r="AK514" s="287"/>
      <c r="AM514" s="288"/>
      <c r="AN514" s="286"/>
      <c r="AO514" s="286"/>
      <c r="AP514" s="287"/>
      <c r="AR514" s="288"/>
      <c r="AS514" s="286"/>
      <c r="AT514" s="286"/>
      <c r="AU514" s="287"/>
      <c r="AW514" s="288"/>
      <c r="AX514" s="286"/>
      <c r="AY514" s="286"/>
      <c r="AZ514" s="287"/>
      <c r="BB514" s="288"/>
      <c r="BC514" s="286"/>
      <c r="BD514" s="286"/>
      <c r="BE514" s="287"/>
      <c r="BG514" s="288"/>
      <c r="BH514" s="286"/>
      <c r="BI514" s="286"/>
      <c r="BJ514" s="287"/>
      <c r="BL514" s="288"/>
      <c r="BM514" s="286"/>
      <c r="BN514" s="286"/>
      <c r="BO514" s="289"/>
    </row>
    <row r="515" spans="2:67" s="339" customFormat="1">
      <c r="B515" s="365" t="s">
        <v>392</v>
      </c>
      <c r="C515" s="339" t="s">
        <v>393</v>
      </c>
      <c r="D515" s="330">
        <f>G465</f>
        <v>104103.39786978612</v>
      </c>
      <c r="E515" s="326">
        <f>H465</f>
        <v>82412.703333333324</v>
      </c>
      <c r="F515" s="326">
        <f>E515-D515</f>
        <v>-21690.694536452793</v>
      </c>
      <c r="G515" s="287"/>
      <c r="H515" s="284"/>
      <c r="I515" s="288"/>
      <c r="J515" s="286"/>
      <c r="K515" s="286"/>
      <c r="L515" s="289"/>
      <c r="M515" s="290"/>
      <c r="N515" s="288"/>
      <c r="O515" s="286"/>
      <c r="P515" s="286"/>
      <c r="Q515" s="287"/>
      <c r="S515" s="288"/>
      <c r="T515" s="286"/>
      <c r="U515" s="286"/>
      <c r="V515" s="287"/>
      <c r="X515" s="288"/>
      <c r="Y515" s="286"/>
      <c r="Z515" s="286"/>
      <c r="AA515" s="287"/>
      <c r="AC515" s="288"/>
      <c r="AD515" s="286"/>
      <c r="AE515" s="286"/>
      <c r="AF515" s="287"/>
      <c r="AH515" s="288"/>
      <c r="AI515" s="286"/>
      <c r="AJ515" s="286"/>
      <c r="AK515" s="287"/>
      <c r="AM515" s="288"/>
      <c r="AN515" s="286"/>
      <c r="AO515" s="286"/>
      <c r="AP515" s="287"/>
      <c r="AR515" s="288"/>
      <c r="AS515" s="286"/>
      <c r="AT515" s="286"/>
      <c r="AU515" s="287"/>
      <c r="AW515" s="288"/>
      <c r="AX515" s="286"/>
      <c r="AY515" s="286"/>
      <c r="AZ515" s="287"/>
      <c r="BB515" s="288"/>
      <c r="BC515" s="286"/>
      <c r="BD515" s="286"/>
      <c r="BE515" s="287"/>
      <c r="BG515" s="288"/>
      <c r="BH515" s="286"/>
      <c r="BI515" s="286"/>
      <c r="BJ515" s="287"/>
      <c r="BL515" s="288"/>
      <c r="BM515" s="286"/>
      <c r="BN515" s="286"/>
      <c r="BO515" s="289"/>
    </row>
    <row r="516" spans="2:67" s="339" customFormat="1">
      <c r="B516" s="365" t="s">
        <v>425</v>
      </c>
      <c r="C516" s="339" t="s">
        <v>393</v>
      </c>
      <c r="D516" s="330">
        <f>G458</f>
        <v>605113.97913682065</v>
      </c>
      <c r="E516" s="326">
        <f>H458</f>
        <v>645787.25333333341</v>
      </c>
      <c r="F516" s="326">
        <f>E516-D516</f>
        <v>40673.274196512764</v>
      </c>
      <c r="G516" s="287"/>
      <c r="H516" s="284"/>
      <c r="I516" s="288"/>
      <c r="J516" s="286"/>
      <c r="K516" s="286"/>
      <c r="L516" s="289"/>
      <c r="M516" s="290"/>
      <c r="N516" s="288"/>
      <c r="O516" s="286"/>
      <c r="P516" s="286"/>
      <c r="Q516" s="287"/>
      <c r="S516" s="288"/>
      <c r="T516" s="286"/>
      <c r="U516" s="286"/>
      <c r="V516" s="287"/>
      <c r="X516" s="288"/>
      <c r="Y516" s="286"/>
      <c r="Z516" s="286"/>
      <c r="AA516" s="287"/>
      <c r="AC516" s="288"/>
      <c r="AD516" s="286"/>
      <c r="AE516" s="286"/>
      <c r="AF516" s="287"/>
      <c r="AH516" s="288"/>
      <c r="AI516" s="286"/>
      <c r="AJ516" s="286"/>
      <c r="AK516" s="287"/>
      <c r="AM516" s="288"/>
      <c r="AN516" s="286"/>
      <c r="AO516" s="286"/>
      <c r="AP516" s="287"/>
      <c r="AR516" s="288"/>
      <c r="AS516" s="286"/>
      <c r="AT516" s="286"/>
      <c r="AU516" s="287"/>
      <c r="AW516" s="288"/>
      <c r="AX516" s="286"/>
      <c r="AY516" s="286"/>
      <c r="AZ516" s="287"/>
      <c r="BB516" s="288"/>
      <c r="BC516" s="286"/>
      <c r="BD516" s="286"/>
      <c r="BE516" s="287"/>
      <c r="BG516" s="288"/>
      <c r="BH516" s="286"/>
      <c r="BI516" s="286"/>
      <c r="BJ516" s="287"/>
      <c r="BL516" s="288"/>
      <c r="BM516" s="286"/>
      <c r="BN516" s="286"/>
      <c r="BO516" s="289"/>
    </row>
    <row r="517" spans="2:67" s="339" customFormat="1">
      <c r="B517" s="365" t="s">
        <v>394</v>
      </c>
      <c r="C517" s="339" t="s">
        <v>395</v>
      </c>
      <c r="D517" s="330">
        <f>G471</f>
        <v>20313.845776447899</v>
      </c>
      <c r="E517" s="326">
        <f>H471</f>
        <v>7410.5</v>
      </c>
      <c r="F517" s="326">
        <f>E517-D517</f>
        <v>-12903.345776447899</v>
      </c>
      <c r="G517" s="287"/>
      <c r="H517" s="284"/>
      <c r="I517" s="288"/>
      <c r="J517" s="286"/>
      <c r="K517" s="286"/>
      <c r="L517" s="289"/>
      <c r="M517" s="290"/>
      <c r="N517" s="288"/>
      <c r="O517" s="286"/>
      <c r="P517" s="286"/>
      <c r="Q517" s="287"/>
      <c r="S517" s="288"/>
      <c r="T517" s="286"/>
      <c r="U517" s="286"/>
      <c r="V517" s="287"/>
      <c r="X517" s="288"/>
      <c r="Y517" s="286"/>
      <c r="Z517" s="286"/>
      <c r="AA517" s="287"/>
      <c r="AC517" s="288"/>
      <c r="AD517" s="286"/>
      <c r="AE517" s="286"/>
      <c r="AF517" s="287"/>
      <c r="AH517" s="288"/>
      <c r="AI517" s="286"/>
      <c r="AJ517" s="286"/>
      <c r="AK517" s="287"/>
      <c r="AM517" s="288"/>
      <c r="AN517" s="286"/>
      <c r="AO517" s="286"/>
      <c r="AP517" s="287"/>
      <c r="AR517" s="288"/>
      <c r="AS517" s="286"/>
      <c r="AT517" s="286"/>
      <c r="AU517" s="287"/>
      <c r="AW517" s="288"/>
      <c r="AX517" s="286"/>
      <c r="AY517" s="286"/>
      <c r="AZ517" s="287"/>
      <c r="BB517" s="288"/>
      <c r="BC517" s="286"/>
      <c r="BD517" s="286"/>
      <c r="BE517" s="287"/>
      <c r="BG517" s="288"/>
      <c r="BH517" s="286"/>
      <c r="BI517" s="286"/>
      <c r="BJ517" s="287"/>
      <c r="BL517" s="288"/>
      <c r="BM517" s="286"/>
      <c r="BN517" s="286"/>
      <c r="BO517" s="289"/>
    </row>
    <row r="518" spans="2:67" s="339" customFormat="1">
      <c r="B518" s="339" t="s">
        <v>396</v>
      </c>
      <c r="D518" s="330"/>
      <c r="E518" s="326"/>
      <c r="F518" s="326"/>
      <c r="G518" s="287"/>
      <c r="H518" s="284"/>
      <c r="I518" s="288"/>
      <c r="J518" s="286"/>
      <c r="K518" s="286"/>
      <c r="L518" s="289"/>
      <c r="M518" s="290"/>
      <c r="N518" s="288"/>
      <c r="O518" s="286"/>
      <c r="P518" s="286"/>
      <c r="Q518" s="287"/>
      <c r="S518" s="288"/>
      <c r="T518" s="286"/>
      <c r="U518" s="286"/>
      <c r="V518" s="287"/>
      <c r="X518" s="288"/>
      <c r="Y518" s="286"/>
      <c r="Z518" s="286"/>
      <c r="AA518" s="287"/>
      <c r="AC518" s="288"/>
      <c r="AD518" s="286"/>
      <c r="AE518" s="286"/>
      <c r="AF518" s="287"/>
      <c r="AH518" s="288"/>
      <c r="AI518" s="286"/>
      <c r="AJ518" s="286"/>
      <c r="AK518" s="287"/>
      <c r="AM518" s="288"/>
      <c r="AN518" s="286"/>
      <c r="AO518" s="286"/>
      <c r="AP518" s="287"/>
      <c r="AR518" s="288"/>
      <c r="AS518" s="286"/>
      <c r="AT518" s="286"/>
      <c r="AU518" s="287"/>
      <c r="AW518" s="288"/>
      <c r="AX518" s="286"/>
      <c r="AY518" s="286"/>
      <c r="AZ518" s="287"/>
      <c r="BB518" s="288"/>
      <c r="BC518" s="286"/>
      <c r="BD518" s="286"/>
      <c r="BE518" s="287"/>
      <c r="BG518" s="288"/>
      <c r="BH518" s="286"/>
      <c r="BI518" s="286"/>
      <c r="BJ518" s="287"/>
      <c r="BL518" s="288"/>
      <c r="BM518" s="286"/>
      <c r="BN518" s="286"/>
      <c r="BO518" s="289"/>
    </row>
    <row r="519" spans="2:67" s="339" customFormat="1">
      <c r="B519" s="339" t="s">
        <v>397</v>
      </c>
      <c r="D519" s="330">
        <f>SUM(D513:D517)</f>
        <v>840834.95962778071</v>
      </c>
      <c r="E519" s="326">
        <f>SUM(E513:E517)</f>
        <v>875297.7300000001</v>
      </c>
      <c r="F519" s="326">
        <f>E519-D519</f>
        <v>34462.770372219384</v>
      </c>
      <c r="G519" s="287"/>
      <c r="H519" s="284"/>
      <c r="I519" s="288"/>
      <c r="J519" s="286"/>
      <c r="K519" s="286"/>
      <c r="L519" s="289"/>
      <c r="M519" s="290"/>
      <c r="N519" s="288"/>
      <c r="O519" s="286"/>
      <c r="P519" s="286"/>
      <c r="Q519" s="287"/>
      <c r="S519" s="288"/>
      <c r="T519" s="286"/>
      <c r="U519" s="286"/>
      <c r="V519" s="287"/>
      <c r="X519" s="288"/>
      <c r="Y519" s="286"/>
      <c r="Z519" s="286"/>
      <c r="AA519" s="287"/>
      <c r="AC519" s="288"/>
      <c r="AD519" s="286"/>
      <c r="AE519" s="286"/>
      <c r="AF519" s="287"/>
      <c r="AH519" s="288"/>
      <c r="AI519" s="286"/>
      <c r="AJ519" s="286"/>
      <c r="AK519" s="287"/>
      <c r="AM519" s="288"/>
      <c r="AN519" s="286"/>
      <c r="AO519" s="286"/>
      <c r="AP519" s="287"/>
      <c r="AR519" s="288"/>
      <c r="AS519" s="286"/>
      <c r="AT519" s="286"/>
      <c r="AU519" s="287"/>
      <c r="AW519" s="288"/>
      <c r="AX519" s="286"/>
      <c r="AY519" s="286"/>
      <c r="AZ519" s="287"/>
      <c r="BB519" s="288"/>
      <c r="BC519" s="286"/>
      <c r="BD519" s="286"/>
      <c r="BE519" s="287"/>
      <c r="BG519" s="288"/>
      <c r="BH519" s="286"/>
      <c r="BI519" s="286"/>
      <c r="BJ519" s="287"/>
      <c r="BL519" s="288"/>
      <c r="BM519" s="286"/>
      <c r="BN519" s="286"/>
      <c r="BO519" s="289"/>
    </row>
    <row r="520" spans="2:67" s="339" customFormat="1">
      <c r="B520" s="339" t="s">
        <v>396</v>
      </c>
      <c r="D520" s="330"/>
      <c r="E520" s="326"/>
      <c r="F520" s="326"/>
      <c r="G520" s="287"/>
      <c r="H520" s="284"/>
      <c r="I520" s="288"/>
      <c r="J520" s="286"/>
      <c r="K520" s="286"/>
      <c r="L520" s="289"/>
      <c r="M520" s="290"/>
      <c r="N520" s="288"/>
      <c r="O520" s="286"/>
      <c r="P520" s="286"/>
      <c r="Q520" s="287"/>
      <c r="S520" s="288"/>
      <c r="T520" s="286"/>
      <c r="U520" s="286"/>
      <c r="V520" s="287"/>
      <c r="X520" s="288"/>
      <c r="Y520" s="286"/>
      <c r="Z520" s="286"/>
      <c r="AA520" s="287"/>
      <c r="AC520" s="288"/>
      <c r="AD520" s="286"/>
      <c r="AE520" s="286"/>
      <c r="AF520" s="287"/>
      <c r="AH520" s="288"/>
      <c r="AI520" s="286"/>
      <c r="AJ520" s="286"/>
      <c r="AK520" s="287"/>
      <c r="AM520" s="288"/>
      <c r="AN520" s="286"/>
      <c r="AO520" s="286"/>
      <c r="AP520" s="287"/>
      <c r="AR520" s="288"/>
      <c r="AS520" s="286"/>
      <c r="AT520" s="286"/>
      <c r="AU520" s="287"/>
      <c r="AW520" s="288"/>
      <c r="AX520" s="286"/>
      <c r="AY520" s="286"/>
      <c r="AZ520" s="287"/>
      <c r="BB520" s="288"/>
      <c r="BC520" s="286"/>
      <c r="BD520" s="286"/>
      <c r="BE520" s="287"/>
      <c r="BG520" s="288"/>
      <c r="BH520" s="286"/>
      <c r="BI520" s="286"/>
      <c r="BJ520" s="287"/>
      <c r="BL520" s="288"/>
      <c r="BM520" s="286"/>
      <c r="BN520" s="286"/>
      <c r="BO520" s="289"/>
    </row>
    <row r="521" spans="2:67" s="339" customFormat="1">
      <c r="D521" s="330"/>
      <c r="E521" s="326"/>
      <c r="F521" s="326"/>
      <c r="G521" s="287"/>
      <c r="H521" s="284"/>
      <c r="I521" s="288"/>
      <c r="J521" s="286"/>
      <c r="K521" s="286"/>
      <c r="L521" s="289"/>
      <c r="M521" s="290"/>
      <c r="N521" s="288"/>
      <c r="O521" s="286"/>
      <c r="P521" s="286"/>
      <c r="Q521" s="287"/>
      <c r="S521" s="288"/>
      <c r="T521" s="286"/>
      <c r="U521" s="286"/>
      <c r="V521" s="287"/>
      <c r="X521" s="288"/>
      <c r="Y521" s="286"/>
      <c r="Z521" s="286"/>
      <c r="AA521" s="287"/>
      <c r="AC521" s="288"/>
      <c r="AD521" s="286"/>
      <c r="AE521" s="286"/>
      <c r="AF521" s="287"/>
      <c r="AH521" s="288"/>
      <c r="AI521" s="286"/>
      <c r="AJ521" s="286"/>
      <c r="AK521" s="287"/>
      <c r="AM521" s="288"/>
      <c r="AN521" s="286"/>
      <c r="AO521" s="286"/>
      <c r="AP521" s="287"/>
      <c r="AR521" s="288"/>
      <c r="AS521" s="286"/>
      <c r="AT521" s="286"/>
      <c r="AU521" s="287"/>
      <c r="AW521" s="288"/>
      <c r="AX521" s="286"/>
      <c r="AY521" s="286"/>
      <c r="AZ521" s="287"/>
      <c r="BB521" s="288"/>
      <c r="BC521" s="286"/>
      <c r="BD521" s="286"/>
      <c r="BE521" s="287"/>
      <c r="BG521" s="288"/>
      <c r="BH521" s="286"/>
      <c r="BI521" s="286"/>
      <c r="BJ521" s="287"/>
      <c r="BL521" s="288"/>
      <c r="BM521" s="286"/>
      <c r="BN521" s="286"/>
      <c r="BO521" s="289"/>
    </row>
    <row r="522" spans="2:67" s="339" customFormat="1">
      <c r="B522" s="339" t="s">
        <v>398</v>
      </c>
      <c r="D522" s="330"/>
      <c r="E522" s="326"/>
      <c r="F522" s="326"/>
      <c r="G522" s="287"/>
      <c r="H522" s="284"/>
      <c r="I522" s="288"/>
      <c r="J522" s="286"/>
      <c r="K522" s="286"/>
      <c r="L522" s="289"/>
      <c r="M522" s="290"/>
      <c r="N522" s="288"/>
      <c r="O522" s="286"/>
      <c r="P522" s="286"/>
      <c r="Q522" s="287"/>
      <c r="S522" s="288"/>
      <c r="T522" s="286"/>
      <c r="U522" s="286"/>
      <c r="V522" s="287"/>
      <c r="X522" s="288"/>
      <c r="Y522" s="286"/>
      <c r="Z522" s="286"/>
      <c r="AA522" s="287"/>
      <c r="AC522" s="288"/>
      <c r="AD522" s="286"/>
      <c r="AE522" s="286"/>
      <c r="AF522" s="287"/>
      <c r="AH522" s="288"/>
      <c r="AI522" s="286"/>
      <c r="AJ522" s="286"/>
      <c r="AK522" s="287"/>
      <c r="AM522" s="288"/>
      <c r="AN522" s="286"/>
      <c r="AO522" s="286"/>
      <c r="AP522" s="287"/>
      <c r="AR522" s="288"/>
      <c r="AS522" s="286"/>
      <c r="AT522" s="286"/>
      <c r="AU522" s="287"/>
      <c r="AW522" s="288"/>
      <c r="AX522" s="286"/>
      <c r="AY522" s="286"/>
      <c r="AZ522" s="287"/>
      <c r="BB522" s="288"/>
      <c r="BC522" s="286"/>
      <c r="BD522" s="286"/>
      <c r="BE522" s="287"/>
      <c r="BG522" s="288"/>
      <c r="BH522" s="286"/>
      <c r="BI522" s="286"/>
      <c r="BJ522" s="287"/>
      <c r="BL522" s="288"/>
      <c r="BM522" s="286"/>
      <c r="BN522" s="286"/>
      <c r="BO522" s="289"/>
    </row>
    <row r="523" spans="2:67" s="339" customFormat="1">
      <c r="B523" s="365" t="s">
        <v>399</v>
      </c>
      <c r="C523" s="339" t="s">
        <v>393</v>
      </c>
      <c r="D523" s="330">
        <f>G461</f>
        <v>207026.9422823085</v>
      </c>
      <c r="E523" s="326">
        <f>H461</f>
        <v>179404.14</v>
      </c>
      <c r="F523" s="326">
        <f>E523-D523</f>
        <v>-27622.80228230849</v>
      </c>
      <c r="G523" s="287"/>
      <c r="H523" s="284"/>
      <c r="I523" s="288"/>
      <c r="J523" s="286"/>
      <c r="K523" s="286"/>
      <c r="L523" s="289"/>
      <c r="M523" s="290"/>
      <c r="N523" s="288"/>
      <c r="O523" s="286"/>
      <c r="P523" s="286"/>
      <c r="Q523" s="287"/>
      <c r="S523" s="288"/>
      <c r="T523" s="286"/>
      <c r="U523" s="286"/>
      <c r="V523" s="287"/>
      <c r="X523" s="288"/>
      <c r="Y523" s="286"/>
      <c r="Z523" s="286"/>
      <c r="AA523" s="287"/>
      <c r="AC523" s="288"/>
      <c r="AD523" s="286"/>
      <c r="AE523" s="286"/>
      <c r="AF523" s="287"/>
      <c r="AH523" s="288"/>
      <c r="AI523" s="286"/>
      <c r="AJ523" s="286"/>
      <c r="AK523" s="287"/>
      <c r="AM523" s="288"/>
      <c r="AN523" s="286"/>
      <c r="AO523" s="286"/>
      <c r="AP523" s="287"/>
      <c r="AR523" s="288"/>
      <c r="AS523" s="286"/>
      <c r="AT523" s="286"/>
      <c r="AU523" s="287"/>
      <c r="AW523" s="288"/>
      <c r="AX523" s="286"/>
      <c r="AY523" s="286"/>
      <c r="AZ523" s="287"/>
      <c r="BB523" s="288"/>
      <c r="BC523" s="286"/>
      <c r="BD523" s="286"/>
      <c r="BE523" s="287"/>
      <c r="BG523" s="288"/>
      <c r="BH523" s="286"/>
      <c r="BI523" s="286"/>
      <c r="BJ523" s="287"/>
      <c r="BL523" s="288"/>
      <c r="BM523" s="286"/>
      <c r="BN523" s="286"/>
      <c r="BO523" s="289"/>
    </row>
    <row r="524" spans="2:67" s="339" customFormat="1">
      <c r="B524" s="365" t="s">
        <v>400</v>
      </c>
      <c r="C524" s="339" t="s">
        <v>393</v>
      </c>
      <c r="D524" s="330">
        <f>G468</f>
        <v>100795.10499894025</v>
      </c>
      <c r="E524" s="326">
        <f>H468</f>
        <v>57739.943333333329</v>
      </c>
      <c r="F524" s="326">
        <f>E524-D524</f>
        <v>-43055.161665606924</v>
      </c>
      <c r="G524" s="287"/>
      <c r="H524" s="284"/>
      <c r="I524" s="288"/>
      <c r="J524" s="286"/>
      <c r="K524" s="286"/>
      <c r="L524" s="289"/>
      <c r="M524" s="290"/>
      <c r="N524" s="288"/>
      <c r="O524" s="286"/>
      <c r="P524" s="286"/>
      <c r="Q524" s="287"/>
      <c r="S524" s="288"/>
      <c r="T524" s="286"/>
      <c r="U524" s="286"/>
      <c r="V524" s="287"/>
      <c r="X524" s="288"/>
      <c r="Y524" s="286"/>
      <c r="Z524" s="286"/>
      <c r="AA524" s="287"/>
      <c r="AC524" s="288"/>
      <c r="AD524" s="286"/>
      <c r="AE524" s="286"/>
      <c r="AF524" s="287"/>
      <c r="AH524" s="288"/>
      <c r="AI524" s="286"/>
      <c r="AJ524" s="286"/>
      <c r="AK524" s="287"/>
      <c r="AM524" s="288"/>
      <c r="AN524" s="286"/>
      <c r="AO524" s="286"/>
      <c r="AP524" s="287"/>
      <c r="AR524" s="288"/>
      <c r="AS524" s="286"/>
      <c r="AT524" s="286"/>
      <c r="AU524" s="287"/>
      <c r="AW524" s="288"/>
      <c r="AX524" s="286"/>
      <c r="AY524" s="286"/>
      <c r="AZ524" s="287"/>
      <c r="BB524" s="288"/>
      <c r="BC524" s="286"/>
      <c r="BD524" s="286"/>
      <c r="BE524" s="287"/>
      <c r="BG524" s="288"/>
      <c r="BH524" s="286"/>
      <c r="BI524" s="286"/>
      <c r="BJ524" s="287"/>
      <c r="BL524" s="288"/>
      <c r="BM524" s="286"/>
      <c r="BN524" s="286"/>
      <c r="BO524" s="289"/>
    </row>
    <row r="525" spans="2:67" s="339" customFormat="1">
      <c r="B525" s="365" t="s">
        <v>401</v>
      </c>
      <c r="C525" s="339" t="s">
        <v>402</v>
      </c>
      <c r="D525" s="330">
        <f>G467</f>
        <v>11417.649333435278</v>
      </c>
      <c r="E525" s="326">
        <f>H467</f>
        <v>8476.2733333333326</v>
      </c>
      <c r="F525" s="326">
        <f>E525-D525</f>
        <v>-2941.3760001019455</v>
      </c>
      <c r="G525" s="287"/>
      <c r="H525" s="284"/>
      <c r="I525" s="288"/>
      <c r="J525" s="286"/>
      <c r="K525" s="286"/>
      <c r="L525" s="289"/>
      <c r="M525" s="290"/>
      <c r="N525" s="288"/>
      <c r="O525" s="286"/>
      <c r="P525" s="286"/>
      <c r="Q525" s="287"/>
      <c r="S525" s="288"/>
      <c r="T525" s="286"/>
      <c r="U525" s="286"/>
      <c r="V525" s="287"/>
      <c r="X525" s="288"/>
      <c r="Y525" s="286"/>
      <c r="Z525" s="286"/>
      <c r="AA525" s="287"/>
      <c r="AC525" s="288"/>
      <c r="AD525" s="286"/>
      <c r="AE525" s="286"/>
      <c r="AF525" s="287"/>
      <c r="AH525" s="288"/>
      <c r="AI525" s="286"/>
      <c r="AJ525" s="286"/>
      <c r="AK525" s="287"/>
      <c r="AM525" s="288"/>
      <c r="AN525" s="286"/>
      <c r="AO525" s="286"/>
      <c r="AP525" s="287"/>
      <c r="AR525" s="288"/>
      <c r="AS525" s="286"/>
      <c r="AT525" s="286"/>
      <c r="AU525" s="287"/>
      <c r="AW525" s="288"/>
      <c r="AX525" s="286"/>
      <c r="AY525" s="286"/>
      <c r="AZ525" s="287"/>
      <c r="BB525" s="288"/>
      <c r="BC525" s="286"/>
      <c r="BD525" s="286"/>
      <c r="BE525" s="287"/>
      <c r="BG525" s="288"/>
      <c r="BH525" s="286"/>
      <c r="BI525" s="286"/>
      <c r="BJ525" s="287"/>
      <c r="BL525" s="288"/>
      <c r="BM525" s="286"/>
      <c r="BN525" s="286"/>
      <c r="BO525" s="289"/>
    </row>
    <row r="526" spans="2:67" s="339" customFormat="1">
      <c r="B526" s="339" t="s">
        <v>396</v>
      </c>
      <c r="D526" s="330"/>
      <c r="E526" s="326"/>
      <c r="F526" s="326"/>
      <c r="G526" s="287"/>
      <c r="H526" s="284"/>
      <c r="I526" s="288"/>
      <c r="J526" s="286"/>
      <c r="K526" s="286"/>
      <c r="L526" s="289"/>
      <c r="M526" s="290"/>
      <c r="N526" s="288"/>
      <c r="O526" s="286"/>
      <c r="P526" s="286"/>
      <c r="Q526" s="287"/>
      <c r="S526" s="288"/>
      <c r="T526" s="286"/>
      <c r="U526" s="286"/>
      <c r="V526" s="287"/>
      <c r="X526" s="288"/>
      <c r="Y526" s="286"/>
      <c r="Z526" s="286"/>
      <c r="AA526" s="287"/>
      <c r="AC526" s="288"/>
      <c r="AD526" s="286"/>
      <c r="AE526" s="286"/>
      <c r="AF526" s="287"/>
      <c r="AH526" s="288"/>
      <c r="AI526" s="286"/>
      <c r="AJ526" s="286"/>
      <c r="AK526" s="287"/>
      <c r="AM526" s="288"/>
      <c r="AN526" s="286"/>
      <c r="AO526" s="286"/>
      <c r="AP526" s="287"/>
      <c r="AR526" s="288"/>
      <c r="AS526" s="286"/>
      <c r="AT526" s="286"/>
      <c r="AU526" s="287"/>
      <c r="AW526" s="288"/>
      <c r="AX526" s="286"/>
      <c r="AY526" s="286"/>
      <c r="AZ526" s="287"/>
      <c r="BB526" s="288"/>
      <c r="BC526" s="286"/>
      <c r="BD526" s="286"/>
      <c r="BE526" s="287"/>
      <c r="BG526" s="288"/>
      <c r="BH526" s="286"/>
      <c r="BI526" s="286"/>
      <c r="BJ526" s="287"/>
      <c r="BL526" s="288"/>
      <c r="BM526" s="286"/>
      <c r="BN526" s="286"/>
      <c r="BO526" s="289"/>
    </row>
    <row r="527" spans="2:67" s="339" customFormat="1">
      <c r="B527" s="339" t="s">
        <v>403</v>
      </c>
      <c r="D527" s="330">
        <f>D523+D525+D524</f>
        <v>319239.69661468407</v>
      </c>
      <c r="E527" s="326">
        <f>E523+E525+E524</f>
        <v>245620.35666666669</v>
      </c>
      <c r="F527" s="326">
        <f>E527-D527</f>
        <v>-73619.339948017383</v>
      </c>
      <c r="G527" s="287"/>
      <c r="H527" s="284"/>
      <c r="I527" s="288"/>
      <c r="J527" s="286"/>
      <c r="K527" s="286"/>
      <c r="L527" s="289"/>
      <c r="M527" s="290"/>
      <c r="N527" s="288"/>
      <c r="O527" s="286"/>
      <c r="P527" s="286"/>
      <c r="Q527" s="287"/>
      <c r="S527" s="288"/>
      <c r="T527" s="286"/>
      <c r="U527" s="286"/>
      <c r="V527" s="287"/>
      <c r="X527" s="288"/>
      <c r="Y527" s="286"/>
      <c r="Z527" s="286"/>
      <c r="AA527" s="287"/>
      <c r="AC527" s="288"/>
      <c r="AD527" s="286"/>
      <c r="AE527" s="286"/>
      <c r="AF527" s="287"/>
      <c r="AH527" s="288"/>
      <c r="AI527" s="286"/>
      <c r="AJ527" s="286"/>
      <c r="AK527" s="287"/>
      <c r="AM527" s="288"/>
      <c r="AN527" s="286"/>
      <c r="AO527" s="286"/>
      <c r="AP527" s="287"/>
      <c r="AR527" s="288"/>
      <c r="AS527" s="286"/>
      <c r="AT527" s="286"/>
      <c r="AU527" s="287"/>
      <c r="AW527" s="288"/>
      <c r="AX527" s="286"/>
      <c r="AY527" s="286"/>
      <c r="AZ527" s="287"/>
      <c r="BB527" s="288"/>
      <c r="BC527" s="286"/>
      <c r="BD527" s="286"/>
      <c r="BE527" s="287"/>
      <c r="BG527" s="288"/>
      <c r="BH527" s="286"/>
      <c r="BI527" s="286"/>
      <c r="BJ527" s="287"/>
      <c r="BL527" s="288"/>
      <c r="BM527" s="286"/>
      <c r="BN527" s="286"/>
      <c r="BO527" s="289"/>
    </row>
    <row r="528" spans="2:67" s="339" customFormat="1">
      <c r="B528" s="339" t="s">
        <v>396</v>
      </c>
      <c r="D528" s="330"/>
      <c r="E528" s="326"/>
      <c r="F528" s="326"/>
      <c r="G528" s="287"/>
      <c r="H528" s="284"/>
      <c r="I528" s="288"/>
      <c r="J528" s="286"/>
      <c r="K528" s="286"/>
      <c r="L528" s="289"/>
      <c r="M528" s="290"/>
      <c r="N528" s="288"/>
      <c r="O528" s="286"/>
      <c r="P528" s="286"/>
      <c r="Q528" s="287"/>
      <c r="S528" s="288"/>
      <c r="T528" s="286"/>
      <c r="U528" s="286"/>
      <c r="V528" s="287"/>
      <c r="X528" s="288"/>
      <c r="Y528" s="286"/>
      <c r="Z528" s="286"/>
      <c r="AA528" s="287"/>
      <c r="AC528" s="288"/>
      <c r="AD528" s="286"/>
      <c r="AE528" s="286"/>
      <c r="AF528" s="287"/>
      <c r="AH528" s="288"/>
      <c r="AI528" s="286"/>
      <c r="AJ528" s="286"/>
      <c r="AK528" s="287"/>
      <c r="AM528" s="288"/>
      <c r="AN528" s="286"/>
      <c r="AO528" s="286"/>
      <c r="AP528" s="287"/>
      <c r="AR528" s="288"/>
      <c r="AS528" s="286"/>
      <c r="AT528" s="286"/>
      <c r="AU528" s="287"/>
      <c r="AW528" s="288"/>
      <c r="AX528" s="286"/>
      <c r="AY528" s="286"/>
      <c r="AZ528" s="287"/>
      <c r="BB528" s="288"/>
      <c r="BC528" s="286"/>
      <c r="BD528" s="286"/>
      <c r="BE528" s="287"/>
      <c r="BG528" s="288"/>
      <c r="BH528" s="286"/>
      <c r="BI528" s="286"/>
      <c r="BJ528" s="287"/>
      <c r="BL528" s="288"/>
      <c r="BM528" s="286"/>
      <c r="BN528" s="286"/>
      <c r="BO528" s="289"/>
    </row>
    <row r="529" spans="2:67" s="339" customFormat="1">
      <c r="B529" s="365" t="s">
        <v>406</v>
      </c>
      <c r="C529" s="339" t="s">
        <v>395</v>
      </c>
      <c r="D529" s="330">
        <f>G475</f>
        <v>351851.59924901254</v>
      </c>
      <c r="E529" s="326">
        <f>H475</f>
        <v>233994.25</v>
      </c>
      <c r="F529" s="326">
        <f>E529-D529</f>
        <v>-117857.34924901254</v>
      </c>
      <c r="G529" s="287"/>
      <c r="H529" s="284"/>
      <c r="I529" s="288"/>
      <c r="J529" s="286"/>
      <c r="K529" s="286"/>
      <c r="L529" s="289"/>
      <c r="M529" s="290"/>
      <c r="N529" s="288"/>
      <c r="O529" s="286"/>
      <c r="P529" s="286"/>
      <c r="Q529" s="287"/>
      <c r="S529" s="288"/>
      <c r="T529" s="286"/>
      <c r="U529" s="286"/>
      <c r="V529" s="287"/>
      <c r="X529" s="288"/>
      <c r="Y529" s="286"/>
      <c r="Z529" s="286"/>
      <c r="AA529" s="287"/>
      <c r="AC529" s="288"/>
      <c r="AD529" s="286"/>
      <c r="AE529" s="286"/>
      <c r="AF529" s="287"/>
      <c r="AH529" s="288"/>
      <c r="AI529" s="286"/>
      <c r="AJ529" s="286"/>
      <c r="AK529" s="287"/>
      <c r="AM529" s="288"/>
      <c r="AN529" s="286"/>
      <c r="AO529" s="286"/>
      <c r="AP529" s="287"/>
      <c r="AR529" s="288"/>
      <c r="AS529" s="286"/>
      <c r="AT529" s="286"/>
      <c r="AU529" s="287"/>
      <c r="AW529" s="288"/>
      <c r="AX529" s="286"/>
      <c r="AY529" s="286"/>
      <c r="AZ529" s="287"/>
      <c r="BB529" s="288"/>
      <c r="BC529" s="286"/>
      <c r="BD529" s="286"/>
      <c r="BE529" s="287"/>
      <c r="BG529" s="288"/>
      <c r="BH529" s="286"/>
      <c r="BI529" s="286"/>
      <c r="BJ529" s="287"/>
      <c r="BL529" s="288"/>
      <c r="BM529" s="286"/>
      <c r="BN529" s="286"/>
      <c r="BO529" s="289"/>
    </row>
    <row r="530" spans="2:67" s="339" customFormat="1">
      <c r="D530" s="330"/>
      <c r="E530" s="326"/>
      <c r="F530" s="326"/>
      <c r="G530" s="287"/>
      <c r="H530" s="284"/>
      <c r="I530" s="288"/>
      <c r="J530" s="286"/>
      <c r="K530" s="286"/>
      <c r="L530" s="289"/>
      <c r="M530" s="290"/>
      <c r="N530" s="288"/>
      <c r="O530" s="286"/>
      <c r="P530" s="286"/>
      <c r="Q530" s="287"/>
      <c r="S530" s="288"/>
      <c r="T530" s="286"/>
      <c r="U530" s="286"/>
      <c r="V530" s="287"/>
      <c r="X530" s="288"/>
      <c r="Y530" s="286"/>
      <c r="Z530" s="286"/>
      <c r="AA530" s="287"/>
      <c r="AC530" s="288"/>
      <c r="AD530" s="286"/>
      <c r="AE530" s="286"/>
      <c r="AF530" s="287"/>
      <c r="AH530" s="288"/>
      <c r="AI530" s="286"/>
      <c r="AJ530" s="286"/>
      <c r="AK530" s="287"/>
      <c r="AM530" s="288"/>
      <c r="AN530" s="286"/>
      <c r="AO530" s="286"/>
      <c r="AP530" s="287"/>
      <c r="AR530" s="288"/>
      <c r="AS530" s="286"/>
      <c r="AT530" s="286"/>
      <c r="AU530" s="287"/>
      <c r="AW530" s="288"/>
      <c r="AX530" s="286"/>
      <c r="AY530" s="286"/>
      <c r="AZ530" s="287"/>
      <c r="BB530" s="288"/>
      <c r="BC530" s="286"/>
      <c r="BD530" s="286"/>
      <c r="BE530" s="287"/>
      <c r="BG530" s="288"/>
      <c r="BH530" s="286"/>
      <c r="BI530" s="286"/>
      <c r="BJ530" s="287"/>
      <c r="BL530" s="288"/>
      <c r="BM530" s="286"/>
      <c r="BN530" s="286"/>
      <c r="BO530" s="289"/>
    </row>
    <row r="531" spans="2:67" s="339" customFormat="1">
      <c r="B531" s="365" t="s">
        <v>439</v>
      </c>
      <c r="C531" s="339" t="s">
        <v>432</v>
      </c>
      <c r="D531" s="330">
        <f>G460</f>
        <v>0</v>
      </c>
      <c r="E531" s="326">
        <f>H460</f>
        <v>0</v>
      </c>
      <c r="F531" s="326">
        <f>E531-D531</f>
        <v>0</v>
      </c>
      <c r="G531" s="287"/>
      <c r="H531" s="284"/>
      <c r="I531" s="288"/>
      <c r="J531" s="286"/>
      <c r="K531" s="286"/>
      <c r="L531" s="289"/>
      <c r="M531" s="290"/>
      <c r="N531" s="288"/>
      <c r="O531" s="286"/>
      <c r="P531" s="286"/>
      <c r="Q531" s="287"/>
      <c r="S531" s="288"/>
      <c r="T531" s="286"/>
      <c r="U531" s="286"/>
      <c r="V531" s="287"/>
      <c r="X531" s="288"/>
      <c r="Y531" s="286"/>
      <c r="Z531" s="286"/>
      <c r="AA531" s="287"/>
      <c r="AC531" s="288"/>
      <c r="AD531" s="286"/>
      <c r="AE531" s="286"/>
      <c r="AF531" s="287"/>
      <c r="AH531" s="288"/>
      <c r="AI531" s="286"/>
      <c r="AJ531" s="286"/>
      <c r="AK531" s="287"/>
      <c r="AM531" s="288"/>
      <c r="AN531" s="286"/>
      <c r="AO531" s="286"/>
      <c r="AP531" s="287"/>
      <c r="AR531" s="288"/>
      <c r="AS531" s="286"/>
      <c r="AT531" s="286"/>
      <c r="AU531" s="287"/>
      <c r="AW531" s="288"/>
      <c r="AX531" s="286"/>
      <c r="AY531" s="286"/>
      <c r="AZ531" s="287"/>
      <c r="BB531" s="288"/>
      <c r="BC531" s="286"/>
      <c r="BD531" s="286"/>
      <c r="BE531" s="287"/>
      <c r="BG531" s="288"/>
      <c r="BH531" s="286"/>
      <c r="BI531" s="286"/>
      <c r="BJ531" s="287"/>
      <c r="BL531" s="288"/>
      <c r="BM531" s="286"/>
      <c r="BN531" s="286"/>
      <c r="BO531" s="289"/>
    </row>
    <row r="532" spans="2:67" s="339" customFormat="1">
      <c r="B532" s="339" t="s">
        <v>442</v>
      </c>
      <c r="D532" s="330"/>
      <c r="E532" s="326"/>
      <c r="F532" s="326"/>
      <c r="G532" s="287"/>
      <c r="H532" s="284"/>
      <c r="I532" s="288"/>
      <c r="J532" s="286"/>
      <c r="K532" s="286"/>
      <c r="L532" s="289"/>
      <c r="M532" s="290"/>
      <c r="N532" s="288"/>
      <c r="O532" s="286"/>
      <c r="P532" s="286"/>
      <c r="Q532" s="287"/>
      <c r="S532" s="288"/>
      <c r="T532" s="286"/>
      <c r="U532" s="286"/>
      <c r="V532" s="287"/>
      <c r="X532" s="288"/>
      <c r="Y532" s="286"/>
      <c r="Z532" s="286"/>
      <c r="AA532" s="287"/>
      <c r="AC532" s="288"/>
      <c r="AD532" s="286"/>
      <c r="AE532" s="286"/>
      <c r="AF532" s="287"/>
      <c r="AH532" s="288"/>
      <c r="AI532" s="286"/>
      <c r="AJ532" s="286"/>
      <c r="AK532" s="287"/>
      <c r="AM532" s="288"/>
      <c r="AN532" s="286"/>
      <c r="AO532" s="286"/>
      <c r="AP532" s="287"/>
      <c r="AR532" s="288"/>
      <c r="AS532" s="286"/>
      <c r="AT532" s="286"/>
      <c r="AU532" s="287"/>
      <c r="AW532" s="288"/>
      <c r="AX532" s="286"/>
      <c r="AY532" s="286"/>
      <c r="AZ532" s="287"/>
      <c r="BB532" s="288"/>
      <c r="BC532" s="286"/>
      <c r="BD532" s="286"/>
      <c r="BE532" s="287"/>
      <c r="BG532" s="288"/>
      <c r="BH532" s="286"/>
      <c r="BI532" s="286"/>
      <c r="BJ532" s="287"/>
      <c r="BL532" s="288"/>
      <c r="BM532" s="286"/>
      <c r="BN532" s="286"/>
      <c r="BO532" s="289"/>
    </row>
    <row r="533" spans="2:67" s="339" customFormat="1">
      <c r="B533" s="365" t="s">
        <v>433</v>
      </c>
      <c r="C533" s="339" t="s">
        <v>390</v>
      </c>
      <c r="D533" s="330">
        <f>G466</f>
        <v>0</v>
      </c>
      <c r="E533" s="326">
        <f>H466</f>
        <v>-10856.116666666667</v>
      </c>
      <c r="F533" s="326">
        <f>E533-D533</f>
        <v>-10856.116666666667</v>
      </c>
      <c r="G533" s="287"/>
      <c r="H533" s="284"/>
      <c r="I533" s="288"/>
      <c r="J533" s="286"/>
      <c r="K533" s="286"/>
      <c r="L533" s="289"/>
      <c r="M533" s="290"/>
      <c r="N533" s="288"/>
      <c r="O533" s="286"/>
      <c r="P533" s="286"/>
      <c r="Q533" s="287"/>
      <c r="S533" s="288"/>
      <c r="T533" s="286"/>
      <c r="U533" s="286"/>
      <c r="V533" s="287"/>
      <c r="X533" s="288"/>
      <c r="Y533" s="286"/>
      <c r="Z533" s="286"/>
      <c r="AA533" s="287"/>
      <c r="AC533" s="288"/>
      <c r="AD533" s="286"/>
      <c r="AE533" s="286"/>
      <c r="AF533" s="287"/>
      <c r="AH533" s="288"/>
      <c r="AI533" s="286"/>
      <c r="AJ533" s="286"/>
      <c r="AK533" s="287"/>
      <c r="AM533" s="288"/>
      <c r="AN533" s="286"/>
      <c r="AO533" s="286"/>
      <c r="AP533" s="287"/>
      <c r="AR533" s="288"/>
      <c r="AS533" s="286"/>
      <c r="AT533" s="286"/>
      <c r="AU533" s="287"/>
      <c r="AW533" s="288"/>
      <c r="AX533" s="286"/>
      <c r="AY533" s="286"/>
      <c r="AZ533" s="287"/>
      <c r="BB533" s="288"/>
      <c r="BC533" s="286"/>
      <c r="BD533" s="286"/>
      <c r="BE533" s="287"/>
      <c r="BG533" s="288"/>
      <c r="BH533" s="286"/>
      <c r="BI533" s="286"/>
      <c r="BJ533" s="287"/>
      <c r="BL533" s="288"/>
      <c r="BM533" s="286"/>
      <c r="BN533" s="286"/>
      <c r="BO533" s="289"/>
    </row>
    <row r="534" spans="2:67" s="339" customFormat="1">
      <c r="D534" s="330"/>
      <c r="E534" s="326"/>
      <c r="F534" s="326"/>
      <c r="G534" s="287"/>
      <c r="H534" s="284"/>
      <c r="I534" s="288"/>
      <c r="J534" s="286"/>
      <c r="K534" s="286"/>
      <c r="L534" s="289"/>
      <c r="M534" s="290"/>
      <c r="N534" s="288"/>
      <c r="O534" s="286"/>
      <c r="P534" s="286"/>
      <c r="Q534" s="287"/>
      <c r="S534" s="288"/>
      <c r="T534" s="286"/>
      <c r="U534" s="286"/>
      <c r="V534" s="287"/>
      <c r="X534" s="288"/>
      <c r="Y534" s="286"/>
      <c r="Z534" s="286"/>
      <c r="AA534" s="287"/>
      <c r="AC534" s="288"/>
      <c r="AD534" s="286"/>
      <c r="AE534" s="286"/>
      <c r="AF534" s="287"/>
      <c r="AH534" s="288"/>
      <c r="AI534" s="286"/>
      <c r="AJ534" s="286"/>
      <c r="AK534" s="287"/>
      <c r="AM534" s="288"/>
      <c r="AN534" s="286"/>
      <c r="AO534" s="286"/>
      <c r="AP534" s="287"/>
      <c r="AR534" s="288"/>
      <c r="AS534" s="286"/>
      <c r="AT534" s="286"/>
      <c r="AU534" s="287"/>
      <c r="AW534" s="288"/>
      <c r="AX534" s="286"/>
      <c r="AY534" s="286"/>
      <c r="AZ534" s="287"/>
      <c r="BB534" s="288"/>
      <c r="BC534" s="286"/>
      <c r="BD534" s="286"/>
      <c r="BE534" s="287"/>
      <c r="BG534" s="288"/>
      <c r="BH534" s="286"/>
      <c r="BI534" s="286"/>
      <c r="BJ534" s="287"/>
      <c r="BL534" s="288"/>
      <c r="BM534" s="286"/>
      <c r="BN534" s="286"/>
      <c r="BO534" s="289"/>
    </row>
    <row r="535" spans="2:67" s="339" customFormat="1">
      <c r="B535" s="365" t="s">
        <v>407</v>
      </c>
      <c r="C535" s="339" t="s">
        <v>390</v>
      </c>
      <c r="D535" s="330">
        <f>G469</f>
        <v>125396.9415436268</v>
      </c>
      <c r="E535" s="326">
        <f>H469</f>
        <v>80322.91333333333</v>
      </c>
      <c r="F535" s="326">
        <f>E535-D535</f>
        <v>-45074.028210293473</v>
      </c>
      <c r="G535" s="287"/>
      <c r="H535" s="284"/>
      <c r="I535" s="288"/>
      <c r="J535" s="286"/>
      <c r="K535" s="286"/>
      <c r="L535" s="289"/>
      <c r="M535" s="290"/>
      <c r="N535" s="288"/>
      <c r="O535" s="286"/>
      <c r="P535" s="286"/>
      <c r="Q535" s="287"/>
      <c r="S535" s="288"/>
      <c r="T535" s="286"/>
      <c r="U535" s="286"/>
      <c r="V535" s="287"/>
      <c r="X535" s="288"/>
      <c r="Y535" s="286"/>
      <c r="Z535" s="286"/>
      <c r="AA535" s="287"/>
      <c r="AC535" s="288"/>
      <c r="AD535" s="286"/>
      <c r="AE535" s="286"/>
      <c r="AF535" s="287"/>
      <c r="AH535" s="288"/>
      <c r="AI535" s="286"/>
      <c r="AJ535" s="286"/>
      <c r="AK535" s="287"/>
      <c r="AM535" s="288"/>
      <c r="AN535" s="286"/>
      <c r="AO535" s="286"/>
      <c r="AP535" s="287"/>
      <c r="AR535" s="288"/>
      <c r="AS535" s="286"/>
      <c r="AT535" s="286"/>
      <c r="AU535" s="287"/>
      <c r="AW535" s="288"/>
      <c r="AX535" s="286"/>
      <c r="AY535" s="286"/>
      <c r="AZ535" s="287"/>
      <c r="BB535" s="288"/>
      <c r="BC535" s="286"/>
      <c r="BD535" s="286"/>
      <c r="BE535" s="287"/>
      <c r="BG535" s="288"/>
      <c r="BH535" s="286"/>
      <c r="BI535" s="286"/>
      <c r="BJ535" s="287"/>
      <c r="BL535" s="288"/>
      <c r="BM535" s="286"/>
      <c r="BN535" s="286"/>
      <c r="BO535" s="289"/>
    </row>
    <row r="536" spans="2:67" s="339" customFormat="1">
      <c r="B536" s="339" t="s">
        <v>396</v>
      </c>
      <c r="D536" s="330"/>
      <c r="E536" s="326"/>
      <c r="F536" s="326"/>
      <c r="G536" s="287"/>
      <c r="H536" s="284"/>
      <c r="I536" s="288"/>
      <c r="J536" s="286"/>
      <c r="K536" s="286"/>
      <c r="L536" s="289"/>
      <c r="M536" s="290"/>
      <c r="N536" s="288"/>
      <c r="O536" s="286"/>
      <c r="P536" s="286"/>
      <c r="Q536" s="287"/>
      <c r="S536" s="288"/>
      <c r="T536" s="286"/>
      <c r="U536" s="286"/>
      <c r="V536" s="287"/>
      <c r="X536" s="288"/>
      <c r="Y536" s="286"/>
      <c r="Z536" s="286"/>
      <c r="AA536" s="287"/>
      <c r="AC536" s="288"/>
      <c r="AD536" s="286"/>
      <c r="AE536" s="286"/>
      <c r="AF536" s="287"/>
      <c r="AH536" s="288"/>
      <c r="AI536" s="286"/>
      <c r="AJ536" s="286"/>
      <c r="AK536" s="287"/>
      <c r="AM536" s="288"/>
      <c r="AN536" s="286"/>
      <c r="AO536" s="286"/>
      <c r="AP536" s="287"/>
      <c r="AR536" s="288"/>
      <c r="AS536" s="286"/>
      <c r="AT536" s="286"/>
      <c r="AU536" s="287"/>
      <c r="AW536" s="288"/>
      <c r="AX536" s="286"/>
      <c r="AY536" s="286"/>
      <c r="AZ536" s="287"/>
      <c r="BB536" s="288"/>
      <c r="BC536" s="286"/>
      <c r="BD536" s="286"/>
      <c r="BE536" s="287"/>
      <c r="BG536" s="288"/>
      <c r="BH536" s="286"/>
      <c r="BI536" s="286"/>
      <c r="BJ536" s="287"/>
      <c r="BL536" s="288"/>
      <c r="BM536" s="286"/>
      <c r="BN536" s="286"/>
      <c r="BO536" s="289"/>
    </row>
    <row r="537" spans="2:67" s="339" customFormat="1">
      <c r="B537" s="339" t="s">
        <v>408</v>
      </c>
      <c r="D537" s="330">
        <f>SUM(D529:D535)</f>
        <v>477248.54079263937</v>
      </c>
      <c r="E537" s="326">
        <f>SUM(E529:E535)</f>
        <v>303461.04666666663</v>
      </c>
      <c r="F537" s="326">
        <f>E537-D537</f>
        <v>-173787.49412597273</v>
      </c>
      <c r="G537" s="287"/>
      <c r="H537" s="284"/>
      <c r="I537" s="288"/>
      <c r="J537" s="286"/>
      <c r="K537" s="286"/>
      <c r="L537" s="289"/>
      <c r="M537" s="290"/>
      <c r="N537" s="288"/>
      <c r="O537" s="286"/>
      <c r="P537" s="286"/>
      <c r="Q537" s="287"/>
      <c r="S537" s="288"/>
      <c r="T537" s="286"/>
      <c r="U537" s="286"/>
      <c r="V537" s="287"/>
      <c r="X537" s="288"/>
      <c r="Y537" s="286"/>
      <c r="Z537" s="286"/>
      <c r="AA537" s="287"/>
      <c r="AC537" s="288"/>
      <c r="AD537" s="286"/>
      <c r="AE537" s="286"/>
      <c r="AF537" s="287"/>
      <c r="AH537" s="288"/>
      <c r="AI537" s="286"/>
      <c r="AJ537" s="286"/>
      <c r="AK537" s="287"/>
      <c r="AM537" s="288"/>
      <c r="AN537" s="286"/>
      <c r="AO537" s="286"/>
      <c r="AP537" s="287"/>
      <c r="AR537" s="288"/>
      <c r="AS537" s="286"/>
      <c r="AT537" s="286"/>
      <c r="AU537" s="287"/>
      <c r="AW537" s="288"/>
      <c r="AX537" s="286"/>
      <c r="AY537" s="286"/>
      <c r="AZ537" s="287"/>
      <c r="BB537" s="288"/>
      <c r="BC537" s="286"/>
      <c r="BD537" s="286"/>
      <c r="BE537" s="287"/>
      <c r="BG537" s="288"/>
      <c r="BH537" s="286"/>
      <c r="BI537" s="286"/>
      <c r="BJ537" s="287"/>
      <c r="BL537" s="288"/>
      <c r="BM537" s="286"/>
      <c r="BN537" s="286"/>
      <c r="BO537" s="289"/>
    </row>
    <row r="538" spans="2:67" s="339" customFormat="1">
      <c r="B538" s="339" t="s">
        <v>396</v>
      </c>
      <c r="D538" s="330"/>
      <c r="E538" s="326"/>
      <c r="F538" s="326"/>
      <c r="G538" s="287"/>
      <c r="H538" s="284"/>
      <c r="I538" s="288"/>
      <c r="J538" s="286"/>
      <c r="K538" s="286"/>
      <c r="L538" s="289"/>
      <c r="M538" s="290"/>
      <c r="N538" s="288"/>
      <c r="O538" s="286"/>
      <c r="P538" s="286"/>
      <c r="Q538" s="287"/>
      <c r="S538" s="288"/>
      <c r="T538" s="286"/>
      <c r="U538" s="286"/>
      <c r="V538" s="287"/>
      <c r="X538" s="288"/>
      <c r="Y538" s="286"/>
      <c r="Z538" s="286"/>
      <c r="AA538" s="287"/>
      <c r="AC538" s="288"/>
      <c r="AD538" s="286"/>
      <c r="AE538" s="286"/>
      <c r="AF538" s="287"/>
      <c r="AH538" s="288"/>
      <c r="AI538" s="286"/>
      <c r="AJ538" s="286"/>
      <c r="AK538" s="287"/>
      <c r="AM538" s="288"/>
      <c r="AN538" s="286"/>
      <c r="AO538" s="286"/>
      <c r="AP538" s="287"/>
      <c r="AR538" s="288"/>
      <c r="AS538" s="286"/>
      <c r="AT538" s="286"/>
      <c r="AU538" s="287"/>
      <c r="AW538" s="288"/>
      <c r="AX538" s="286"/>
      <c r="AY538" s="286"/>
      <c r="AZ538" s="287"/>
      <c r="BB538" s="288"/>
      <c r="BC538" s="286"/>
      <c r="BD538" s="286"/>
      <c r="BE538" s="287"/>
      <c r="BG538" s="288"/>
      <c r="BH538" s="286"/>
      <c r="BI538" s="286"/>
      <c r="BJ538" s="287"/>
      <c r="BL538" s="288"/>
      <c r="BM538" s="286"/>
      <c r="BN538" s="286"/>
      <c r="BO538" s="289"/>
    </row>
    <row r="539" spans="2:67" s="339" customFormat="1">
      <c r="D539" s="330"/>
      <c r="E539" s="326"/>
      <c r="F539" s="326"/>
      <c r="G539" s="287"/>
      <c r="H539" s="284"/>
      <c r="I539" s="288"/>
      <c r="J539" s="286"/>
      <c r="K539" s="286"/>
      <c r="L539" s="289"/>
      <c r="M539" s="290"/>
      <c r="N539" s="288"/>
      <c r="O539" s="286"/>
      <c r="P539" s="286"/>
      <c r="Q539" s="287"/>
      <c r="S539" s="288"/>
      <c r="T539" s="286"/>
      <c r="U539" s="286"/>
      <c r="V539" s="287"/>
      <c r="X539" s="288"/>
      <c r="Y539" s="286"/>
      <c r="Z539" s="286"/>
      <c r="AA539" s="287"/>
      <c r="AC539" s="288"/>
      <c r="AD539" s="286"/>
      <c r="AE539" s="286"/>
      <c r="AF539" s="287"/>
      <c r="AH539" s="288"/>
      <c r="AI539" s="286"/>
      <c r="AJ539" s="286"/>
      <c r="AK539" s="287"/>
      <c r="AM539" s="288"/>
      <c r="AN539" s="286"/>
      <c r="AO539" s="286"/>
      <c r="AP539" s="287"/>
      <c r="AR539" s="288"/>
      <c r="AS539" s="286"/>
      <c r="AT539" s="286"/>
      <c r="AU539" s="287"/>
      <c r="AW539" s="288"/>
      <c r="AX539" s="286"/>
      <c r="AY539" s="286"/>
      <c r="AZ539" s="287"/>
      <c r="BB539" s="288"/>
      <c r="BC539" s="286"/>
      <c r="BD539" s="286"/>
      <c r="BE539" s="287"/>
      <c r="BG539" s="288"/>
      <c r="BH539" s="286"/>
      <c r="BI539" s="286"/>
      <c r="BJ539" s="287"/>
      <c r="BL539" s="288"/>
      <c r="BM539" s="286"/>
      <c r="BN539" s="286"/>
      <c r="BO539" s="289"/>
    </row>
    <row r="540" spans="2:67" s="339" customFormat="1">
      <c r="B540" s="339" t="s">
        <v>409</v>
      </c>
      <c r="D540" s="330"/>
      <c r="E540" s="326"/>
      <c r="F540" s="326"/>
      <c r="G540" s="287"/>
      <c r="H540" s="284"/>
      <c r="I540" s="288"/>
      <c r="J540" s="286"/>
      <c r="K540" s="286"/>
      <c r="L540" s="289"/>
      <c r="M540" s="290"/>
      <c r="N540" s="288"/>
      <c r="O540" s="286"/>
      <c r="P540" s="286"/>
      <c r="Q540" s="287"/>
      <c r="S540" s="288"/>
      <c r="T540" s="286"/>
      <c r="U540" s="286"/>
      <c r="V540" s="287"/>
      <c r="X540" s="288"/>
      <c r="Y540" s="286"/>
      <c r="Z540" s="286"/>
      <c r="AA540" s="287"/>
      <c r="AC540" s="288"/>
      <c r="AD540" s="286"/>
      <c r="AE540" s="286"/>
      <c r="AF540" s="287"/>
      <c r="AH540" s="288"/>
      <c r="AI540" s="286"/>
      <c r="AJ540" s="286"/>
      <c r="AK540" s="287"/>
      <c r="AM540" s="288"/>
      <c r="AN540" s="286"/>
      <c r="AO540" s="286"/>
      <c r="AP540" s="287"/>
      <c r="AR540" s="288"/>
      <c r="AS540" s="286"/>
      <c r="AT540" s="286"/>
      <c r="AU540" s="287"/>
      <c r="AW540" s="288"/>
      <c r="AX540" s="286"/>
      <c r="AY540" s="286"/>
      <c r="AZ540" s="287"/>
      <c r="BB540" s="288"/>
      <c r="BC540" s="286"/>
      <c r="BD540" s="286"/>
      <c r="BE540" s="287"/>
      <c r="BG540" s="288"/>
      <c r="BH540" s="286"/>
      <c r="BI540" s="286"/>
      <c r="BJ540" s="287"/>
      <c r="BL540" s="288"/>
      <c r="BM540" s="286"/>
      <c r="BN540" s="286"/>
      <c r="BO540" s="289"/>
    </row>
    <row r="541" spans="2:67" s="339" customFormat="1">
      <c r="B541" s="365" t="s">
        <v>410</v>
      </c>
      <c r="C541" s="339" t="s">
        <v>395</v>
      </c>
      <c r="D541" s="330">
        <f>G462</f>
        <v>167152.63420543665</v>
      </c>
      <c r="E541" s="326">
        <f>H462</f>
        <v>169226.35</v>
      </c>
      <c r="F541" s="326">
        <f>E541-D541</f>
        <v>2073.7157945633517</v>
      </c>
      <c r="G541" s="287"/>
      <c r="H541" s="284"/>
      <c r="I541" s="288"/>
      <c r="J541" s="286"/>
      <c r="K541" s="286"/>
      <c r="L541" s="289"/>
      <c r="M541" s="290"/>
      <c r="N541" s="288"/>
      <c r="O541" s="286"/>
      <c r="P541" s="286"/>
      <c r="Q541" s="287"/>
      <c r="S541" s="288"/>
      <c r="T541" s="286"/>
      <c r="U541" s="286"/>
      <c r="V541" s="287"/>
      <c r="X541" s="288"/>
      <c r="Y541" s="286"/>
      <c r="Z541" s="286"/>
      <c r="AA541" s="287"/>
      <c r="AC541" s="288"/>
      <c r="AD541" s="286"/>
      <c r="AE541" s="286"/>
      <c r="AF541" s="287"/>
      <c r="AH541" s="288"/>
      <c r="AI541" s="286"/>
      <c r="AJ541" s="286"/>
      <c r="AK541" s="287"/>
      <c r="AM541" s="288"/>
      <c r="AN541" s="286"/>
      <c r="AO541" s="286"/>
      <c r="AP541" s="287"/>
      <c r="AR541" s="288"/>
      <c r="AS541" s="286"/>
      <c r="AT541" s="286"/>
      <c r="AU541" s="287"/>
      <c r="AW541" s="288"/>
      <c r="AX541" s="286"/>
      <c r="AY541" s="286"/>
      <c r="AZ541" s="287"/>
      <c r="BB541" s="288"/>
      <c r="BC541" s="286"/>
      <c r="BD541" s="286"/>
      <c r="BE541" s="287"/>
      <c r="BG541" s="288"/>
      <c r="BH541" s="286"/>
      <c r="BI541" s="286"/>
      <c r="BJ541" s="287"/>
      <c r="BL541" s="288"/>
      <c r="BM541" s="286"/>
      <c r="BN541" s="286"/>
      <c r="BO541" s="289"/>
    </row>
    <row r="542" spans="2:67" s="339" customFormat="1">
      <c r="B542" s="339" t="s">
        <v>396</v>
      </c>
      <c r="D542" s="330"/>
      <c r="E542" s="326"/>
      <c r="F542" s="326"/>
      <c r="G542" s="287"/>
      <c r="H542" s="284"/>
      <c r="I542" s="288"/>
      <c r="J542" s="286"/>
      <c r="K542" s="286"/>
      <c r="L542" s="289"/>
      <c r="M542" s="290"/>
      <c r="N542" s="288"/>
      <c r="O542" s="286"/>
      <c r="P542" s="286"/>
      <c r="Q542" s="287"/>
      <c r="S542" s="288"/>
      <c r="T542" s="286"/>
      <c r="U542" s="286"/>
      <c r="V542" s="287"/>
      <c r="X542" s="288"/>
      <c r="Y542" s="286"/>
      <c r="Z542" s="286"/>
      <c r="AA542" s="287"/>
      <c r="AC542" s="288"/>
      <c r="AD542" s="286"/>
      <c r="AE542" s="286"/>
      <c r="AF542" s="287"/>
      <c r="AH542" s="288"/>
      <c r="AI542" s="286"/>
      <c r="AJ542" s="286"/>
      <c r="AK542" s="287"/>
      <c r="AM542" s="288"/>
      <c r="AN542" s="286"/>
      <c r="AO542" s="286"/>
      <c r="AP542" s="287"/>
      <c r="AR542" s="288"/>
      <c r="AS542" s="286"/>
      <c r="AT542" s="286"/>
      <c r="AU542" s="287"/>
      <c r="AW542" s="288"/>
      <c r="AX542" s="286"/>
      <c r="AY542" s="286"/>
      <c r="AZ542" s="287"/>
      <c r="BB542" s="288"/>
      <c r="BC542" s="286"/>
      <c r="BD542" s="286"/>
      <c r="BE542" s="287"/>
      <c r="BG542" s="288"/>
      <c r="BH542" s="286"/>
      <c r="BI542" s="286"/>
      <c r="BJ542" s="287"/>
      <c r="BL542" s="288"/>
      <c r="BM542" s="286"/>
      <c r="BN542" s="286"/>
      <c r="BO542" s="289"/>
    </row>
    <row r="543" spans="2:67" s="339" customFormat="1">
      <c r="B543" s="339" t="s">
        <v>411</v>
      </c>
      <c r="D543" s="330">
        <f>D541</f>
        <v>167152.63420543665</v>
      </c>
      <c r="E543" s="326">
        <f>E541</f>
        <v>169226.35</v>
      </c>
      <c r="F543" s="326">
        <f>E543-D543</f>
        <v>2073.7157945633517</v>
      </c>
      <c r="G543" s="287"/>
      <c r="H543" s="284"/>
      <c r="I543" s="288"/>
      <c r="J543" s="286"/>
      <c r="K543" s="286"/>
      <c r="L543" s="289"/>
      <c r="M543" s="290"/>
      <c r="N543" s="288"/>
      <c r="O543" s="286"/>
      <c r="P543" s="286"/>
      <c r="Q543" s="287"/>
      <c r="S543" s="288"/>
      <c r="T543" s="286"/>
      <c r="U543" s="286"/>
      <c r="V543" s="287"/>
      <c r="X543" s="288"/>
      <c r="Y543" s="286"/>
      <c r="Z543" s="286"/>
      <c r="AA543" s="287"/>
      <c r="AC543" s="288"/>
      <c r="AD543" s="286"/>
      <c r="AE543" s="286"/>
      <c r="AF543" s="287"/>
      <c r="AH543" s="288"/>
      <c r="AI543" s="286"/>
      <c r="AJ543" s="286"/>
      <c r="AK543" s="287"/>
      <c r="AM543" s="288"/>
      <c r="AN543" s="286"/>
      <c r="AO543" s="286"/>
      <c r="AP543" s="287"/>
      <c r="AR543" s="288"/>
      <c r="AS543" s="286"/>
      <c r="AT543" s="286"/>
      <c r="AU543" s="287"/>
      <c r="AW543" s="288"/>
      <c r="AX543" s="286"/>
      <c r="AY543" s="286"/>
      <c r="AZ543" s="287"/>
      <c r="BB543" s="288"/>
      <c r="BC543" s="286"/>
      <c r="BD543" s="286"/>
      <c r="BE543" s="287"/>
      <c r="BG543" s="288"/>
      <c r="BH543" s="286"/>
      <c r="BI543" s="286"/>
      <c r="BJ543" s="287"/>
      <c r="BL543" s="288"/>
      <c r="BM543" s="286"/>
      <c r="BN543" s="286"/>
      <c r="BO543" s="289"/>
    </row>
    <row r="544" spans="2:67" s="339" customFormat="1">
      <c r="B544" s="339" t="s">
        <v>396</v>
      </c>
      <c r="D544" s="330"/>
      <c r="E544" s="326"/>
      <c r="F544" s="326"/>
      <c r="G544" s="287"/>
      <c r="H544" s="284"/>
      <c r="I544" s="288"/>
      <c r="J544" s="286"/>
      <c r="K544" s="286"/>
      <c r="L544" s="289"/>
      <c r="M544" s="290"/>
      <c r="N544" s="288"/>
      <c r="O544" s="286"/>
      <c r="P544" s="286"/>
      <c r="Q544" s="287"/>
      <c r="S544" s="288"/>
      <c r="T544" s="286"/>
      <c r="U544" s="286"/>
      <c r="V544" s="287"/>
      <c r="X544" s="288"/>
      <c r="Y544" s="286"/>
      <c r="Z544" s="286"/>
      <c r="AA544" s="287"/>
      <c r="AC544" s="288"/>
      <c r="AD544" s="286"/>
      <c r="AE544" s="286"/>
      <c r="AF544" s="287"/>
      <c r="AH544" s="288"/>
      <c r="AI544" s="286"/>
      <c r="AJ544" s="286"/>
      <c r="AK544" s="287"/>
      <c r="AM544" s="288"/>
      <c r="AN544" s="286"/>
      <c r="AO544" s="286"/>
      <c r="AP544" s="287"/>
      <c r="AR544" s="288"/>
      <c r="AS544" s="286"/>
      <c r="AT544" s="286"/>
      <c r="AU544" s="287"/>
      <c r="AW544" s="288"/>
      <c r="AX544" s="286"/>
      <c r="AY544" s="286"/>
      <c r="AZ544" s="287"/>
      <c r="BB544" s="288"/>
      <c r="BC544" s="286"/>
      <c r="BD544" s="286"/>
      <c r="BE544" s="287"/>
      <c r="BG544" s="288"/>
      <c r="BH544" s="286"/>
      <c r="BI544" s="286"/>
      <c r="BJ544" s="287"/>
      <c r="BL544" s="288"/>
      <c r="BM544" s="286"/>
      <c r="BN544" s="286"/>
      <c r="BO544" s="289"/>
    </row>
    <row r="545" spans="1:67" s="339" customFormat="1">
      <c r="B545" s="339" t="s">
        <v>447</v>
      </c>
      <c r="D545" s="330">
        <f>G473</f>
        <v>1510.23</v>
      </c>
      <c r="E545" s="326">
        <f>H473</f>
        <v>1510.23</v>
      </c>
      <c r="F545" s="326">
        <f>E545-D545</f>
        <v>0</v>
      </c>
      <c r="G545" s="287"/>
      <c r="H545" s="284"/>
      <c r="I545" s="288"/>
      <c r="J545" s="286"/>
      <c r="K545" s="286"/>
      <c r="L545" s="289"/>
      <c r="M545" s="290"/>
      <c r="N545" s="288"/>
      <c r="O545" s="286"/>
      <c r="P545" s="286"/>
      <c r="Q545" s="287"/>
      <c r="S545" s="288"/>
      <c r="T545" s="286"/>
      <c r="U545" s="286"/>
      <c r="V545" s="287"/>
      <c r="X545" s="288"/>
      <c r="Y545" s="286"/>
      <c r="Z545" s="286"/>
      <c r="AA545" s="287"/>
      <c r="AC545" s="288"/>
      <c r="AD545" s="286"/>
      <c r="AE545" s="286"/>
      <c r="AF545" s="287"/>
      <c r="AH545" s="288"/>
      <c r="AI545" s="286"/>
      <c r="AJ545" s="286"/>
      <c r="AK545" s="287"/>
      <c r="AM545" s="288"/>
      <c r="AN545" s="286"/>
      <c r="AO545" s="286"/>
      <c r="AP545" s="287"/>
      <c r="AR545" s="288"/>
      <c r="AS545" s="286"/>
      <c r="AT545" s="286"/>
      <c r="AU545" s="287"/>
      <c r="AW545" s="288"/>
      <c r="AX545" s="286"/>
      <c r="AY545" s="286"/>
      <c r="AZ545" s="287"/>
      <c r="BB545" s="288"/>
      <c r="BC545" s="286"/>
      <c r="BD545" s="286"/>
      <c r="BE545" s="287"/>
      <c r="BG545" s="288"/>
      <c r="BH545" s="286"/>
      <c r="BI545" s="286"/>
      <c r="BJ545" s="287"/>
      <c r="BL545" s="288"/>
      <c r="BM545" s="286"/>
      <c r="BN545" s="286"/>
      <c r="BO545" s="289"/>
    </row>
    <row r="546" spans="1:67" s="339" customFormat="1">
      <c r="B546" s="339" t="s">
        <v>396</v>
      </c>
      <c r="D546" s="330"/>
      <c r="E546" s="326"/>
      <c r="F546" s="326"/>
      <c r="G546" s="287"/>
      <c r="H546" s="284"/>
      <c r="I546" s="288"/>
      <c r="J546" s="286"/>
      <c r="K546" s="286"/>
      <c r="L546" s="289"/>
      <c r="M546" s="290"/>
      <c r="N546" s="288"/>
      <c r="O546" s="286"/>
      <c r="P546" s="286"/>
      <c r="Q546" s="287"/>
      <c r="S546" s="288"/>
      <c r="T546" s="286"/>
      <c r="U546" s="286"/>
      <c r="V546" s="287"/>
      <c r="X546" s="288"/>
      <c r="Y546" s="286"/>
      <c r="Z546" s="286"/>
      <c r="AA546" s="287"/>
      <c r="AC546" s="288"/>
      <c r="AD546" s="286"/>
      <c r="AE546" s="286"/>
      <c r="AF546" s="287"/>
      <c r="AH546" s="288"/>
      <c r="AI546" s="286"/>
      <c r="AJ546" s="286"/>
      <c r="AK546" s="287"/>
      <c r="AM546" s="288"/>
      <c r="AN546" s="286"/>
      <c r="AO546" s="286"/>
      <c r="AP546" s="287"/>
      <c r="AR546" s="288"/>
      <c r="AS546" s="286"/>
      <c r="AT546" s="286"/>
      <c r="AU546" s="287"/>
      <c r="AW546" s="288"/>
      <c r="AX546" s="286"/>
      <c r="AY546" s="286"/>
      <c r="AZ546" s="287"/>
      <c r="BB546" s="288"/>
      <c r="BC546" s="286"/>
      <c r="BD546" s="286"/>
      <c r="BE546" s="287"/>
      <c r="BG546" s="288"/>
      <c r="BH546" s="286"/>
      <c r="BI546" s="286"/>
      <c r="BJ546" s="287"/>
      <c r="BL546" s="288"/>
      <c r="BM546" s="286"/>
      <c r="BN546" s="286"/>
      <c r="BO546" s="289"/>
    </row>
    <row r="547" spans="1:67" s="339" customFormat="1">
      <c r="B547" s="339" t="s">
        <v>413</v>
      </c>
      <c r="D547" s="330">
        <f>G474</f>
        <v>1571.7674999999997</v>
      </c>
      <c r="E547" s="326">
        <f>H474</f>
        <v>1571.7674999999997</v>
      </c>
      <c r="F547" s="326">
        <f>E547-D547</f>
        <v>0</v>
      </c>
      <c r="G547" s="287"/>
      <c r="H547" s="284"/>
      <c r="I547" s="288"/>
      <c r="J547" s="286"/>
      <c r="K547" s="286"/>
      <c r="L547" s="289"/>
      <c r="M547" s="290"/>
      <c r="N547" s="288"/>
      <c r="O547" s="286"/>
      <c r="P547" s="286"/>
      <c r="Q547" s="287"/>
      <c r="S547" s="288"/>
      <c r="T547" s="286"/>
      <c r="U547" s="286"/>
      <c r="V547" s="287"/>
      <c r="X547" s="288"/>
      <c r="Y547" s="286"/>
      <c r="Z547" s="286"/>
      <c r="AA547" s="287"/>
      <c r="AC547" s="288"/>
      <c r="AD547" s="286"/>
      <c r="AE547" s="286"/>
      <c r="AF547" s="287"/>
      <c r="AH547" s="288"/>
      <c r="AI547" s="286"/>
      <c r="AJ547" s="286"/>
      <c r="AK547" s="287"/>
      <c r="AM547" s="288"/>
      <c r="AN547" s="286"/>
      <c r="AO547" s="286"/>
      <c r="AP547" s="287"/>
      <c r="AR547" s="288"/>
      <c r="AS547" s="286"/>
      <c r="AT547" s="286"/>
      <c r="AU547" s="287"/>
      <c r="AW547" s="288"/>
      <c r="AX547" s="286"/>
      <c r="AY547" s="286"/>
      <c r="AZ547" s="287"/>
      <c r="BB547" s="288"/>
      <c r="BC547" s="286"/>
      <c r="BD547" s="286"/>
      <c r="BE547" s="287"/>
      <c r="BG547" s="288"/>
      <c r="BH547" s="286"/>
      <c r="BI547" s="286"/>
      <c r="BJ547" s="287"/>
      <c r="BL547" s="288"/>
      <c r="BM547" s="286"/>
      <c r="BN547" s="286"/>
      <c r="BO547" s="289"/>
    </row>
    <row r="548" spans="1:67" s="339" customFormat="1">
      <c r="B548" s="339" t="s">
        <v>396</v>
      </c>
      <c r="D548" s="330"/>
      <c r="E548" s="326"/>
      <c r="F548" s="326"/>
      <c r="G548" s="287"/>
      <c r="H548" s="284"/>
      <c r="I548" s="288"/>
      <c r="J548" s="286"/>
      <c r="K548" s="286"/>
      <c r="L548" s="289"/>
      <c r="M548" s="290"/>
      <c r="N548" s="288"/>
      <c r="O548" s="286"/>
      <c r="P548" s="286"/>
      <c r="Q548" s="287"/>
      <c r="S548" s="288"/>
      <c r="T548" s="286"/>
      <c r="U548" s="286"/>
      <c r="V548" s="287"/>
      <c r="X548" s="288"/>
      <c r="Y548" s="286"/>
      <c r="Z548" s="286"/>
      <c r="AA548" s="287"/>
      <c r="AC548" s="288"/>
      <c r="AD548" s="286"/>
      <c r="AE548" s="286"/>
      <c r="AF548" s="287"/>
      <c r="AH548" s="288"/>
      <c r="AI548" s="286"/>
      <c r="AJ548" s="286"/>
      <c r="AK548" s="287"/>
      <c r="AM548" s="288"/>
      <c r="AN548" s="286"/>
      <c r="AO548" s="286"/>
      <c r="AP548" s="287"/>
      <c r="AR548" s="288"/>
      <c r="AS548" s="286"/>
      <c r="AT548" s="286"/>
      <c r="AU548" s="287"/>
      <c r="AW548" s="288"/>
      <c r="AX548" s="286"/>
      <c r="AY548" s="286"/>
      <c r="AZ548" s="287"/>
      <c r="BB548" s="288"/>
      <c r="BC548" s="286"/>
      <c r="BD548" s="286"/>
      <c r="BE548" s="287"/>
      <c r="BG548" s="288"/>
      <c r="BH548" s="286"/>
      <c r="BI548" s="286"/>
      <c r="BJ548" s="287"/>
      <c r="BL548" s="288"/>
      <c r="BM548" s="286"/>
      <c r="BN548" s="286"/>
      <c r="BO548" s="289"/>
    </row>
    <row r="549" spans="1:67" s="339" customFormat="1">
      <c r="B549" s="365" t="s">
        <v>443</v>
      </c>
      <c r="C549" s="339" t="s">
        <v>402</v>
      </c>
      <c r="D549" s="330">
        <f>G463</f>
        <v>29400.087558256389</v>
      </c>
      <c r="E549" s="326">
        <f>H463</f>
        <v>13417.273333333334</v>
      </c>
      <c r="F549" s="326">
        <f>E549-D549</f>
        <v>-15982.814224923055</v>
      </c>
      <c r="G549" s="287"/>
      <c r="H549" s="284"/>
      <c r="I549" s="288"/>
      <c r="J549" s="286"/>
      <c r="K549" s="286"/>
      <c r="L549" s="289"/>
      <c r="M549" s="290"/>
      <c r="N549" s="288"/>
      <c r="O549" s="286"/>
      <c r="P549" s="286"/>
      <c r="Q549" s="287"/>
      <c r="S549" s="288"/>
      <c r="T549" s="286"/>
      <c r="U549" s="286"/>
      <c r="V549" s="287"/>
      <c r="X549" s="288"/>
      <c r="Y549" s="286"/>
      <c r="Z549" s="286"/>
      <c r="AA549" s="287"/>
      <c r="AC549" s="288"/>
      <c r="AD549" s="286"/>
      <c r="AE549" s="286"/>
      <c r="AF549" s="287"/>
      <c r="AH549" s="288"/>
      <c r="AI549" s="286"/>
      <c r="AJ549" s="286"/>
      <c r="AK549" s="287"/>
      <c r="AM549" s="288"/>
      <c r="AN549" s="286"/>
      <c r="AO549" s="286"/>
      <c r="AP549" s="287"/>
      <c r="AR549" s="288"/>
      <c r="AS549" s="286"/>
      <c r="AT549" s="286"/>
      <c r="AU549" s="287"/>
      <c r="AW549" s="288"/>
      <c r="AX549" s="286"/>
      <c r="AY549" s="286"/>
      <c r="AZ549" s="287"/>
      <c r="BB549" s="288"/>
      <c r="BC549" s="286"/>
      <c r="BD549" s="286"/>
      <c r="BE549" s="287"/>
      <c r="BG549" s="288"/>
      <c r="BH549" s="286"/>
      <c r="BI549" s="286"/>
      <c r="BJ549" s="287"/>
      <c r="BL549" s="288"/>
      <c r="BM549" s="286"/>
      <c r="BN549" s="286"/>
      <c r="BO549" s="289"/>
    </row>
    <row r="550" spans="1:67" s="339" customFormat="1">
      <c r="B550" s="365" t="s">
        <v>416</v>
      </c>
      <c r="C550" s="339" t="s">
        <v>402</v>
      </c>
      <c r="D550" s="330">
        <f>G464</f>
        <v>44428.894250666672</v>
      </c>
      <c r="E550" s="326">
        <f>H464</f>
        <v>32475.360000000004</v>
      </c>
      <c r="F550" s="326">
        <f>E550-D550</f>
        <v>-11953.534250666668</v>
      </c>
      <c r="G550" s="287"/>
      <c r="H550" s="284"/>
      <c r="I550" s="288"/>
      <c r="J550" s="286"/>
      <c r="K550" s="286"/>
      <c r="L550" s="289"/>
      <c r="M550" s="290"/>
      <c r="N550" s="288"/>
      <c r="O550" s="286"/>
      <c r="P550" s="286"/>
      <c r="Q550" s="287"/>
      <c r="S550" s="288"/>
      <c r="T550" s="286"/>
      <c r="U550" s="286"/>
      <c r="V550" s="287"/>
      <c r="X550" s="288"/>
      <c r="Y550" s="286"/>
      <c r="Z550" s="286"/>
      <c r="AA550" s="287"/>
      <c r="AC550" s="288"/>
      <c r="AD550" s="286"/>
      <c r="AE550" s="286"/>
      <c r="AF550" s="287"/>
      <c r="AH550" s="288"/>
      <c r="AI550" s="286"/>
      <c r="AJ550" s="286"/>
      <c r="AK550" s="287"/>
      <c r="AM550" s="288"/>
      <c r="AN550" s="286"/>
      <c r="AO550" s="286"/>
      <c r="AP550" s="287"/>
      <c r="AR550" s="288"/>
      <c r="AS550" s="286"/>
      <c r="AT550" s="286"/>
      <c r="AU550" s="287"/>
      <c r="AW550" s="288"/>
      <c r="AX550" s="286"/>
      <c r="AY550" s="286"/>
      <c r="AZ550" s="287"/>
      <c r="BB550" s="288"/>
      <c r="BC550" s="286"/>
      <c r="BD550" s="286"/>
      <c r="BE550" s="287"/>
      <c r="BG550" s="288"/>
      <c r="BH550" s="286"/>
      <c r="BI550" s="286"/>
      <c r="BJ550" s="287"/>
      <c r="BL550" s="288"/>
      <c r="BM550" s="286"/>
      <c r="BN550" s="286"/>
      <c r="BO550" s="289"/>
    </row>
    <row r="551" spans="1:67" s="339" customFormat="1">
      <c r="B551" s="365" t="s">
        <v>417</v>
      </c>
      <c r="C551" s="339" t="s">
        <v>402</v>
      </c>
      <c r="D551" s="330">
        <f>G470</f>
        <v>56096.539477880106</v>
      </c>
      <c r="E551" s="326">
        <f>H470</f>
        <v>35795.07666666666</v>
      </c>
      <c r="F551" s="326">
        <f>E551-D551</f>
        <v>-20301.462811213445</v>
      </c>
      <c r="G551" s="287"/>
      <c r="H551" s="284"/>
      <c r="I551" s="288"/>
      <c r="J551" s="286"/>
      <c r="K551" s="286"/>
      <c r="L551" s="289"/>
      <c r="M551" s="290"/>
      <c r="N551" s="288"/>
      <c r="O551" s="286"/>
      <c r="P551" s="286"/>
      <c r="Q551" s="287"/>
      <c r="S551" s="288"/>
      <c r="T551" s="286"/>
      <c r="U551" s="286"/>
      <c r="V551" s="287"/>
      <c r="X551" s="288"/>
      <c r="Y551" s="286"/>
      <c r="Z551" s="286"/>
      <c r="AA551" s="287"/>
      <c r="AC551" s="288"/>
      <c r="AD551" s="286"/>
      <c r="AE551" s="286"/>
      <c r="AF551" s="287"/>
      <c r="AH551" s="288"/>
      <c r="AI551" s="286"/>
      <c r="AJ551" s="286"/>
      <c r="AK551" s="287"/>
      <c r="AM551" s="288"/>
      <c r="AN551" s="286"/>
      <c r="AO551" s="286"/>
      <c r="AP551" s="287"/>
      <c r="AR551" s="288"/>
      <c r="AS551" s="286"/>
      <c r="AT551" s="286"/>
      <c r="AU551" s="287"/>
      <c r="AW551" s="288"/>
      <c r="AX551" s="286"/>
      <c r="AY551" s="286"/>
      <c r="AZ551" s="287"/>
      <c r="BB551" s="288"/>
      <c r="BC551" s="286"/>
      <c r="BD551" s="286"/>
      <c r="BE551" s="287"/>
      <c r="BG551" s="288"/>
      <c r="BH551" s="286"/>
      <c r="BI551" s="286"/>
      <c r="BJ551" s="287"/>
      <c r="BL551" s="288"/>
      <c r="BM551" s="286"/>
      <c r="BN551" s="286"/>
      <c r="BO551" s="289"/>
    </row>
    <row r="552" spans="1:67" s="339" customFormat="1">
      <c r="B552" s="339" t="s">
        <v>396</v>
      </c>
      <c r="D552" s="330"/>
      <c r="E552" s="326"/>
      <c r="F552" s="326"/>
      <c r="G552" s="287"/>
      <c r="H552" s="284"/>
      <c r="I552" s="288"/>
      <c r="J552" s="286"/>
      <c r="K552" s="286"/>
      <c r="L552" s="289"/>
      <c r="M552" s="290"/>
      <c r="N552" s="288"/>
      <c r="O552" s="286"/>
      <c r="P552" s="286"/>
      <c r="Q552" s="287"/>
      <c r="S552" s="288"/>
      <c r="T552" s="286"/>
      <c r="U552" s="286"/>
      <c r="V552" s="287"/>
      <c r="X552" s="288"/>
      <c r="Y552" s="286"/>
      <c r="Z552" s="286"/>
      <c r="AA552" s="287"/>
      <c r="AC552" s="288"/>
      <c r="AD552" s="286"/>
      <c r="AE552" s="286"/>
      <c r="AF552" s="287"/>
      <c r="AH552" s="288"/>
      <c r="AI552" s="286"/>
      <c r="AJ552" s="286"/>
      <c r="AK552" s="287"/>
      <c r="AM552" s="288"/>
      <c r="AN552" s="286"/>
      <c r="AO552" s="286"/>
      <c r="AP552" s="287"/>
      <c r="AR552" s="288"/>
      <c r="AS552" s="286"/>
      <c r="AT552" s="286"/>
      <c r="AU552" s="287"/>
      <c r="AW552" s="288"/>
      <c r="AX552" s="286"/>
      <c r="AY552" s="286"/>
      <c r="AZ552" s="287"/>
      <c r="BB552" s="288"/>
      <c r="BC552" s="286"/>
      <c r="BD552" s="286"/>
      <c r="BE552" s="287"/>
      <c r="BG552" s="288"/>
      <c r="BH552" s="286"/>
      <c r="BI552" s="286"/>
      <c r="BJ552" s="287"/>
      <c r="BL552" s="288"/>
      <c r="BM552" s="286"/>
      <c r="BN552" s="286"/>
      <c r="BO552" s="289"/>
    </row>
    <row r="553" spans="1:67" s="339" customFormat="1">
      <c r="B553" s="339" t="s">
        <v>418</v>
      </c>
      <c r="D553" s="330">
        <f>SUM(D549:D551)</f>
        <v>129925.52128680318</v>
      </c>
      <c r="E553" s="326">
        <f>SUM(E549:E551)</f>
        <v>81687.709999999992</v>
      </c>
      <c r="F553" s="326">
        <f>E553-D553</f>
        <v>-48237.811286803189</v>
      </c>
      <c r="G553" s="287"/>
      <c r="H553" s="284"/>
      <c r="I553" s="288"/>
      <c r="J553" s="286"/>
      <c r="K553" s="286"/>
      <c r="L553" s="289"/>
      <c r="M553" s="290"/>
      <c r="N553" s="288"/>
      <c r="O553" s="286"/>
      <c r="P553" s="286"/>
      <c r="Q553" s="287"/>
      <c r="S553" s="288"/>
      <c r="T553" s="286"/>
      <c r="U553" s="286"/>
      <c r="V553" s="287"/>
      <c r="X553" s="288"/>
      <c r="Y553" s="286"/>
      <c r="Z553" s="286"/>
      <c r="AA553" s="287"/>
      <c r="AC553" s="288"/>
      <c r="AD553" s="286"/>
      <c r="AE553" s="286"/>
      <c r="AF553" s="287"/>
      <c r="AH553" s="288"/>
      <c r="AI553" s="286"/>
      <c r="AJ553" s="286"/>
      <c r="AK553" s="287"/>
      <c r="AM553" s="288"/>
      <c r="AN553" s="286"/>
      <c r="AO553" s="286"/>
      <c r="AP553" s="287"/>
      <c r="AR553" s="288"/>
      <c r="AS553" s="286"/>
      <c r="AT553" s="286"/>
      <c r="AU553" s="287"/>
      <c r="AW553" s="288"/>
      <c r="AX553" s="286"/>
      <c r="AY553" s="286"/>
      <c r="AZ553" s="287"/>
      <c r="BB553" s="288"/>
      <c r="BC553" s="286"/>
      <c r="BD553" s="286"/>
      <c r="BE553" s="287"/>
      <c r="BG553" s="288"/>
      <c r="BH553" s="286"/>
      <c r="BI553" s="286"/>
      <c r="BJ553" s="287"/>
      <c r="BL553" s="288"/>
      <c r="BM553" s="286"/>
      <c r="BN553" s="286"/>
      <c r="BO553" s="289"/>
    </row>
    <row r="554" spans="1:67" s="339" customFormat="1">
      <c r="B554" s="339" t="s">
        <v>396</v>
      </c>
      <c r="D554" s="330"/>
      <c r="E554" s="326"/>
      <c r="F554" s="326"/>
      <c r="G554" s="287"/>
      <c r="H554" s="284"/>
      <c r="I554" s="288"/>
      <c r="J554" s="286"/>
      <c r="K554" s="286"/>
      <c r="L554" s="289"/>
      <c r="M554" s="290"/>
      <c r="N554" s="288"/>
      <c r="O554" s="286"/>
      <c r="P554" s="286"/>
      <c r="Q554" s="287"/>
      <c r="S554" s="288"/>
      <c r="T554" s="286"/>
      <c r="U554" s="286"/>
      <c r="V554" s="287"/>
      <c r="X554" s="288"/>
      <c r="Y554" s="286"/>
      <c r="Z554" s="286"/>
      <c r="AA554" s="287"/>
      <c r="AC554" s="288"/>
      <c r="AD554" s="286"/>
      <c r="AE554" s="286"/>
      <c r="AF554" s="287"/>
      <c r="AH554" s="288"/>
      <c r="AI554" s="286"/>
      <c r="AJ554" s="286"/>
      <c r="AK554" s="287"/>
      <c r="AM554" s="288"/>
      <c r="AN554" s="286"/>
      <c r="AO554" s="286"/>
      <c r="AP554" s="287"/>
      <c r="AR554" s="288"/>
      <c r="AS554" s="286"/>
      <c r="AT554" s="286"/>
      <c r="AU554" s="287"/>
      <c r="AW554" s="288"/>
      <c r="AX554" s="286"/>
      <c r="AY554" s="286"/>
      <c r="AZ554" s="287"/>
      <c r="BB554" s="288"/>
      <c r="BC554" s="286"/>
      <c r="BD554" s="286"/>
      <c r="BE554" s="287"/>
      <c r="BG554" s="288"/>
      <c r="BH554" s="286"/>
      <c r="BI554" s="286"/>
      <c r="BJ554" s="287"/>
      <c r="BL554" s="288"/>
      <c r="BM554" s="286"/>
      <c r="BN554" s="286"/>
      <c r="BO554" s="289"/>
    </row>
    <row r="555" spans="1:67" s="339" customFormat="1">
      <c r="D555" s="305" t="s">
        <v>230</v>
      </c>
      <c r="E555" s="306" t="s">
        <v>218</v>
      </c>
      <c r="F555" s="306" t="s">
        <v>371</v>
      </c>
      <c r="G555" s="287"/>
      <c r="H555" s="284"/>
      <c r="I555" s="288"/>
      <c r="J555" s="286"/>
      <c r="K555" s="286"/>
      <c r="L555" s="289"/>
      <c r="M555" s="290"/>
      <c r="N555" s="288"/>
      <c r="O555" s="286"/>
      <c r="P555" s="286"/>
      <c r="Q555" s="287"/>
      <c r="S555" s="288"/>
      <c r="T555" s="286"/>
      <c r="U555" s="286"/>
      <c r="V555" s="287"/>
      <c r="X555" s="288"/>
      <c r="Y555" s="286"/>
      <c r="Z555" s="286"/>
      <c r="AA555" s="287"/>
      <c r="AC555" s="288"/>
      <c r="AD555" s="286"/>
      <c r="AE555" s="286"/>
      <c r="AF555" s="287"/>
      <c r="AH555" s="288"/>
      <c r="AI555" s="286"/>
      <c r="AJ555" s="286"/>
      <c r="AK555" s="287"/>
      <c r="AM555" s="288"/>
      <c r="AN555" s="286"/>
      <c r="AO555" s="286"/>
      <c r="AP555" s="287"/>
      <c r="AR555" s="288"/>
      <c r="AS555" s="286"/>
      <c r="AT555" s="286"/>
      <c r="AU555" s="287"/>
      <c r="AW555" s="288"/>
      <c r="AX555" s="286"/>
      <c r="AY555" s="286"/>
      <c r="AZ555" s="287"/>
      <c r="BB555" s="288"/>
      <c r="BC555" s="286"/>
      <c r="BD555" s="286"/>
      <c r="BE555" s="287"/>
      <c r="BG555" s="288"/>
      <c r="BH555" s="286"/>
      <c r="BI555" s="286"/>
      <c r="BJ555" s="287"/>
      <c r="BL555" s="288"/>
      <c r="BM555" s="286"/>
      <c r="BN555" s="286"/>
      <c r="BO555" s="289"/>
    </row>
    <row r="556" spans="1:67" s="339" customFormat="1">
      <c r="B556" s="339" t="s">
        <v>419</v>
      </c>
      <c r="D556" s="330">
        <f>D553+D545+D543+D537+D527+D519+D547</f>
        <v>1937483.3500273442</v>
      </c>
      <c r="E556" s="326">
        <f>E553+E545+E543+E537+E527+E519+E547</f>
        <v>1678375.1908333334</v>
      </c>
      <c r="F556" s="326">
        <f>E556-D556</f>
        <v>-259108.15919401078</v>
      </c>
      <c r="G556" s="287"/>
      <c r="H556" s="284"/>
      <c r="I556" s="288"/>
      <c r="J556" s="286"/>
      <c r="K556" s="286"/>
      <c r="L556" s="289"/>
      <c r="M556" s="290"/>
      <c r="N556" s="288"/>
      <c r="O556" s="286"/>
      <c r="P556" s="286"/>
      <c r="Q556" s="287"/>
      <c r="S556" s="288"/>
      <c r="T556" s="286"/>
      <c r="U556" s="286"/>
      <c r="V556" s="287"/>
      <c r="X556" s="288"/>
      <c r="Y556" s="286"/>
      <c r="Z556" s="286"/>
      <c r="AA556" s="287"/>
      <c r="AC556" s="288"/>
      <c r="AD556" s="286"/>
      <c r="AE556" s="286"/>
      <c r="AF556" s="287"/>
      <c r="AH556" s="288"/>
      <c r="AI556" s="286"/>
      <c r="AJ556" s="286"/>
      <c r="AK556" s="287"/>
      <c r="AM556" s="288"/>
      <c r="AN556" s="286"/>
      <c r="AO556" s="286"/>
      <c r="AP556" s="287"/>
      <c r="AR556" s="288"/>
      <c r="AS556" s="286"/>
      <c r="AT556" s="286"/>
      <c r="AU556" s="287"/>
      <c r="AW556" s="288"/>
      <c r="AX556" s="286"/>
      <c r="AY556" s="286"/>
      <c r="AZ556" s="287"/>
      <c r="BB556" s="288"/>
      <c r="BC556" s="286"/>
      <c r="BD556" s="286"/>
      <c r="BE556" s="287"/>
      <c r="BG556" s="288"/>
      <c r="BH556" s="286"/>
      <c r="BI556" s="286"/>
      <c r="BJ556" s="287"/>
      <c r="BL556" s="288"/>
      <c r="BM556" s="286"/>
      <c r="BN556" s="286"/>
      <c r="BO556" s="289"/>
    </row>
    <row r="557" spans="1:67" s="339" customFormat="1">
      <c r="B557" s="339" t="s">
        <v>396</v>
      </c>
      <c r="D557" s="288"/>
      <c r="E557" s="286"/>
      <c r="F557" s="286"/>
      <c r="G557" s="287"/>
      <c r="H557" s="284"/>
      <c r="I557" s="288"/>
      <c r="J557" s="286"/>
      <c r="K557" s="286"/>
      <c r="L557" s="289"/>
      <c r="M557" s="290"/>
      <c r="N557" s="288"/>
      <c r="O557" s="286"/>
      <c r="P557" s="286"/>
      <c r="Q557" s="287"/>
      <c r="S557" s="288"/>
      <c r="T557" s="286"/>
      <c r="U557" s="286"/>
      <c r="V557" s="287"/>
      <c r="X557" s="288"/>
      <c r="Y557" s="286"/>
      <c r="Z557" s="286"/>
      <c r="AA557" s="287"/>
      <c r="AC557" s="288"/>
      <c r="AD557" s="286"/>
      <c r="AE557" s="286"/>
      <c r="AF557" s="287"/>
      <c r="AH557" s="288"/>
      <c r="AI557" s="286"/>
      <c r="AJ557" s="286"/>
      <c r="AK557" s="287"/>
      <c r="AM557" s="288"/>
      <c r="AN557" s="286"/>
      <c r="AO557" s="286"/>
      <c r="AP557" s="287"/>
      <c r="AR557" s="288"/>
      <c r="AS557" s="286"/>
      <c r="AT557" s="286"/>
      <c r="AU557" s="287"/>
      <c r="AW557" s="288"/>
      <c r="AX557" s="286"/>
      <c r="AY557" s="286"/>
      <c r="AZ557" s="287"/>
      <c r="BB557" s="288"/>
      <c r="BC557" s="286"/>
      <c r="BD557" s="286"/>
      <c r="BE557" s="287"/>
      <c r="BG557" s="288"/>
      <c r="BH557" s="286"/>
      <c r="BI557" s="286"/>
      <c r="BJ557" s="287"/>
      <c r="BL557" s="288"/>
      <c r="BM557" s="286"/>
      <c r="BN557" s="286"/>
      <c r="BO557" s="289"/>
    </row>
    <row r="558" spans="1:67" s="339" customFormat="1">
      <c r="A558" s="341" t="s">
        <v>327</v>
      </c>
      <c r="D558" s="288"/>
      <c r="E558" s="286"/>
      <c r="F558" s="286"/>
      <c r="G558" s="287"/>
      <c r="H558" s="284"/>
      <c r="I558" s="288"/>
      <c r="J558" s="286"/>
      <c r="K558" s="286"/>
      <c r="L558" s="289"/>
      <c r="M558" s="290"/>
      <c r="N558" s="288"/>
      <c r="O558" s="286"/>
      <c r="P558" s="286"/>
      <c r="Q558" s="287"/>
      <c r="S558" s="288"/>
      <c r="T558" s="286"/>
      <c r="U558" s="286"/>
      <c r="V558" s="287"/>
      <c r="X558" s="288"/>
      <c r="Y558" s="286"/>
      <c r="Z558" s="286"/>
      <c r="AA558" s="287"/>
      <c r="AC558" s="288"/>
      <c r="AD558" s="286"/>
      <c r="AE558" s="286"/>
      <c r="AF558" s="287"/>
      <c r="AH558" s="288"/>
      <c r="AI558" s="286"/>
      <c r="AJ558" s="286"/>
      <c r="AK558" s="287"/>
      <c r="AM558" s="288"/>
      <c r="AN558" s="286"/>
      <c r="AO558" s="286"/>
      <c r="AP558" s="287"/>
      <c r="AR558" s="288"/>
      <c r="AS558" s="286"/>
      <c r="AT558" s="286"/>
      <c r="AU558" s="287"/>
      <c r="AW558" s="288"/>
      <c r="AX558" s="286"/>
      <c r="AY558" s="286"/>
      <c r="AZ558" s="287"/>
      <c r="BB558" s="288"/>
      <c r="BC558" s="286"/>
      <c r="BD558" s="286"/>
      <c r="BE558" s="287"/>
      <c r="BG558" s="288"/>
      <c r="BH558" s="286"/>
      <c r="BI558" s="286"/>
      <c r="BJ558" s="287"/>
      <c r="BL558" s="288"/>
      <c r="BM558" s="286"/>
      <c r="BN558" s="286"/>
      <c r="BO558" s="289"/>
    </row>
    <row r="563" spans="2:9">
      <c r="B563" s="283" t="s">
        <v>448</v>
      </c>
    </row>
    <row r="564" spans="2:9">
      <c r="B564" s="283" t="s">
        <v>444</v>
      </c>
    </row>
    <row r="566" spans="2:9">
      <c r="B566" s="283" t="s">
        <v>370</v>
      </c>
      <c r="F566" s="286" t="s">
        <v>371</v>
      </c>
      <c r="G566" s="287" t="s">
        <v>372</v>
      </c>
      <c r="H566" s="358">
        <f>SUM(H588-G588)</f>
        <v>-125780.64705500414</v>
      </c>
    </row>
    <row r="568" spans="2:9">
      <c r="C568" s="284" t="s">
        <v>216</v>
      </c>
      <c r="E568" s="286" t="s">
        <v>374</v>
      </c>
      <c r="G568" s="287" t="s">
        <v>345</v>
      </c>
      <c r="I568" s="305" t="s">
        <v>218</v>
      </c>
    </row>
    <row r="569" spans="2:9">
      <c r="C569" s="304" t="s">
        <v>230</v>
      </c>
      <c r="D569" s="305" t="s">
        <v>218</v>
      </c>
      <c r="E569" s="306" t="s">
        <v>230</v>
      </c>
      <c r="F569" s="306" t="s">
        <v>218</v>
      </c>
      <c r="G569" s="303" t="s">
        <v>230</v>
      </c>
      <c r="H569" s="304" t="s">
        <v>218</v>
      </c>
      <c r="I569" s="305" t="s">
        <v>55</v>
      </c>
    </row>
    <row r="570" spans="2:9">
      <c r="B570" s="283" t="s">
        <v>65</v>
      </c>
      <c r="C570" s="284">
        <f t="shared" ref="C570:C585" si="75">BK13</f>
        <v>0</v>
      </c>
      <c r="D570" s="288">
        <f t="shared" ref="D570:D585" si="76">BL13</f>
        <v>40262.666666666664</v>
      </c>
      <c r="E570" s="326">
        <f t="shared" ref="E570:E585" si="77">IF(C570=0,0,+G570/C570)</f>
        <v>0</v>
      </c>
      <c r="F570" s="326">
        <f t="shared" ref="F570:F585" si="78">IF(D570=0,0,+H570/D570)</f>
        <v>0.10863098983342717</v>
      </c>
      <c r="G570" s="327">
        <f t="shared" ref="G570:G585" si="79">BM13</f>
        <v>0</v>
      </c>
      <c r="H570" s="358">
        <f t="shared" ref="H570:H585" si="80">BN13</f>
        <v>4373.7733333333335</v>
      </c>
      <c r="I570" s="330">
        <f t="shared" ref="I570:I585" si="81">D570/F$595</f>
        <v>10.097321770416922</v>
      </c>
    </row>
    <row r="571" spans="2:9">
      <c r="B571" s="283" t="s">
        <v>242</v>
      </c>
      <c r="C571" s="284">
        <f t="shared" si="75"/>
        <v>1740145.8149485539</v>
      </c>
      <c r="D571" s="288">
        <f t="shared" si="76"/>
        <v>1867529.6666666667</v>
      </c>
      <c r="E571" s="326">
        <f t="shared" si="77"/>
        <v>0.14636460634787157</v>
      </c>
      <c r="F571" s="326">
        <f t="shared" si="78"/>
        <v>0.14483683525598612</v>
      </c>
      <c r="G571" s="327">
        <f t="shared" si="79"/>
        <v>254695.75719284127</v>
      </c>
      <c r="H571" s="358">
        <f t="shared" si="80"/>
        <v>270487.08666666667</v>
      </c>
      <c r="I571" s="330">
        <f t="shared" si="81"/>
        <v>468.35069609893679</v>
      </c>
    </row>
    <row r="572" spans="2:9">
      <c r="B572" s="283" t="s">
        <v>245</v>
      </c>
      <c r="C572" s="284">
        <f t="shared" si="75"/>
        <v>0</v>
      </c>
      <c r="D572" s="288">
        <f t="shared" si="76"/>
        <v>0</v>
      </c>
      <c r="E572" s="326">
        <f t="shared" si="77"/>
        <v>0</v>
      </c>
      <c r="F572" s="326">
        <f t="shared" si="78"/>
        <v>0</v>
      </c>
      <c r="G572" s="327">
        <f t="shared" si="79"/>
        <v>0</v>
      </c>
      <c r="H572" s="358">
        <f t="shared" si="80"/>
        <v>0</v>
      </c>
      <c r="I572" s="330">
        <f t="shared" si="81"/>
        <v>0</v>
      </c>
    </row>
    <row r="573" spans="2:9">
      <c r="B573" s="283" t="s">
        <v>61</v>
      </c>
      <c r="C573" s="284">
        <f t="shared" si="75"/>
        <v>314320.50654621935</v>
      </c>
      <c r="D573" s="288">
        <f t="shared" si="76"/>
        <v>302018.33333333331</v>
      </c>
      <c r="E573" s="326">
        <f t="shared" si="77"/>
        <v>0.22537968299996364</v>
      </c>
      <c r="F573" s="326">
        <f t="shared" si="78"/>
        <v>0.20914765659921308</v>
      </c>
      <c r="G573" s="327">
        <f t="shared" si="79"/>
        <v>70841.456125774916</v>
      </c>
      <c r="H573" s="358">
        <f t="shared" si="80"/>
        <v>63166.426666666666</v>
      </c>
      <c r="I573" s="330">
        <f t="shared" si="81"/>
        <v>75.742034611841447</v>
      </c>
    </row>
    <row r="574" spans="2:9">
      <c r="B574" s="283" t="s">
        <v>66</v>
      </c>
      <c r="C574" s="284">
        <f t="shared" si="75"/>
        <v>196464.19222190193</v>
      </c>
      <c r="D574" s="288">
        <f t="shared" si="76"/>
        <v>193631.33333333334</v>
      </c>
      <c r="E574" s="326">
        <f t="shared" si="77"/>
        <v>0.27789748289342775</v>
      </c>
      <c r="F574" s="326">
        <f t="shared" si="78"/>
        <v>0.26930448584423317</v>
      </c>
      <c r="G574" s="327">
        <f t="shared" si="79"/>
        <v>54596.904497157091</v>
      </c>
      <c r="H574" s="358">
        <f t="shared" si="80"/>
        <v>52145.78666666666</v>
      </c>
      <c r="I574" s="330">
        <f t="shared" si="81"/>
        <v>48.560069150118956</v>
      </c>
    </row>
    <row r="575" spans="2:9">
      <c r="B575" s="283" t="s">
        <v>257</v>
      </c>
      <c r="C575" s="284">
        <f t="shared" si="75"/>
        <v>17397.842879779349</v>
      </c>
      <c r="D575" s="288">
        <f t="shared" si="76"/>
        <v>8264.3333333333339</v>
      </c>
      <c r="E575" s="326">
        <f t="shared" si="77"/>
        <v>0.77857439976685161</v>
      </c>
      <c r="F575" s="326">
        <f t="shared" si="78"/>
        <v>0.7909272778606864</v>
      </c>
      <c r="G575" s="327">
        <f t="shared" si="79"/>
        <v>13545.515077362201</v>
      </c>
      <c r="H575" s="358">
        <f t="shared" si="80"/>
        <v>6536.4866666666667</v>
      </c>
      <c r="I575" s="330">
        <f t="shared" si="81"/>
        <v>2.0725808743744971</v>
      </c>
    </row>
    <row r="576" spans="2:9">
      <c r="B576" s="283" t="s">
        <v>62</v>
      </c>
      <c r="C576" s="284">
        <f t="shared" si="75"/>
        <v>31677.123333333337</v>
      </c>
      <c r="D576" s="288">
        <f t="shared" si="76"/>
        <v>21800</v>
      </c>
      <c r="E576" s="326">
        <f t="shared" si="77"/>
        <v>1.4025545748945849</v>
      </c>
      <c r="F576" s="326">
        <f t="shared" si="78"/>
        <v>1.4896954128440369</v>
      </c>
      <c r="G576" s="327">
        <f t="shared" si="79"/>
        <v>44428.894250666672</v>
      </c>
      <c r="H576" s="358">
        <f t="shared" si="80"/>
        <v>32475.360000000004</v>
      </c>
      <c r="I576" s="330">
        <f t="shared" si="81"/>
        <v>5.4671394822769379</v>
      </c>
    </row>
    <row r="577" spans="2:67">
      <c r="B577" s="283" t="s">
        <v>262</v>
      </c>
      <c r="C577" s="284">
        <f t="shared" si="75"/>
        <v>94903.701613680067</v>
      </c>
      <c r="D577" s="288">
        <f t="shared" si="76"/>
        <v>79513</v>
      </c>
      <c r="E577" s="326">
        <f t="shared" si="77"/>
        <v>0.34951432822462725</v>
      </c>
      <c r="F577" s="326">
        <f t="shared" si="78"/>
        <v>0.28730257945241655</v>
      </c>
      <c r="G577" s="327">
        <f t="shared" si="79"/>
        <v>33170.203515535861</v>
      </c>
      <c r="H577" s="358">
        <f t="shared" si="80"/>
        <v>22844.289999999997</v>
      </c>
      <c r="I577" s="330">
        <f t="shared" si="81"/>
        <v>19.940764296068171</v>
      </c>
    </row>
    <row r="578" spans="2:67">
      <c r="B578" s="283" t="s">
        <v>63</v>
      </c>
      <c r="C578" s="284">
        <f t="shared" si="75"/>
        <v>145562.22402932169</v>
      </c>
      <c r="D578" s="288">
        <f t="shared" si="76"/>
        <v>123758.33333333333</v>
      </c>
      <c r="E578" s="326">
        <f t="shared" si="77"/>
        <v>0.80382318437288458</v>
      </c>
      <c r="F578" s="326">
        <f t="shared" si="78"/>
        <v>0.55159897649989897</v>
      </c>
      <c r="G578" s="327">
        <f t="shared" si="79"/>
        <v>117006.29044364858</v>
      </c>
      <c r="H578" s="358">
        <f t="shared" si="80"/>
        <v>68264.97</v>
      </c>
      <c r="I578" s="330">
        <f t="shared" si="81"/>
        <v>31.036883964562232</v>
      </c>
    </row>
    <row r="579" spans="2:67">
      <c r="B579" s="283" t="s">
        <v>72</v>
      </c>
      <c r="C579" s="284">
        <f t="shared" si="75"/>
        <v>31579.657140461131</v>
      </c>
      <c r="D579" s="288">
        <f t="shared" si="76"/>
        <v>19933.333333333332</v>
      </c>
      <c r="E579" s="326">
        <f t="shared" si="77"/>
        <v>0.16404929074993763</v>
      </c>
      <c r="F579" s="326">
        <f t="shared" si="78"/>
        <v>0.16008528428093646</v>
      </c>
      <c r="G579" s="327">
        <f t="shared" si="79"/>
        <v>5180.6203560188524</v>
      </c>
      <c r="H579" s="358">
        <f t="shared" si="80"/>
        <v>3191.0333333333333</v>
      </c>
      <c r="I579" s="330">
        <f t="shared" si="81"/>
        <v>4.9990052146813584</v>
      </c>
    </row>
    <row r="580" spans="2:67">
      <c r="B580" s="283" t="s">
        <v>54</v>
      </c>
      <c r="C580" s="284">
        <f t="shared" si="75"/>
        <v>49584.165008600925</v>
      </c>
      <c r="D580" s="288">
        <f t="shared" si="76"/>
        <v>44811.333333333336</v>
      </c>
      <c r="E580" s="326">
        <f t="shared" si="77"/>
        <v>0.71940437366431575</v>
      </c>
      <c r="F580" s="326">
        <f t="shared" si="78"/>
        <v>0.45195248225895235</v>
      </c>
      <c r="G580" s="327">
        <f t="shared" si="79"/>
        <v>35671.065171680631</v>
      </c>
      <c r="H580" s="358">
        <f t="shared" si="80"/>
        <v>20252.593333333334</v>
      </c>
      <c r="I580" s="330">
        <f t="shared" si="81"/>
        <v>11.238064666061435</v>
      </c>
    </row>
    <row r="581" spans="2:67">
      <c r="B581" s="283" t="s">
        <v>269</v>
      </c>
      <c r="C581" s="284">
        <f t="shared" si="75"/>
        <v>131626.60964644977</v>
      </c>
      <c r="D581" s="288">
        <f t="shared" si="76"/>
        <v>39695.666666666664</v>
      </c>
      <c r="E581" s="326">
        <f t="shared" si="77"/>
        <v>0.25877615198745935</v>
      </c>
      <c r="F581" s="326">
        <f t="shared" si="78"/>
        <v>0.19607354287201795</v>
      </c>
      <c r="G581" s="327">
        <f t="shared" si="79"/>
        <v>34061.827543463667</v>
      </c>
      <c r="H581" s="358">
        <f t="shared" si="80"/>
        <v>7783.27</v>
      </c>
      <c r="I581" s="330">
        <f t="shared" si="81"/>
        <v>9.9551259866347657</v>
      </c>
    </row>
    <row r="582" spans="2:67">
      <c r="B582" s="283" t="s">
        <v>274</v>
      </c>
      <c r="C582" s="284">
        <f t="shared" si="75"/>
        <v>16132.246682604507</v>
      </c>
      <c r="D582" s="288">
        <f t="shared" si="76"/>
        <v>12380.333333333334</v>
      </c>
      <c r="E582" s="326">
        <f t="shared" si="77"/>
        <v>2.9695055596839897</v>
      </c>
      <c r="F582" s="326">
        <f t="shared" si="78"/>
        <v>2.7245179182036021</v>
      </c>
      <c r="G582" s="327">
        <f t="shared" si="79"/>
        <v>47904.796214187685</v>
      </c>
      <c r="H582" s="358">
        <f t="shared" si="80"/>
        <v>33730.439999999995</v>
      </c>
      <c r="I582" s="330">
        <f t="shared" si="81"/>
        <v>3.1048169344227485</v>
      </c>
    </row>
    <row r="583" spans="2:67">
      <c r="B583" s="283" t="s">
        <v>279</v>
      </c>
      <c r="C583" s="284">
        <f t="shared" si="75"/>
        <v>0</v>
      </c>
      <c r="D583" s="288">
        <f t="shared" si="76"/>
        <v>20</v>
      </c>
      <c r="E583" s="326">
        <f t="shared" si="77"/>
        <v>0</v>
      </c>
      <c r="F583" s="326">
        <f t="shared" si="78"/>
        <v>3.5583333333333336</v>
      </c>
      <c r="G583" s="327">
        <f t="shared" si="79"/>
        <v>0</v>
      </c>
      <c r="H583" s="358">
        <f t="shared" si="80"/>
        <v>71.166666666666671</v>
      </c>
      <c r="I583" s="330">
        <f t="shared" si="81"/>
        <v>5.0157242956669155E-3</v>
      </c>
    </row>
    <row r="584" spans="2:67">
      <c r="B584" s="283" t="s">
        <v>280</v>
      </c>
      <c r="C584" s="284">
        <f t="shared" si="75"/>
        <v>666.75</v>
      </c>
      <c r="D584" s="288">
        <f t="shared" si="76"/>
        <v>666.75</v>
      </c>
      <c r="E584" s="326">
        <f t="shared" si="77"/>
        <v>2.2650618672665916</v>
      </c>
      <c r="F584" s="326">
        <f t="shared" si="78"/>
        <v>2.2650618672665916</v>
      </c>
      <c r="G584" s="327">
        <f t="shared" si="79"/>
        <v>1510.23</v>
      </c>
      <c r="H584" s="358">
        <f t="shared" si="80"/>
        <v>1510.23</v>
      </c>
      <c r="I584" s="330">
        <f t="shared" si="81"/>
        <v>0.16721170870679578</v>
      </c>
    </row>
    <row r="585" spans="2:67">
      <c r="B585" s="283" t="s">
        <v>283</v>
      </c>
      <c r="C585" s="284">
        <f t="shared" si="75"/>
        <v>4439.75</v>
      </c>
      <c r="D585" s="288">
        <f t="shared" si="76"/>
        <v>4439.75</v>
      </c>
      <c r="E585" s="326">
        <f t="shared" si="77"/>
        <v>0.35402162283912375</v>
      </c>
      <c r="F585" s="326">
        <f t="shared" si="78"/>
        <v>0.35402162283912375</v>
      </c>
      <c r="G585" s="327">
        <f t="shared" si="79"/>
        <v>1571.7674999999997</v>
      </c>
      <c r="H585" s="358">
        <f t="shared" si="80"/>
        <v>1571.7674999999997</v>
      </c>
      <c r="I585" s="330">
        <f t="shared" si="81"/>
        <v>1.1134280970843593</v>
      </c>
    </row>
    <row r="586" spans="2:67">
      <c r="E586" s="326"/>
      <c r="F586" s="326"/>
      <c r="G586" s="327"/>
      <c r="H586" s="358"/>
      <c r="I586" s="330"/>
    </row>
    <row r="587" spans="2:67">
      <c r="E587" s="326"/>
      <c r="F587" s="326"/>
      <c r="G587" s="327"/>
      <c r="H587" s="358"/>
      <c r="I587" s="330"/>
    </row>
    <row r="588" spans="2:67">
      <c r="B588" s="283" t="s">
        <v>13</v>
      </c>
      <c r="C588" s="284">
        <f>SUM(C570:C585)</f>
        <v>2774500.5840509059</v>
      </c>
      <c r="D588" s="288">
        <f>SUM(D570:D585)</f>
        <v>2758724.8333333344</v>
      </c>
      <c r="E588" s="326">
        <f>IF(C588=0,0,+G588/C588)</f>
        <v>0.25741040819879446</v>
      </c>
      <c r="F588" s="326">
        <f>IF(D588=0,0,+H588/D588)</f>
        <v>0.213288644711394</v>
      </c>
      <c r="G588" s="327">
        <f>SUM(G570:G585)</f>
        <v>714185.32788833731</v>
      </c>
      <c r="H588" s="358">
        <f>SUM(H570:H585)</f>
        <v>588404.68083333317</v>
      </c>
      <c r="I588" s="330">
        <f>D588/F$595</f>
        <v>691.85015858048337</v>
      </c>
    </row>
    <row r="589" spans="2:67">
      <c r="G589" s="327"/>
      <c r="H589" s="358"/>
    </row>
    <row r="591" spans="2:67">
      <c r="D591" s="288" t="s">
        <v>230</v>
      </c>
      <c r="F591" s="286" t="s">
        <v>218</v>
      </c>
      <c r="H591" s="284" t="s">
        <v>231</v>
      </c>
    </row>
    <row r="592" spans="2:67" s="339" customFormat="1">
      <c r="B592" s="339" t="s">
        <v>243</v>
      </c>
      <c r="D592" s="330">
        <f>BL33</f>
        <v>93253.333333333328</v>
      </c>
      <c r="E592" s="326"/>
      <c r="F592" s="326">
        <f>BM33</f>
        <v>71347.613333333327</v>
      </c>
      <c r="G592" s="327"/>
      <c r="H592" s="358">
        <f>BN33</f>
        <v>65921.473333333328</v>
      </c>
      <c r="I592" s="330"/>
      <c r="J592" s="286"/>
      <c r="K592" s="286"/>
      <c r="L592" s="289"/>
      <c r="M592" s="290"/>
      <c r="N592" s="288"/>
      <c r="O592" s="286"/>
      <c r="P592" s="286"/>
      <c r="Q592" s="287"/>
      <c r="S592" s="288"/>
      <c r="T592" s="286"/>
      <c r="U592" s="286"/>
      <c r="V592" s="287"/>
      <c r="X592" s="288"/>
      <c r="Y592" s="286"/>
      <c r="Z592" s="286"/>
      <c r="AA592" s="287"/>
      <c r="AC592" s="288"/>
      <c r="AD592" s="286"/>
      <c r="AE592" s="286"/>
      <c r="AF592" s="287"/>
      <c r="AH592" s="288"/>
      <c r="AI592" s="286"/>
      <c r="AJ592" s="286"/>
      <c r="AK592" s="287"/>
      <c r="AM592" s="288"/>
      <c r="AN592" s="286"/>
      <c r="AO592" s="286"/>
      <c r="AP592" s="287"/>
      <c r="AR592" s="288"/>
      <c r="AS592" s="286"/>
      <c r="AT592" s="286"/>
      <c r="AU592" s="287"/>
      <c r="AW592" s="288"/>
      <c r="AX592" s="286"/>
      <c r="AY592" s="286"/>
      <c r="AZ592" s="287"/>
      <c r="BB592" s="288"/>
      <c r="BC592" s="286"/>
      <c r="BD592" s="286"/>
      <c r="BE592" s="287"/>
      <c r="BG592" s="288"/>
      <c r="BH592" s="286"/>
      <c r="BI592" s="286"/>
      <c r="BJ592" s="287"/>
      <c r="BL592" s="288"/>
      <c r="BM592" s="286"/>
      <c r="BN592" s="286"/>
      <c r="BO592" s="289"/>
    </row>
    <row r="594" spans="1:67">
      <c r="D594" s="288" t="s">
        <v>230</v>
      </c>
      <c r="F594" s="286" t="s">
        <v>218</v>
      </c>
      <c r="H594" s="284" t="s">
        <v>231</v>
      </c>
    </row>
    <row r="595" spans="1:67" s="344" customFormat="1">
      <c r="B595" s="344" t="s">
        <v>296</v>
      </c>
      <c r="D595" s="330">
        <f>BL34</f>
        <v>4538.482</v>
      </c>
      <c r="E595" s="326"/>
      <c r="F595" s="326">
        <f>BM34</f>
        <v>3987.4600000000005</v>
      </c>
      <c r="G595" s="327"/>
      <c r="H595" s="358">
        <f>BN34</f>
        <v>3999.3053333333337</v>
      </c>
      <c r="I595" s="330"/>
      <c r="J595" s="286"/>
      <c r="K595" s="286"/>
      <c r="L595" s="289"/>
      <c r="M595" s="290"/>
      <c r="N595" s="288"/>
      <c r="O595" s="286"/>
      <c r="P595" s="286"/>
      <c r="Q595" s="287"/>
      <c r="S595" s="288"/>
      <c r="T595" s="286"/>
      <c r="U595" s="286"/>
      <c r="V595" s="332"/>
      <c r="W595" s="345"/>
      <c r="X595" s="330"/>
      <c r="Y595" s="361"/>
      <c r="Z595" s="326"/>
      <c r="AA595" s="332"/>
      <c r="AB595" s="349"/>
      <c r="AC595" s="288"/>
      <c r="AD595" s="286"/>
      <c r="AE595" s="286"/>
      <c r="AF595" s="287"/>
      <c r="AH595" s="288"/>
      <c r="AI595" s="286"/>
      <c r="AJ595" s="286"/>
      <c r="AK595" s="287"/>
      <c r="AM595" s="288"/>
      <c r="AN595" s="286"/>
      <c r="AO595" s="286"/>
      <c r="AP595" s="287"/>
      <c r="AR595" s="288"/>
      <c r="AS595" s="286"/>
      <c r="AT595" s="286"/>
      <c r="AU595" s="287"/>
      <c r="AW595" s="288"/>
      <c r="AX595" s="286"/>
      <c r="AY595" s="286"/>
      <c r="AZ595" s="287"/>
      <c r="BB595" s="288"/>
      <c r="BC595" s="286"/>
      <c r="BD595" s="286"/>
      <c r="BE595" s="287"/>
      <c r="BG595" s="288"/>
      <c r="BH595" s="286"/>
      <c r="BI595" s="286"/>
      <c r="BJ595" s="287"/>
      <c r="BL595" s="288"/>
      <c r="BM595" s="286"/>
      <c r="BN595" s="286"/>
      <c r="BO595" s="289"/>
    </row>
    <row r="597" spans="1:67" s="339" customFormat="1">
      <c r="B597" s="339" t="s">
        <v>253</v>
      </c>
      <c r="D597" s="330">
        <f>BL36</f>
        <v>93353.483333333337</v>
      </c>
      <c r="E597" s="326"/>
      <c r="F597" s="326">
        <f>BM36</f>
        <v>92823.183333333334</v>
      </c>
      <c r="G597" s="327"/>
      <c r="H597" s="358">
        <f>BN36</f>
        <v>83419.046666666676</v>
      </c>
      <c r="I597" s="288"/>
      <c r="J597" s="286"/>
      <c r="K597" s="286"/>
      <c r="L597" s="289"/>
      <c r="M597" s="290"/>
      <c r="N597" s="288"/>
      <c r="O597" s="286"/>
      <c r="P597" s="286"/>
      <c r="Q597" s="287"/>
      <c r="S597" s="288"/>
      <c r="T597" s="286"/>
      <c r="U597" s="286"/>
      <c r="V597" s="287"/>
      <c r="X597" s="288"/>
      <c r="Y597" s="286"/>
      <c r="Z597" s="286"/>
      <c r="AA597" s="287"/>
      <c r="AC597" s="288"/>
      <c r="AD597" s="286"/>
      <c r="AE597" s="286"/>
      <c r="AF597" s="287"/>
      <c r="AH597" s="288"/>
      <c r="AI597" s="286"/>
      <c r="AJ597" s="286"/>
      <c r="AK597" s="287"/>
      <c r="AM597" s="288"/>
      <c r="AN597" s="286"/>
      <c r="AO597" s="286"/>
      <c r="AP597" s="287"/>
      <c r="AR597" s="288"/>
      <c r="AS597" s="286"/>
      <c r="AT597" s="286"/>
      <c r="AU597" s="287"/>
      <c r="AW597" s="288"/>
      <c r="AX597" s="286"/>
      <c r="AY597" s="286"/>
      <c r="AZ597" s="287"/>
      <c r="BB597" s="288"/>
      <c r="BC597" s="286"/>
      <c r="BD597" s="286"/>
      <c r="BE597" s="287"/>
      <c r="BG597" s="288"/>
      <c r="BH597" s="286"/>
      <c r="BI597" s="286"/>
      <c r="BJ597" s="287"/>
      <c r="BL597" s="288"/>
      <c r="BM597" s="286"/>
      <c r="BN597" s="286"/>
      <c r="BO597" s="289"/>
    </row>
    <row r="598" spans="1:67" s="339" customFormat="1">
      <c r="D598" s="288"/>
      <c r="E598" s="286"/>
      <c r="F598" s="286"/>
      <c r="G598" s="287"/>
      <c r="H598" s="284"/>
      <c r="I598" s="288"/>
      <c r="J598" s="286"/>
      <c r="K598" s="286"/>
      <c r="L598" s="289"/>
      <c r="M598" s="290"/>
      <c r="N598" s="288"/>
      <c r="O598" s="286"/>
      <c r="P598" s="286"/>
      <c r="Q598" s="287"/>
      <c r="S598" s="288"/>
      <c r="T598" s="286"/>
      <c r="U598" s="286"/>
      <c r="V598" s="287"/>
      <c r="X598" s="288"/>
      <c r="Y598" s="286"/>
      <c r="Z598" s="286"/>
      <c r="AA598" s="287"/>
      <c r="AC598" s="288"/>
      <c r="AD598" s="286"/>
      <c r="AE598" s="286"/>
      <c r="AF598" s="287"/>
      <c r="AH598" s="288"/>
      <c r="AI598" s="286"/>
      <c r="AJ598" s="286"/>
      <c r="AK598" s="287"/>
      <c r="AM598" s="288"/>
      <c r="AN598" s="286"/>
      <c r="AO598" s="286"/>
      <c r="AP598" s="287"/>
      <c r="AR598" s="288"/>
      <c r="AS598" s="286"/>
      <c r="AT598" s="286"/>
      <c r="AU598" s="287"/>
      <c r="AW598" s="288"/>
      <c r="AX598" s="286"/>
      <c r="AY598" s="286"/>
      <c r="AZ598" s="287"/>
      <c r="BB598" s="288"/>
      <c r="BC598" s="286"/>
      <c r="BD598" s="286"/>
      <c r="BE598" s="287"/>
      <c r="BG598" s="288"/>
      <c r="BH598" s="286"/>
      <c r="BI598" s="286"/>
      <c r="BJ598" s="287"/>
      <c r="BL598" s="288"/>
      <c r="BM598" s="286"/>
      <c r="BN598" s="286"/>
      <c r="BO598" s="289"/>
    </row>
    <row r="599" spans="1:67" s="339" customFormat="1">
      <c r="B599" s="339" t="s">
        <v>252</v>
      </c>
      <c r="D599" s="330">
        <f>BL35</f>
        <v>156.67148098876325</v>
      </c>
      <c r="E599" s="326"/>
      <c r="F599" s="326">
        <f>BM35</f>
        <v>148.68898444456201</v>
      </c>
      <c r="G599" s="327"/>
      <c r="H599" s="358">
        <f>BN35</f>
        <v>1135.1066666666668</v>
      </c>
      <c r="I599" s="288"/>
      <c r="J599" s="286"/>
      <c r="K599" s="286"/>
      <c r="L599" s="289"/>
      <c r="M599" s="290"/>
      <c r="N599" s="288"/>
      <c r="O599" s="286"/>
      <c r="P599" s="286"/>
      <c r="Q599" s="287"/>
      <c r="S599" s="288"/>
      <c r="T599" s="286"/>
      <c r="U599" s="286"/>
      <c r="V599" s="287"/>
      <c r="X599" s="288"/>
      <c r="Y599" s="286"/>
      <c r="Z599" s="286"/>
      <c r="AA599" s="287"/>
      <c r="AB599" s="340"/>
      <c r="AC599" s="288"/>
      <c r="AD599" s="286"/>
      <c r="AE599" s="286"/>
      <c r="AF599" s="287"/>
      <c r="AH599" s="288"/>
      <c r="AI599" s="286"/>
      <c r="AJ599" s="286"/>
      <c r="AK599" s="287"/>
      <c r="AM599" s="288"/>
      <c r="AN599" s="286"/>
      <c r="AO599" s="286"/>
      <c r="AP599" s="287"/>
      <c r="AR599" s="288"/>
      <c r="AS599" s="286"/>
      <c r="AT599" s="286"/>
      <c r="AU599" s="287"/>
      <c r="AW599" s="288"/>
      <c r="AX599" s="286"/>
      <c r="AY599" s="286"/>
      <c r="AZ599" s="287"/>
      <c r="BB599" s="288"/>
      <c r="BC599" s="286"/>
      <c r="BD599" s="286"/>
      <c r="BE599" s="287"/>
      <c r="BG599" s="288"/>
      <c r="BH599" s="286"/>
      <c r="BI599" s="286"/>
      <c r="BJ599" s="287"/>
      <c r="BL599" s="288"/>
      <c r="BM599" s="286"/>
      <c r="BN599" s="286"/>
      <c r="BO599" s="289"/>
    </row>
    <row r="600" spans="1:67" s="339" customFormat="1">
      <c r="D600" s="288"/>
      <c r="E600" s="286"/>
      <c r="F600" s="286"/>
      <c r="G600" s="287"/>
      <c r="H600" s="284"/>
      <c r="I600" s="288"/>
      <c r="J600" s="286"/>
      <c r="K600" s="286"/>
      <c r="L600" s="289"/>
      <c r="M600" s="290"/>
      <c r="N600" s="288"/>
      <c r="O600" s="286"/>
      <c r="P600" s="286"/>
      <c r="Q600" s="287"/>
      <c r="S600" s="288"/>
      <c r="T600" s="286"/>
      <c r="U600" s="286"/>
      <c r="V600" s="287"/>
      <c r="X600" s="288"/>
      <c r="Y600" s="286"/>
      <c r="Z600" s="286"/>
      <c r="AA600" s="287"/>
      <c r="AC600" s="288"/>
      <c r="AD600" s="286"/>
      <c r="AE600" s="286"/>
      <c r="AF600" s="287"/>
      <c r="AH600" s="288"/>
      <c r="AI600" s="286"/>
      <c r="AJ600" s="286"/>
      <c r="AK600" s="287"/>
      <c r="AM600" s="288"/>
      <c r="AN600" s="286"/>
      <c r="AO600" s="286"/>
      <c r="AP600" s="287"/>
      <c r="AR600" s="288"/>
      <c r="AS600" s="286"/>
      <c r="AT600" s="286"/>
      <c r="AU600" s="287"/>
      <c r="AW600" s="288"/>
      <c r="AX600" s="286"/>
      <c r="AY600" s="286"/>
      <c r="AZ600" s="287"/>
      <c r="BB600" s="288"/>
      <c r="BC600" s="286"/>
      <c r="BD600" s="286"/>
      <c r="BE600" s="287"/>
      <c r="BG600" s="288"/>
      <c r="BH600" s="286"/>
      <c r="BI600" s="286"/>
      <c r="BJ600" s="287"/>
      <c r="BL600" s="288"/>
      <c r="BM600" s="286"/>
      <c r="BN600" s="286"/>
      <c r="BO600" s="289"/>
    </row>
    <row r="601" spans="1:67" s="339" customFormat="1">
      <c r="A601" s="341" t="s">
        <v>192</v>
      </c>
      <c r="B601" s="339" t="s">
        <v>378</v>
      </c>
      <c r="D601" s="288"/>
      <c r="E601" s="286"/>
      <c r="F601" s="286"/>
      <c r="G601" s="287"/>
      <c r="H601" s="284"/>
      <c r="I601" s="288"/>
      <c r="J601" s="286"/>
      <c r="K601" s="286"/>
      <c r="L601" s="289"/>
      <c r="M601" s="290"/>
      <c r="N601" s="288"/>
      <c r="O601" s="286"/>
      <c r="P601" s="286"/>
      <c r="Q601" s="287"/>
      <c r="S601" s="288"/>
      <c r="T601" s="286"/>
      <c r="U601" s="286"/>
      <c r="V601" s="287"/>
      <c r="X601" s="288"/>
      <c r="Y601" s="286"/>
      <c r="Z601" s="286"/>
      <c r="AA601" s="287"/>
      <c r="AC601" s="288"/>
      <c r="AD601" s="286"/>
      <c r="AE601" s="286"/>
      <c r="AF601" s="287"/>
      <c r="AH601" s="288"/>
      <c r="AI601" s="286"/>
      <c r="AJ601" s="286"/>
      <c r="AK601" s="287"/>
      <c r="AM601" s="288"/>
      <c r="AN601" s="286"/>
      <c r="AO601" s="286"/>
      <c r="AP601" s="287"/>
      <c r="AR601" s="288"/>
      <c r="AS601" s="286"/>
      <c r="AT601" s="286"/>
      <c r="AU601" s="287"/>
      <c r="AW601" s="288"/>
      <c r="AX601" s="286"/>
      <c r="AY601" s="286"/>
      <c r="AZ601" s="287"/>
      <c r="BB601" s="288"/>
      <c r="BC601" s="286"/>
      <c r="BD601" s="286"/>
      <c r="BE601" s="287"/>
      <c r="BG601" s="288"/>
      <c r="BH601" s="286"/>
      <c r="BI601" s="286"/>
      <c r="BJ601" s="287"/>
      <c r="BL601" s="288"/>
      <c r="BM601" s="286"/>
      <c r="BN601" s="286"/>
      <c r="BO601" s="289"/>
    </row>
    <row r="602" spans="1:67" s="339" customFormat="1">
      <c r="A602" s="341" t="s">
        <v>192</v>
      </c>
      <c r="B602" s="339" t="s">
        <v>379</v>
      </c>
      <c r="D602" s="288"/>
      <c r="E602" s="286"/>
      <c r="F602" s="286"/>
      <c r="G602" s="327">
        <f>(F595-D595)*(C588/D595)*E588</f>
        <v>-86710.011793301601</v>
      </c>
      <c r="H602" s="284"/>
      <c r="I602" s="288"/>
      <c r="J602" s="286"/>
      <c r="K602" s="286"/>
      <c r="L602" s="289"/>
      <c r="M602" s="290"/>
      <c r="N602" s="288"/>
      <c r="O602" s="286"/>
      <c r="P602" s="286"/>
      <c r="Q602" s="287"/>
      <c r="S602" s="288"/>
      <c r="T602" s="286"/>
      <c r="U602" s="286"/>
      <c r="V602" s="287"/>
      <c r="X602" s="288"/>
      <c r="Y602" s="286"/>
      <c r="Z602" s="286"/>
      <c r="AA602" s="287"/>
      <c r="AC602" s="288"/>
      <c r="AD602" s="286"/>
      <c r="AE602" s="286"/>
      <c r="AF602" s="287"/>
      <c r="AH602" s="288"/>
      <c r="AI602" s="286"/>
      <c r="AJ602" s="286"/>
      <c r="AK602" s="287"/>
      <c r="AM602" s="288"/>
      <c r="AN602" s="286"/>
      <c r="AO602" s="286"/>
      <c r="AP602" s="287"/>
      <c r="AR602" s="288"/>
      <c r="AS602" s="286"/>
      <c r="AT602" s="286"/>
      <c r="AU602" s="287"/>
      <c r="AW602" s="288"/>
      <c r="AX602" s="286"/>
      <c r="AY602" s="286"/>
      <c r="AZ602" s="287"/>
      <c r="BB602" s="288"/>
      <c r="BC602" s="286"/>
      <c r="BD602" s="286"/>
      <c r="BE602" s="287"/>
      <c r="BG602" s="288"/>
      <c r="BH602" s="286"/>
      <c r="BI602" s="286"/>
      <c r="BJ602" s="287"/>
      <c r="BL602" s="288"/>
      <c r="BM602" s="286"/>
      <c r="BN602" s="286"/>
      <c r="BO602" s="289"/>
    </row>
    <row r="603" spans="1:67" s="339" customFormat="1">
      <c r="A603" s="341" t="s">
        <v>192</v>
      </c>
      <c r="B603" s="339" t="s">
        <v>380</v>
      </c>
      <c r="D603" s="288"/>
      <c r="E603" s="286"/>
      <c r="F603" s="286"/>
      <c r="G603" s="327">
        <f>(D588/F595-C588/D595)*(F595*E588)</f>
        <v>82649.169361449123</v>
      </c>
      <c r="H603" s="358"/>
      <c r="I603" s="288"/>
      <c r="J603" s="286"/>
      <c r="K603" s="286"/>
      <c r="L603" s="289"/>
      <c r="M603" s="290"/>
      <c r="N603" s="288"/>
      <c r="O603" s="286"/>
      <c r="P603" s="286"/>
      <c r="Q603" s="287"/>
      <c r="S603" s="288"/>
      <c r="T603" s="286"/>
      <c r="U603" s="286"/>
      <c r="V603" s="287"/>
      <c r="X603" s="288"/>
      <c r="Y603" s="286"/>
      <c r="Z603" s="286"/>
      <c r="AA603" s="287"/>
      <c r="AC603" s="288"/>
      <c r="AD603" s="286"/>
      <c r="AE603" s="286"/>
      <c r="AF603" s="287"/>
      <c r="AH603" s="288"/>
      <c r="AI603" s="286"/>
      <c r="AJ603" s="286"/>
      <c r="AK603" s="287"/>
      <c r="AM603" s="288"/>
      <c r="AN603" s="286"/>
      <c r="AO603" s="286"/>
      <c r="AP603" s="287"/>
      <c r="AR603" s="288"/>
      <c r="AS603" s="286"/>
      <c r="AT603" s="286"/>
      <c r="AU603" s="287"/>
      <c r="AW603" s="288"/>
      <c r="AX603" s="286"/>
      <c r="AY603" s="286"/>
      <c r="AZ603" s="287"/>
      <c r="BB603" s="288"/>
      <c r="BC603" s="286"/>
      <c r="BD603" s="286"/>
      <c r="BE603" s="287"/>
      <c r="BG603" s="288"/>
      <c r="BH603" s="286"/>
      <c r="BI603" s="286"/>
      <c r="BJ603" s="287"/>
      <c r="BL603" s="288"/>
      <c r="BM603" s="286"/>
      <c r="BN603" s="286"/>
      <c r="BO603" s="289"/>
    </row>
    <row r="604" spans="1:67" s="339" customFormat="1">
      <c r="A604" s="341" t="s">
        <v>192</v>
      </c>
      <c r="B604" s="339" t="s">
        <v>381</v>
      </c>
      <c r="D604" s="288"/>
      <c r="E604" s="286"/>
      <c r="F604" s="286"/>
      <c r="G604" s="327">
        <f>(F588-E588)*D588</f>
        <v>-121719.80462315163</v>
      </c>
      <c r="H604" s="358"/>
      <c r="I604" s="288"/>
      <c r="J604" s="286"/>
      <c r="K604" s="286"/>
      <c r="L604" s="289"/>
      <c r="M604" s="290"/>
      <c r="N604" s="288"/>
      <c r="O604" s="286"/>
      <c r="P604" s="286"/>
      <c r="Q604" s="287"/>
      <c r="S604" s="288"/>
      <c r="T604" s="286"/>
      <c r="U604" s="286"/>
      <c r="V604" s="287"/>
      <c r="X604" s="288"/>
      <c r="Y604" s="286"/>
      <c r="Z604" s="286"/>
      <c r="AA604" s="287"/>
      <c r="AC604" s="288"/>
      <c r="AD604" s="286"/>
      <c r="AE604" s="286"/>
      <c r="AF604" s="287"/>
      <c r="AH604" s="288"/>
      <c r="AI604" s="286"/>
      <c r="AJ604" s="286"/>
      <c r="AK604" s="287"/>
      <c r="AM604" s="288"/>
      <c r="AN604" s="286"/>
      <c r="AO604" s="286"/>
      <c r="AP604" s="287"/>
      <c r="AR604" s="288"/>
      <c r="AS604" s="286"/>
      <c r="AT604" s="286"/>
      <c r="AU604" s="287"/>
      <c r="AW604" s="288"/>
      <c r="AX604" s="286"/>
      <c r="AY604" s="286"/>
      <c r="AZ604" s="287"/>
      <c r="BB604" s="288"/>
      <c r="BC604" s="286"/>
      <c r="BD604" s="286"/>
      <c r="BE604" s="287"/>
      <c r="BG604" s="288"/>
      <c r="BH604" s="286"/>
      <c r="BI604" s="286"/>
      <c r="BJ604" s="287"/>
      <c r="BL604" s="288"/>
      <c r="BM604" s="286"/>
      <c r="BN604" s="286"/>
      <c r="BO604" s="289"/>
    </row>
    <row r="605" spans="1:67" s="339" customFormat="1">
      <c r="A605" s="341" t="s">
        <v>192</v>
      </c>
      <c r="B605" s="339" t="s">
        <v>382</v>
      </c>
      <c r="D605" s="288"/>
      <c r="E605" s="286"/>
      <c r="F605" s="286"/>
      <c r="G605" s="327">
        <f>SUM(G602:G604)</f>
        <v>-125780.64705500411</v>
      </c>
      <c r="H605" s="358"/>
      <c r="I605" s="288"/>
      <c r="J605" s="286"/>
      <c r="K605" s="286"/>
      <c r="L605" s="289"/>
      <c r="M605" s="290"/>
      <c r="N605" s="288"/>
      <c r="O605" s="286"/>
      <c r="P605" s="286"/>
      <c r="Q605" s="287"/>
      <c r="S605" s="288"/>
      <c r="T605" s="286"/>
      <c r="U605" s="286"/>
      <c r="V605" s="287"/>
      <c r="X605" s="288"/>
      <c r="Y605" s="286"/>
      <c r="Z605" s="286"/>
      <c r="AA605" s="287"/>
      <c r="AC605" s="288"/>
      <c r="AD605" s="286"/>
      <c r="AE605" s="286"/>
      <c r="AF605" s="287"/>
      <c r="AH605" s="288"/>
      <c r="AI605" s="286"/>
      <c r="AJ605" s="286"/>
      <c r="AK605" s="287"/>
      <c r="AM605" s="288"/>
      <c r="AN605" s="286"/>
      <c r="AO605" s="286"/>
      <c r="AP605" s="287"/>
      <c r="AR605" s="288"/>
      <c r="AS605" s="286"/>
      <c r="AT605" s="286"/>
      <c r="AU605" s="287"/>
      <c r="AW605" s="288"/>
      <c r="AX605" s="286"/>
      <c r="AY605" s="286"/>
      <c r="AZ605" s="287"/>
      <c r="BB605" s="288"/>
      <c r="BC605" s="286"/>
      <c r="BD605" s="286"/>
      <c r="BE605" s="287"/>
      <c r="BG605" s="288"/>
      <c r="BH605" s="286"/>
      <c r="BI605" s="286"/>
      <c r="BJ605" s="287"/>
      <c r="BL605" s="288"/>
      <c r="BM605" s="286"/>
      <c r="BN605" s="286"/>
      <c r="BO605" s="289"/>
    </row>
    <row r="606" spans="1:67" s="339" customFormat="1">
      <c r="A606" s="341" t="s">
        <v>327</v>
      </c>
      <c r="D606" s="288"/>
      <c r="E606" s="286"/>
      <c r="F606" s="286"/>
      <c r="G606" s="287"/>
      <c r="H606" s="284"/>
      <c r="I606" s="288"/>
      <c r="J606" s="286"/>
      <c r="K606" s="286"/>
      <c r="L606" s="289"/>
      <c r="M606" s="290"/>
      <c r="N606" s="288"/>
      <c r="O606" s="286"/>
      <c r="P606" s="286"/>
      <c r="Q606" s="287"/>
      <c r="S606" s="288"/>
      <c r="T606" s="286"/>
      <c r="U606" s="286"/>
      <c r="V606" s="287"/>
      <c r="X606" s="288"/>
      <c r="Y606" s="286"/>
      <c r="Z606" s="286"/>
      <c r="AA606" s="287"/>
      <c r="AC606" s="288"/>
      <c r="AD606" s="286"/>
      <c r="AE606" s="286"/>
      <c r="AF606" s="287"/>
      <c r="AH606" s="288"/>
      <c r="AI606" s="286"/>
      <c r="AJ606" s="286"/>
      <c r="AK606" s="287"/>
      <c r="AM606" s="288"/>
      <c r="AN606" s="286"/>
      <c r="AO606" s="286"/>
      <c r="AP606" s="287"/>
      <c r="AR606" s="288"/>
      <c r="AS606" s="286"/>
      <c r="AT606" s="286"/>
      <c r="AU606" s="287"/>
      <c r="AW606" s="288"/>
      <c r="AX606" s="286"/>
      <c r="AY606" s="286"/>
      <c r="AZ606" s="287"/>
      <c r="BB606" s="288"/>
      <c r="BC606" s="286"/>
      <c r="BD606" s="286"/>
      <c r="BE606" s="287"/>
      <c r="BG606" s="288"/>
      <c r="BH606" s="286"/>
      <c r="BI606" s="286"/>
      <c r="BJ606" s="287"/>
      <c r="BL606" s="288"/>
      <c r="BM606" s="286"/>
      <c r="BN606" s="286"/>
      <c r="BO606" s="289"/>
    </row>
    <row r="607" spans="1:67" s="339" customFormat="1">
      <c r="D607" s="288"/>
      <c r="E607" s="286"/>
      <c r="F607" s="286"/>
      <c r="G607" s="287"/>
      <c r="H607" s="284"/>
      <c r="I607" s="288"/>
      <c r="J607" s="286"/>
      <c r="K607" s="286"/>
      <c r="L607" s="289"/>
      <c r="M607" s="290"/>
      <c r="N607" s="288"/>
      <c r="O607" s="286"/>
      <c r="P607" s="286"/>
      <c r="Q607" s="287"/>
      <c r="S607" s="288"/>
      <c r="T607" s="286"/>
      <c r="U607" s="286"/>
      <c r="V607" s="287"/>
      <c r="X607" s="288"/>
      <c r="Y607" s="286"/>
      <c r="Z607" s="286"/>
      <c r="AA607" s="287"/>
      <c r="AC607" s="288"/>
      <c r="AD607" s="286"/>
      <c r="AE607" s="286"/>
      <c r="AF607" s="287"/>
      <c r="AH607" s="288"/>
      <c r="AI607" s="286"/>
      <c r="AJ607" s="286"/>
      <c r="AK607" s="287"/>
      <c r="AM607" s="288"/>
      <c r="AN607" s="286"/>
      <c r="AO607" s="286"/>
      <c r="AP607" s="287"/>
      <c r="AR607" s="288"/>
      <c r="AS607" s="286"/>
      <c r="AT607" s="286"/>
      <c r="AU607" s="287"/>
      <c r="AW607" s="288"/>
      <c r="AX607" s="286"/>
      <c r="AY607" s="286"/>
      <c r="AZ607" s="287"/>
      <c r="BB607" s="288"/>
      <c r="BC607" s="286"/>
      <c r="BD607" s="286"/>
      <c r="BE607" s="287"/>
      <c r="BG607" s="288"/>
      <c r="BH607" s="286"/>
      <c r="BI607" s="286"/>
      <c r="BJ607" s="287"/>
      <c r="BL607" s="288"/>
      <c r="BM607" s="286"/>
      <c r="BN607" s="286"/>
      <c r="BO607" s="289"/>
    </row>
    <row r="615" spans="2:67">
      <c r="B615" s="283" t="s">
        <v>448</v>
      </c>
    </row>
    <row r="616" spans="2:67">
      <c r="B616" s="283" t="str">
        <f>B564</f>
        <v>Year-to-Date</v>
      </c>
    </row>
    <row r="618" spans="2:67">
      <c r="B618" s="283" t="s">
        <v>383</v>
      </c>
    </row>
    <row r="619" spans="2:67">
      <c r="B619" s="283" t="s">
        <v>384</v>
      </c>
      <c r="E619" s="286" t="s">
        <v>385</v>
      </c>
      <c r="F619" s="326">
        <f>F669</f>
        <v>-125780.64705500402</v>
      </c>
    </row>
    <row r="621" spans="2:67">
      <c r="D621" s="305" t="s">
        <v>386</v>
      </c>
      <c r="E621" s="306" t="s">
        <v>387</v>
      </c>
      <c r="F621" s="306" t="s">
        <v>388</v>
      </c>
    </row>
    <row r="623" spans="2:67" s="339" customFormat="1">
      <c r="B623" s="339" t="s">
        <v>389</v>
      </c>
      <c r="D623" s="288"/>
      <c r="E623" s="286"/>
      <c r="F623" s="286"/>
      <c r="G623" s="287"/>
      <c r="H623" s="284"/>
      <c r="I623" s="288"/>
      <c r="J623" s="286"/>
      <c r="K623" s="286"/>
      <c r="L623" s="289"/>
      <c r="M623" s="290"/>
      <c r="N623" s="288"/>
      <c r="O623" s="286"/>
      <c r="P623" s="286"/>
      <c r="Q623" s="287"/>
      <c r="S623" s="288"/>
      <c r="T623" s="286"/>
      <c r="U623" s="286"/>
      <c r="V623" s="287"/>
      <c r="X623" s="288"/>
      <c r="Y623" s="286"/>
      <c r="Z623" s="286"/>
      <c r="AA623" s="287"/>
      <c r="AC623" s="288"/>
      <c r="AD623" s="286"/>
      <c r="AE623" s="286"/>
      <c r="AF623" s="287"/>
      <c r="AH623" s="288"/>
      <c r="AI623" s="286"/>
      <c r="AJ623" s="286"/>
      <c r="AK623" s="287"/>
      <c r="AM623" s="288"/>
      <c r="AN623" s="286"/>
      <c r="AO623" s="286"/>
      <c r="AP623" s="287"/>
      <c r="AR623" s="288"/>
      <c r="AS623" s="286"/>
      <c r="AT623" s="286"/>
      <c r="AU623" s="287"/>
      <c r="AW623" s="288"/>
      <c r="AX623" s="286"/>
      <c r="AY623" s="286"/>
      <c r="AZ623" s="287"/>
      <c r="BB623" s="288"/>
      <c r="BC623" s="286"/>
      <c r="BD623" s="286"/>
      <c r="BE623" s="287"/>
      <c r="BG623" s="288"/>
      <c r="BH623" s="286"/>
      <c r="BI623" s="286"/>
      <c r="BJ623" s="287"/>
      <c r="BL623" s="288"/>
      <c r="BM623" s="286"/>
      <c r="BN623" s="286"/>
      <c r="BO623" s="289"/>
    </row>
    <row r="624" spans="2:67" s="339" customFormat="1">
      <c r="B624" s="365" t="s">
        <v>425</v>
      </c>
      <c r="C624" s="339" t="s">
        <v>390</v>
      </c>
      <c r="D624" s="330">
        <f>G571</f>
        <v>254695.75719284127</v>
      </c>
      <c r="E624" s="326">
        <f>H571</f>
        <v>270487.08666666667</v>
      </c>
      <c r="F624" s="326">
        <f>E624-D624</f>
        <v>15791.329473825404</v>
      </c>
      <c r="G624" s="287"/>
      <c r="H624" s="284"/>
      <c r="I624" s="288"/>
      <c r="J624" s="286"/>
      <c r="K624" s="286"/>
      <c r="L624" s="289"/>
      <c r="M624" s="290"/>
      <c r="N624" s="288"/>
      <c r="O624" s="286"/>
      <c r="P624" s="286"/>
      <c r="Q624" s="287"/>
      <c r="S624" s="288"/>
      <c r="T624" s="286"/>
      <c r="U624" s="286"/>
      <c r="V624" s="287"/>
      <c r="X624" s="288"/>
      <c r="Y624" s="286"/>
      <c r="Z624" s="286"/>
      <c r="AA624" s="287"/>
      <c r="AC624" s="288"/>
      <c r="AD624" s="286"/>
      <c r="AE624" s="286"/>
      <c r="AF624" s="287"/>
      <c r="AH624" s="288"/>
      <c r="AI624" s="286"/>
      <c r="AJ624" s="286"/>
      <c r="AK624" s="287"/>
      <c r="AM624" s="288"/>
      <c r="AN624" s="286"/>
      <c r="AO624" s="286"/>
      <c r="AP624" s="287"/>
      <c r="AR624" s="288"/>
      <c r="AS624" s="286"/>
      <c r="AT624" s="286"/>
      <c r="AU624" s="287"/>
      <c r="AW624" s="288"/>
      <c r="AX624" s="286"/>
      <c r="AY624" s="286"/>
      <c r="AZ624" s="287"/>
      <c r="BB624" s="288"/>
      <c r="BC624" s="286"/>
      <c r="BD624" s="286"/>
      <c r="BE624" s="287"/>
      <c r="BG624" s="288"/>
      <c r="BH624" s="286"/>
      <c r="BI624" s="286"/>
      <c r="BJ624" s="287"/>
      <c r="BL624" s="288"/>
      <c r="BM624" s="286"/>
      <c r="BN624" s="286"/>
      <c r="BO624" s="289"/>
    </row>
    <row r="625" spans="2:67" s="339" customFormat="1">
      <c r="B625" s="365" t="s">
        <v>391</v>
      </c>
      <c r="C625" s="339" t="s">
        <v>390</v>
      </c>
      <c r="D625" s="330">
        <f>G570</f>
        <v>0</v>
      </c>
      <c r="E625" s="326">
        <f>H570</f>
        <v>4373.7733333333335</v>
      </c>
      <c r="F625" s="326">
        <f>E625-D625</f>
        <v>4373.7733333333335</v>
      </c>
      <c r="G625" s="287"/>
      <c r="H625" s="284"/>
      <c r="I625" s="288"/>
      <c r="J625" s="286"/>
      <c r="K625" s="286"/>
      <c r="L625" s="289"/>
      <c r="M625" s="290"/>
      <c r="N625" s="288"/>
      <c r="O625" s="286"/>
      <c r="P625" s="286"/>
      <c r="Q625" s="287"/>
      <c r="S625" s="288"/>
      <c r="T625" s="286"/>
      <c r="U625" s="286"/>
      <c r="V625" s="287"/>
      <c r="X625" s="288"/>
      <c r="Y625" s="286"/>
      <c r="Z625" s="286"/>
      <c r="AA625" s="287"/>
      <c r="AC625" s="288"/>
      <c r="AD625" s="286"/>
      <c r="AE625" s="286"/>
      <c r="AF625" s="287"/>
      <c r="AH625" s="288"/>
      <c r="AI625" s="286"/>
      <c r="AJ625" s="286"/>
      <c r="AK625" s="287"/>
      <c r="AM625" s="288"/>
      <c r="AN625" s="286"/>
      <c r="AO625" s="286"/>
      <c r="AP625" s="287"/>
      <c r="AR625" s="288"/>
      <c r="AS625" s="286"/>
      <c r="AT625" s="286"/>
      <c r="AU625" s="287"/>
      <c r="AW625" s="288"/>
      <c r="AX625" s="286"/>
      <c r="AY625" s="286"/>
      <c r="AZ625" s="287"/>
      <c r="BB625" s="288"/>
      <c r="BC625" s="286"/>
      <c r="BD625" s="286"/>
      <c r="BE625" s="287"/>
      <c r="BG625" s="288"/>
      <c r="BH625" s="286"/>
      <c r="BI625" s="286"/>
      <c r="BJ625" s="287"/>
      <c r="BL625" s="288"/>
      <c r="BM625" s="286"/>
      <c r="BN625" s="286"/>
      <c r="BO625" s="289"/>
    </row>
    <row r="626" spans="2:67" s="339" customFormat="1">
      <c r="B626" s="365" t="s">
        <v>392</v>
      </c>
      <c r="C626" s="339" t="s">
        <v>393</v>
      </c>
      <c r="D626" s="330">
        <f>G577</f>
        <v>33170.203515535861</v>
      </c>
      <c r="E626" s="326">
        <f>H577</f>
        <v>22844.289999999997</v>
      </c>
      <c r="F626" s="326">
        <f>E626-D626</f>
        <v>-10325.913515535864</v>
      </c>
      <c r="G626" s="287"/>
      <c r="H626" s="284"/>
      <c r="I626" s="288"/>
      <c r="J626" s="286"/>
      <c r="K626" s="286"/>
      <c r="L626" s="289"/>
      <c r="M626" s="290"/>
      <c r="N626" s="288"/>
      <c r="O626" s="286"/>
      <c r="P626" s="286"/>
      <c r="Q626" s="287"/>
      <c r="S626" s="288"/>
      <c r="T626" s="286"/>
      <c r="U626" s="286"/>
      <c r="V626" s="287"/>
      <c r="X626" s="288"/>
      <c r="Y626" s="286"/>
      <c r="Z626" s="286"/>
      <c r="AA626" s="287"/>
      <c r="AC626" s="288"/>
      <c r="AD626" s="286"/>
      <c r="AE626" s="286"/>
      <c r="AF626" s="287"/>
      <c r="AH626" s="288"/>
      <c r="AI626" s="286"/>
      <c r="AJ626" s="286"/>
      <c r="AK626" s="287"/>
      <c r="AM626" s="288"/>
      <c r="AN626" s="286"/>
      <c r="AO626" s="286"/>
      <c r="AP626" s="287"/>
      <c r="AR626" s="288"/>
      <c r="AS626" s="286"/>
      <c r="AT626" s="286"/>
      <c r="AU626" s="287"/>
      <c r="AW626" s="288"/>
      <c r="AX626" s="286"/>
      <c r="AY626" s="286"/>
      <c r="AZ626" s="287"/>
      <c r="BB626" s="288"/>
      <c r="BC626" s="286"/>
      <c r="BD626" s="286"/>
      <c r="BE626" s="287"/>
      <c r="BG626" s="288"/>
      <c r="BH626" s="286"/>
      <c r="BI626" s="286"/>
      <c r="BJ626" s="287"/>
      <c r="BL626" s="288"/>
      <c r="BM626" s="286"/>
      <c r="BN626" s="286"/>
      <c r="BO626" s="289"/>
    </row>
    <row r="627" spans="2:67" s="339" customFormat="1">
      <c r="D627" s="330"/>
      <c r="E627" s="326"/>
      <c r="F627" s="326"/>
      <c r="G627" s="287"/>
      <c r="H627" s="284"/>
      <c r="I627" s="288"/>
      <c r="J627" s="286"/>
      <c r="K627" s="286"/>
      <c r="L627" s="289"/>
      <c r="M627" s="290"/>
      <c r="N627" s="288"/>
      <c r="O627" s="286"/>
      <c r="P627" s="286"/>
      <c r="Q627" s="287"/>
      <c r="S627" s="288"/>
      <c r="T627" s="286"/>
      <c r="U627" s="286"/>
      <c r="V627" s="287"/>
      <c r="X627" s="288"/>
      <c r="Y627" s="286"/>
      <c r="Z627" s="286"/>
      <c r="AA627" s="287"/>
      <c r="AC627" s="288"/>
      <c r="AD627" s="286"/>
      <c r="AE627" s="286"/>
      <c r="AF627" s="287"/>
      <c r="AH627" s="288"/>
      <c r="AI627" s="286"/>
      <c r="AJ627" s="286"/>
      <c r="AK627" s="287"/>
      <c r="AM627" s="288"/>
      <c r="AN627" s="286"/>
      <c r="AO627" s="286"/>
      <c r="AP627" s="287"/>
      <c r="AR627" s="288"/>
      <c r="AS627" s="286"/>
      <c r="AT627" s="286"/>
      <c r="AU627" s="287"/>
      <c r="AW627" s="288"/>
      <c r="AX627" s="286"/>
      <c r="AY627" s="286"/>
      <c r="AZ627" s="287"/>
      <c r="BB627" s="288"/>
      <c r="BC627" s="286"/>
      <c r="BD627" s="286"/>
      <c r="BE627" s="287"/>
      <c r="BG627" s="288"/>
      <c r="BH627" s="286"/>
      <c r="BI627" s="286"/>
      <c r="BJ627" s="287"/>
      <c r="BL627" s="288"/>
      <c r="BM627" s="286"/>
      <c r="BN627" s="286"/>
      <c r="BO627" s="289"/>
    </row>
    <row r="628" spans="2:67" s="339" customFormat="1">
      <c r="B628" s="365" t="s">
        <v>394</v>
      </c>
      <c r="C628" s="339" t="s">
        <v>395</v>
      </c>
      <c r="D628" s="330">
        <f>G583</f>
        <v>0</v>
      </c>
      <c r="E628" s="326">
        <f>H583</f>
        <v>71.166666666666671</v>
      </c>
      <c r="F628" s="326">
        <f>E628-D628</f>
        <v>71.166666666666671</v>
      </c>
      <c r="G628" s="287"/>
      <c r="H628" s="284"/>
      <c r="I628" s="288"/>
      <c r="J628" s="286"/>
      <c r="K628" s="286"/>
      <c r="L628" s="289"/>
      <c r="M628" s="290"/>
      <c r="N628" s="288"/>
      <c r="O628" s="286"/>
      <c r="P628" s="286"/>
      <c r="Q628" s="287"/>
      <c r="S628" s="288"/>
      <c r="T628" s="286"/>
      <c r="U628" s="286"/>
      <c r="V628" s="287"/>
      <c r="X628" s="288"/>
      <c r="Y628" s="286"/>
      <c r="Z628" s="286"/>
      <c r="AA628" s="287"/>
      <c r="AC628" s="288"/>
      <c r="AD628" s="286"/>
      <c r="AE628" s="286"/>
      <c r="AF628" s="287"/>
      <c r="AH628" s="288"/>
      <c r="AI628" s="286"/>
      <c r="AJ628" s="286"/>
      <c r="AK628" s="287"/>
      <c r="AM628" s="288"/>
      <c r="AN628" s="286"/>
      <c r="AO628" s="286"/>
      <c r="AP628" s="287"/>
      <c r="AR628" s="288"/>
      <c r="AS628" s="286"/>
      <c r="AT628" s="286"/>
      <c r="AU628" s="287"/>
      <c r="AW628" s="288"/>
      <c r="AX628" s="286"/>
      <c r="AY628" s="286"/>
      <c r="AZ628" s="287"/>
      <c r="BB628" s="288"/>
      <c r="BC628" s="286"/>
      <c r="BD628" s="286"/>
      <c r="BE628" s="287"/>
      <c r="BG628" s="288"/>
      <c r="BH628" s="286"/>
      <c r="BI628" s="286"/>
      <c r="BJ628" s="287"/>
      <c r="BL628" s="288"/>
      <c r="BM628" s="286"/>
      <c r="BN628" s="286"/>
      <c r="BO628" s="289"/>
    </row>
    <row r="629" spans="2:67" s="339" customFormat="1">
      <c r="B629" s="339" t="s">
        <v>396</v>
      </c>
      <c r="D629" s="330"/>
      <c r="E629" s="326"/>
      <c r="F629" s="326"/>
      <c r="G629" s="287"/>
      <c r="H629" s="284"/>
      <c r="I629" s="288"/>
      <c r="J629" s="286"/>
      <c r="K629" s="286"/>
      <c r="L629" s="289"/>
      <c r="M629" s="290"/>
      <c r="N629" s="288"/>
      <c r="O629" s="286"/>
      <c r="P629" s="286"/>
      <c r="Q629" s="287"/>
      <c r="S629" s="288"/>
      <c r="T629" s="286"/>
      <c r="U629" s="286"/>
      <c r="V629" s="287"/>
      <c r="X629" s="288"/>
      <c r="Y629" s="286"/>
      <c r="Z629" s="286"/>
      <c r="AA629" s="287"/>
      <c r="AC629" s="288"/>
      <c r="AD629" s="286"/>
      <c r="AE629" s="286"/>
      <c r="AF629" s="287"/>
      <c r="AH629" s="288"/>
      <c r="AI629" s="286"/>
      <c r="AJ629" s="286"/>
      <c r="AK629" s="287"/>
      <c r="AM629" s="288"/>
      <c r="AN629" s="286"/>
      <c r="AO629" s="286"/>
      <c r="AP629" s="287"/>
      <c r="AR629" s="288"/>
      <c r="AS629" s="286"/>
      <c r="AT629" s="286"/>
      <c r="AU629" s="287"/>
      <c r="AW629" s="288"/>
      <c r="AX629" s="286"/>
      <c r="AY629" s="286"/>
      <c r="AZ629" s="287"/>
      <c r="BB629" s="288"/>
      <c r="BC629" s="286"/>
      <c r="BD629" s="286"/>
      <c r="BE629" s="287"/>
      <c r="BG629" s="288"/>
      <c r="BH629" s="286"/>
      <c r="BI629" s="286"/>
      <c r="BJ629" s="287"/>
      <c r="BL629" s="288"/>
      <c r="BM629" s="286"/>
      <c r="BN629" s="286"/>
      <c r="BO629" s="289"/>
    </row>
    <row r="630" spans="2:67" s="339" customFormat="1">
      <c r="B630" s="339" t="s">
        <v>397</v>
      </c>
      <c r="D630" s="330">
        <f>SUM(D624:D628)</f>
        <v>287865.96070837713</v>
      </c>
      <c r="E630" s="326">
        <f>SUM(E624:E628)</f>
        <v>297776.31666666665</v>
      </c>
      <c r="F630" s="326">
        <f>E630-D630</f>
        <v>9910.355958289525</v>
      </c>
      <c r="G630" s="287"/>
      <c r="H630" s="284"/>
      <c r="I630" s="288"/>
      <c r="J630" s="286"/>
      <c r="K630" s="286"/>
      <c r="L630" s="289"/>
      <c r="M630" s="290"/>
      <c r="N630" s="288"/>
      <c r="O630" s="286"/>
      <c r="P630" s="286"/>
      <c r="Q630" s="287"/>
      <c r="S630" s="288"/>
      <c r="T630" s="286"/>
      <c r="U630" s="286"/>
      <c r="V630" s="287"/>
      <c r="X630" s="288"/>
      <c r="Y630" s="286"/>
      <c r="Z630" s="286"/>
      <c r="AA630" s="287"/>
      <c r="AC630" s="288"/>
      <c r="AD630" s="286"/>
      <c r="AE630" s="286"/>
      <c r="AF630" s="287"/>
      <c r="AH630" s="288"/>
      <c r="AI630" s="286"/>
      <c r="AJ630" s="286"/>
      <c r="AK630" s="287"/>
      <c r="AM630" s="288"/>
      <c r="AN630" s="286"/>
      <c r="AO630" s="286"/>
      <c r="AP630" s="287"/>
      <c r="AR630" s="288"/>
      <c r="AS630" s="286"/>
      <c r="AT630" s="286"/>
      <c r="AU630" s="287"/>
      <c r="AW630" s="288"/>
      <c r="AX630" s="286"/>
      <c r="AY630" s="286"/>
      <c r="AZ630" s="287"/>
      <c r="BB630" s="288"/>
      <c r="BC630" s="286"/>
      <c r="BD630" s="286"/>
      <c r="BE630" s="287"/>
      <c r="BG630" s="288"/>
      <c r="BH630" s="286"/>
      <c r="BI630" s="286"/>
      <c r="BJ630" s="287"/>
      <c r="BL630" s="288"/>
      <c r="BM630" s="286"/>
      <c r="BN630" s="286"/>
      <c r="BO630" s="289"/>
    </row>
    <row r="631" spans="2:67" s="339" customFormat="1">
      <c r="B631" s="339" t="s">
        <v>396</v>
      </c>
      <c r="D631" s="330"/>
      <c r="E631" s="326"/>
      <c r="F631" s="326"/>
      <c r="G631" s="287"/>
      <c r="H631" s="284"/>
      <c r="I631" s="288"/>
      <c r="J631" s="286"/>
      <c r="K631" s="286"/>
      <c r="L631" s="289"/>
      <c r="M631" s="290"/>
      <c r="N631" s="288"/>
      <c r="O631" s="286"/>
      <c r="P631" s="286"/>
      <c r="Q631" s="287"/>
      <c r="S631" s="288"/>
      <c r="T631" s="286"/>
      <c r="U631" s="286"/>
      <c r="V631" s="287"/>
      <c r="X631" s="288"/>
      <c r="Y631" s="286"/>
      <c r="Z631" s="286"/>
      <c r="AA631" s="287"/>
      <c r="AC631" s="288"/>
      <c r="AD631" s="286"/>
      <c r="AE631" s="286"/>
      <c r="AF631" s="287"/>
      <c r="AH631" s="288"/>
      <c r="AI631" s="286"/>
      <c r="AJ631" s="286"/>
      <c r="AK631" s="287"/>
      <c r="AM631" s="288"/>
      <c r="AN631" s="286"/>
      <c r="AO631" s="286"/>
      <c r="AP631" s="287"/>
      <c r="AR631" s="288"/>
      <c r="AS631" s="286"/>
      <c r="AT631" s="286"/>
      <c r="AU631" s="287"/>
      <c r="AW631" s="288"/>
      <c r="AX631" s="286"/>
      <c r="AY631" s="286"/>
      <c r="AZ631" s="287"/>
      <c r="BB631" s="288"/>
      <c r="BC631" s="286"/>
      <c r="BD631" s="286"/>
      <c r="BE631" s="287"/>
      <c r="BG631" s="288"/>
      <c r="BH631" s="286"/>
      <c r="BI631" s="286"/>
      <c r="BJ631" s="287"/>
      <c r="BL631" s="288"/>
      <c r="BM631" s="286"/>
      <c r="BN631" s="286"/>
      <c r="BO631" s="289"/>
    </row>
    <row r="632" spans="2:67" s="339" customFormat="1">
      <c r="D632" s="330"/>
      <c r="E632" s="326"/>
      <c r="F632" s="326"/>
      <c r="G632" s="287"/>
      <c r="H632" s="284"/>
      <c r="I632" s="288"/>
      <c r="J632" s="286"/>
      <c r="K632" s="286"/>
      <c r="L632" s="289"/>
      <c r="M632" s="290"/>
      <c r="N632" s="288"/>
      <c r="O632" s="286"/>
      <c r="P632" s="286"/>
      <c r="Q632" s="287"/>
      <c r="S632" s="288"/>
      <c r="T632" s="286"/>
      <c r="U632" s="286"/>
      <c r="V632" s="287"/>
      <c r="X632" s="288"/>
      <c r="Y632" s="286"/>
      <c r="Z632" s="286"/>
      <c r="AA632" s="287"/>
      <c r="AC632" s="288"/>
      <c r="AD632" s="286"/>
      <c r="AE632" s="286"/>
      <c r="AF632" s="287"/>
      <c r="AH632" s="288"/>
      <c r="AI632" s="286"/>
      <c r="AJ632" s="286"/>
      <c r="AK632" s="287"/>
      <c r="AM632" s="288"/>
      <c r="AN632" s="286"/>
      <c r="AO632" s="286"/>
      <c r="AP632" s="287"/>
      <c r="AR632" s="288"/>
      <c r="AS632" s="286"/>
      <c r="AT632" s="286"/>
      <c r="AU632" s="287"/>
      <c r="AW632" s="288"/>
      <c r="AX632" s="286"/>
      <c r="AY632" s="286"/>
      <c r="AZ632" s="287"/>
      <c r="BB632" s="288"/>
      <c r="BC632" s="286"/>
      <c r="BD632" s="286"/>
      <c r="BE632" s="287"/>
      <c r="BG632" s="288"/>
      <c r="BH632" s="286"/>
      <c r="BI632" s="286"/>
      <c r="BJ632" s="287"/>
      <c r="BL632" s="288"/>
      <c r="BM632" s="286"/>
      <c r="BN632" s="286"/>
      <c r="BO632" s="289"/>
    </row>
    <row r="633" spans="2:67" s="339" customFormat="1">
      <c r="B633" s="339" t="s">
        <v>398</v>
      </c>
      <c r="D633" s="330"/>
      <c r="E633" s="326"/>
      <c r="F633" s="326"/>
      <c r="G633" s="287"/>
      <c r="H633" s="284"/>
      <c r="I633" s="288"/>
      <c r="J633" s="286"/>
      <c r="K633" s="286"/>
      <c r="L633" s="289"/>
      <c r="M633" s="290"/>
      <c r="N633" s="288"/>
      <c r="O633" s="286"/>
      <c r="P633" s="286"/>
      <c r="Q633" s="287"/>
      <c r="S633" s="288"/>
      <c r="T633" s="286"/>
      <c r="U633" s="286"/>
      <c r="V633" s="287"/>
      <c r="X633" s="288"/>
      <c r="Y633" s="286"/>
      <c r="Z633" s="286"/>
      <c r="AA633" s="287"/>
      <c r="AC633" s="288"/>
      <c r="AD633" s="286"/>
      <c r="AE633" s="286"/>
      <c r="AF633" s="287"/>
      <c r="AH633" s="288"/>
      <c r="AI633" s="286"/>
      <c r="AJ633" s="286"/>
      <c r="AK633" s="287"/>
      <c r="AM633" s="288"/>
      <c r="AN633" s="286"/>
      <c r="AO633" s="286"/>
      <c r="AP633" s="287"/>
      <c r="AR633" s="288"/>
      <c r="AS633" s="286"/>
      <c r="AT633" s="286"/>
      <c r="AU633" s="287"/>
      <c r="AW633" s="288"/>
      <c r="AX633" s="286"/>
      <c r="AY633" s="286"/>
      <c r="AZ633" s="287"/>
      <c r="BB633" s="288"/>
      <c r="BC633" s="286"/>
      <c r="BD633" s="286"/>
      <c r="BE633" s="287"/>
      <c r="BG633" s="288"/>
      <c r="BH633" s="286"/>
      <c r="BI633" s="286"/>
      <c r="BJ633" s="287"/>
      <c r="BL633" s="288"/>
      <c r="BM633" s="286"/>
      <c r="BN633" s="286"/>
      <c r="BO633" s="289"/>
    </row>
    <row r="634" spans="2:67" s="339" customFormat="1">
      <c r="B634" s="365" t="s">
        <v>399</v>
      </c>
      <c r="C634" s="339" t="s">
        <v>393</v>
      </c>
      <c r="D634" s="330">
        <f>G573</f>
        <v>70841.456125774916</v>
      </c>
      <c r="E634" s="326">
        <f>H573</f>
        <v>63166.426666666666</v>
      </c>
      <c r="F634" s="326">
        <f>E634-D634</f>
        <v>-7675.0294591082493</v>
      </c>
      <c r="G634" s="287"/>
      <c r="H634" s="284"/>
      <c r="I634" s="288"/>
      <c r="J634" s="286"/>
      <c r="K634" s="286"/>
      <c r="L634" s="289"/>
      <c r="M634" s="290"/>
      <c r="N634" s="288"/>
      <c r="O634" s="286"/>
      <c r="P634" s="286"/>
      <c r="Q634" s="287"/>
      <c r="S634" s="288"/>
      <c r="T634" s="286"/>
      <c r="U634" s="286"/>
      <c r="V634" s="287"/>
      <c r="X634" s="288"/>
      <c r="Y634" s="286"/>
      <c r="Z634" s="286"/>
      <c r="AA634" s="287"/>
      <c r="AC634" s="288"/>
      <c r="AD634" s="286"/>
      <c r="AE634" s="286"/>
      <c r="AF634" s="287"/>
      <c r="AH634" s="288"/>
      <c r="AI634" s="286"/>
      <c r="AJ634" s="286"/>
      <c r="AK634" s="287"/>
      <c r="AM634" s="288"/>
      <c r="AN634" s="286"/>
      <c r="AO634" s="286"/>
      <c r="AP634" s="287"/>
      <c r="AR634" s="288"/>
      <c r="AS634" s="286"/>
      <c r="AT634" s="286"/>
      <c r="AU634" s="287"/>
      <c r="AW634" s="288"/>
      <c r="AX634" s="286"/>
      <c r="AY634" s="286"/>
      <c r="AZ634" s="287"/>
      <c r="BB634" s="288"/>
      <c r="BC634" s="286"/>
      <c r="BD634" s="286"/>
      <c r="BE634" s="287"/>
      <c r="BG634" s="288"/>
      <c r="BH634" s="286"/>
      <c r="BI634" s="286"/>
      <c r="BJ634" s="287"/>
      <c r="BL634" s="288"/>
      <c r="BM634" s="286"/>
      <c r="BN634" s="286"/>
      <c r="BO634" s="289"/>
    </row>
    <row r="635" spans="2:67" s="339" customFormat="1">
      <c r="B635" s="365" t="s">
        <v>400</v>
      </c>
      <c r="C635" s="339" t="s">
        <v>393</v>
      </c>
      <c r="D635" s="330">
        <f>G580</f>
        <v>35671.065171680631</v>
      </c>
      <c r="E635" s="326">
        <f>H580</f>
        <v>20252.593333333334</v>
      </c>
      <c r="F635" s="326">
        <f>E635-D635</f>
        <v>-15418.471838347297</v>
      </c>
      <c r="G635" s="287"/>
      <c r="H635" s="284"/>
      <c r="I635" s="288"/>
      <c r="J635" s="286"/>
      <c r="K635" s="286"/>
      <c r="L635" s="289"/>
      <c r="M635" s="290"/>
      <c r="N635" s="288"/>
      <c r="O635" s="286"/>
      <c r="P635" s="286"/>
      <c r="Q635" s="287"/>
      <c r="S635" s="288"/>
      <c r="T635" s="286"/>
      <c r="U635" s="286"/>
      <c r="V635" s="287"/>
      <c r="X635" s="288"/>
      <c r="Y635" s="286"/>
      <c r="Z635" s="286"/>
      <c r="AA635" s="287"/>
      <c r="AC635" s="288"/>
      <c r="AD635" s="286"/>
      <c r="AE635" s="286"/>
      <c r="AF635" s="287"/>
      <c r="AH635" s="288"/>
      <c r="AI635" s="286"/>
      <c r="AJ635" s="286"/>
      <c r="AK635" s="287"/>
      <c r="AM635" s="288"/>
      <c r="AN635" s="286"/>
      <c r="AO635" s="286"/>
      <c r="AP635" s="287"/>
      <c r="AR635" s="288"/>
      <c r="AS635" s="286"/>
      <c r="AT635" s="286"/>
      <c r="AU635" s="287"/>
      <c r="AW635" s="288"/>
      <c r="AX635" s="286"/>
      <c r="AY635" s="286"/>
      <c r="AZ635" s="287"/>
      <c r="BB635" s="288"/>
      <c r="BC635" s="286"/>
      <c r="BD635" s="286"/>
      <c r="BE635" s="287"/>
      <c r="BG635" s="288"/>
      <c r="BH635" s="286"/>
      <c r="BI635" s="286"/>
      <c r="BJ635" s="287"/>
      <c r="BL635" s="288"/>
      <c r="BM635" s="286"/>
      <c r="BN635" s="286"/>
      <c r="BO635" s="289"/>
    </row>
    <row r="636" spans="2:67" s="339" customFormat="1">
      <c r="B636" s="365" t="s">
        <v>401</v>
      </c>
      <c r="C636" s="339" t="s">
        <v>402</v>
      </c>
      <c r="D636" s="330">
        <f>G579</f>
        <v>5180.6203560188524</v>
      </c>
      <c r="E636" s="326">
        <f>H579</f>
        <v>3191.0333333333333</v>
      </c>
      <c r="F636" s="326">
        <f>E636-D636</f>
        <v>-1989.5870226855191</v>
      </c>
      <c r="G636" s="287"/>
      <c r="H636" s="284"/>
      <c r="I636" s="288"/>
      <c r="J636" s="286"/>
      <c r="K636" s="286"/>
      <c r="L636" s="289"/>
      <c r="M636" s="290"/>
      <c r="N636" s="288"/>
      <c r="O636" s="286"/>
      <c r="P636" s="286"/>
      <c r="Q636" s="287"/>
      <c r="S636" s="288"/>
      <c r="T636" s="286"/>
      <c r="U636" s="286"/>
      <c r="V636" s="287"/>
      <c r="X636" s="288"/>
      <c r="Y636" s="286"/>
      <c r="Z636" s="286"/>
      <c r="AA636" s="287"/>
      <c r="AC636" s="288"/>
      <c r="AD636" s="286"/>
      <c r="AE636" s="286"/>
      <c r="AF636" s="287"/>
      <c r="AH636" s="288"/>
      <c r="AI636" s="286"/>
      <c r="AJ636" s="286"/>
      <c r="AK636" s="287"/>
      <c r="AM636" s="288"/>
      <c r="AN636" s="286"/>
      <c r="AO636" s="286"/>
      <c r="AP636" s="287"/>
      <c r="AR636" s="288"/>
      <c r="AS636" s="286"/>
      <c r="AT636" s="286"/>
      <c r="AU636" s="287"/>
      <c r="AW636" s="288"/>
      <c r="AX636" s="286"/>
      <c r="AY636" s="286"/>
      <c r="AZ636" s="287"/>
      <c r="BB636" s="288"/>
      <c r="BC636" s="286"/>
      <c r="BD636" s="286"/>
      <c r="BE636" s="287"/>
      <c r="BG636" s="288"/>
      <c r="BH636" s="286"/>
      <c r="BI636" s="286"/>
      <c r="BJ636" s="287"/>
      <c r="BL636" s="288"/>
      <c r="BM636" s="286"/>
      <c r="BN636" s="286"/>
      <c r="BO636" s="289"/>
    </row>
    <row r="637" spans="2:67" s="339" customFormat="1">
      <c r="B637" s="339" t="s">
        <v>396</v>
      </c>
      <c r="D637" s="330"/>
      <c r="E637" s="326"/>
      <c r="F637" s="326"/>
      <c r="G637" s="287"/>
      <c r="H637" s="284"/>
      <c r="I637" s="288"/>
      <c r="J637" s="286"/>
      <c r="K637" s="286"/>
      <c r="L637" s="289"/>
      <c r="M637" s="290"/>
      <c r="N637" s="288"/>
      <c r="O637" s="286"/>
      <c r="P637" s="286"/>
      <c r="Q637" s="287"/>
      <c r="S637" s="288"/>
      <c r="T637" s="286"/>
      <c r="U637" s="286"/>
      <c r="V637" s="287"/>
      <c r="X637" s="288"/>
      <c r="Y637" s="286"/>
      <c r="Z637" s="286"/>
      <c r="AA637" s="287"/>
      <c r="AC637" s="288"/>
      <c r="AD637" s="286"/>
      <c r="AE637" s="286"/>
      <c r="AF637" s="287"/>
      <c r="AH637" s="288"/>
      <c r="AI637" s="286"/>
      <c r="AJ637" s="286"/>
      <c r="AK637" s="287"/>
      <c r="AM637" s="288"/>
      <c r="AN637" s="286"/>
      <c r="AO637" s="286"/>
      <c r="AP637" s="287"/>
      <c r="AR637" s="288"/>
      <c r="AS637" s="286"/>
      <c r="AT637" s="286"/>
      <c r="AU637" s="287"/>
      <c r="AW637" s="288"/>
      <c r="AX637" s="286"/>
      <c r="AY637" s="286"/>
      <c r="AZ637" s="287"/>
      <c r="BB637" s="288"/>
      <c r="BC637" s="286"/>
      <c r="BD637" s="286"/>
      <c r="BE637" s="287"/>
      <c r="BG637" s="288"/>
      <c r="BH637" s="286"/>
      <c r="BI637" s="286"/>
      <c r="BJ637" s="287"/>
      <c r="BL637" s="288"/>
      <c r="BM637" s="286"/>
      <c r="BN637" s="286"/>
      <c r="BO637" s="289"/>
    </row>
    <row r="638" spans="2:67" s="339" customFormat="1">
      <c r="B638" s="339" t="s">
        <v>403</v>
      </c>
      <c r="D638" s="330">
        <f>D634+D636+D635</f>
        <v>111693.14165347441</v>
      </c>
      <c r="E638" s="326">
        <f>E634+E636+E635</f>
        <v>86610.053333333344</v>
      </c>
      <c r="F638" s="326">
        <f>E638-D638</f>
        <v>-25083.088320141062</v>
      </c>
      <c r="G638" s="287"/>
      <c r="H638" s="284"/>
      <c r="I638" s="288"/>
      <c r="J638" s="286"/>
      <c r="K638" s="286"/>
      <c r="L638" s="289"/>
      <c r="M638" s="290"/>
      <c r="N638" s="288"/>
      <c r="O638" s="286"/>
      <c r="P638" s="286"/>
      <c r="Q638" s="287"/>
      <c r="S638" s="288"/>
      <c r="T638" s="286"/>
      <c r="U638" s="286"/>
      <c r="V638" s="287"/>
      <c r="X638" s="288"/>
      <c r="Y638" s="286"/>
      <c r="Z638" s="286"/>
      <c r="AA638" s="287"/>
      <c r="AC638" s="288"/>
      <c r="AD638" s="286"/>
      <c r="AE638" s="286"/>
      <c r="AF638" s="287"/>
      <c r="AH638" s="288"/>
      <c r="AI638" s="286"/>
      <c r="AJ638" s="286"/>
      <c r="AK638" s="287"/>
      <c r="AM638" s="288"/>
      <c r="AN638" s="286"/>
      <c r="AO638" s="286"/>
      <c r="AP638" s="287"/>
      <c r="AR638" s="288"/>
      <c r="AS638" s="286"/>
      <c r="AT638" s="286"/>
      <c r="AU638" s="287"/>
      <c r="AW638" s="288"/>
      <c r="AX638" s="286"/>
      <c r="AY638" s="286"/>
      <c r="AZ638" s="287"/>
      <c r="BB638" s="288"/>
      <c r="BC638" s="286"/>
      <c r="BD638" s="286"/>
      <c r="BE638" s="287"/>
      <c r="BG638" s="288"/>
      <c r="BH638" s="286"/>
      <c r="BI638" s="286"/>
      <c r="BJ638" s="287"/>
      <c r="BL638" s="288"/>
      <c r="BM638" s="286"/>
      <c r="BN638" s="286"/>
      <c r="BO638" s="289"/>
    </row>
    <row r="639" spans="2:67" s="339" customFormat="1">
      <c r="B639" s="339" t="s">
        <v>396</v>
      </c>
      <c r="D639" s="330"/>
      <c r="E639" s="326"/>
      <c r="F639" s="326"/>
      <c r="G639" s="287"/>
      <c r="H639" s="284"/>
      <c r="I639" s="288"/>
      <c r="J639" s="286"/>
      <c r="K639" s="286"/>
      <c r="L639" s="289"/>
      <c r="M639" s="290"/>
      <c r="N639" s="288"/>
      <c r="O639" s="286"/>
      <c r="P639" s="286"/>
      <c r="Q639" s="287"/>
      <c r="S639" s="288"/>
      <c r="T639" s="286"/>
      <c r="U639" s="286"/>
      <c r="V639" s="287"/>
      <c r="X639" s="288"/>
      <c r="Y639" s="286"/>
      <c r="Z639" s="286"/>
      <c r="AA639" s="287"/>
      <c r="AC639" s="288"/>
      <c r="AD639" s="286"/>
      <c r="AE639" s="286"/>
      <c r="AF639" s="287"/>
      <c r="AH639" s="288"/>
      <c r="AI639" s="286"/>
      <c r="AJ639" s="286"/>
      <c r="AK639" s="287"/>
      <c r="AM639" s="288"/>
      <c r="AN639" s="286"/>
      <c r="AO639" s="286"/>
      <c r="AP639" s="287"/>
      <c r="AR639" s="288"/>
      <c r="AS639" s="286"/>
      <c r="AT639" s="286"/>
      <c r="AU639" s="287"/>
      <c r="AW639" s="288"/>
      <c r="AX639" s="286"/>
      <c r="AY639" s="286"/>
      <c r="AZ639" s="287"/>
      <c r="BB639" s="288"/>
      <c r="BC639" s="286"/>
      <c r="BD639" s="286"/>
      <c r="BE639" s="287"/>
      <c r="BG639" s="288"/>
      <c r="BH639" s="286"/>
      <c r="BI639" s="286"/>
      <c r="BJ639" s="287"/>
      <c r="BL639" s="288"/>
      <c r="BM639" s="286"/>
      <c r="BN639" s="286"/>
      <c r="BO639" s="289"/>
    </row>
    <row r="640" spans="2:67" s="339" customFormat="1">
      <c r="D640" s="330"/>
      <c r="E640" s="326"/>
      <c r="F640" s="326"/>
      <c r="G640" s="287"/>
      <c r="H640" s="284"/>
      <c r="I640" s="288"/>
      <c r="J640" s="286"/>
      <c r="K640" s="286"/>
      <c r="L640" s="289"/>
      <c r="M640" s="290"/>
      <c r="N640" s="288"/>
      <c r="O640" s="286"/>
      <c r="P640" s="286"/>
      <c r="Q640" s="287"/>
      <c r="S640" s="288"/>
      <c r="T640" s="286"/>
      <c r="U640" s="286"/>
      <c r="V640" s="287"/>
      <c r="X640" s="288"/>
      <c r="Y640" s="286"/>
      <c r="Z640" s="286"/>
      <c r="AA640" s="287"/>
      <c r="AC640" s="288"/>
      <c r="AD640" s="286"/>
      <c r="AE640" s="286"/>
      <c r="AF640" s="287"/>
      <c r="AH640" s="288"/>
      <c r="AI640" s="286"/>
      <c r="AJ640" s="286"/>
      <c r="AK640" s="287"/>
      <c r="AM640" s="288"/>
      <c r="AN640" s="286"/>
      <c r="AO640" s="286"/>
      <c r="AP640" s="287"/>
      <c r="AR640" s="288"/>
      <c r="AS640" s="286"/>
      <c r="AT640" s="286"/>
      <c r="AU640" s="287"/>
      <c r="AW640" s="288"/>
      <c r="AX640" s="286"/>
      <c r="AY640" s="286"/>
      <c r="AZ640" s="287"/>
      <c r="BB640" s="288"/>
      <c r="BC640" s="286"/>
      <c r="BD640" s="286"/>
      <c r="BE640" s="287"/>
      <c r="BG640" s="288"/>
      <c r="BH640" s="286"/>
      <c r="BI640" s="286"/>
      <c r="BJ640" s="287"/>
      <c r="BL640" s="288"/>
      <c r="BM640" s="286"/>
      <c r="BN640" s="286"/>
      <c r="BO640" s="289"/>
    </row>
    <row r="641" spans="2:67" s="339" customFormat="1">
      <c r="B641" s="339" t="s">
        <v>430</v>
      </c>
      <c r="D641" s="330"/>
      <c r="E641" s="326"/>
      <c r="F641" s="326"/>
      <c r="G641" s="287"/>
      <c r="H641" s="284"/>
      <c r="I641" s="288"/>
      <c r="J641" s="286"/>
      <c r="K641" s="286"/>
      <c r="L641" s="289"/>
      <c r="M641" s="290"/>
      <c r="N641" s="288"/>
      <c r="O641" s="286"/>
      <c r="P641" s="286"/>
      <c r="Q641" s="287"/>
      <c r="S641" s="288"/>
      <c r="T641" s="286"/>
      <c r="U641" s="286"/>
      <c r="V641" s="287"/>
      <c r="X641" s="288"/>
      <c r="Y641" s="286"/>
      <c r="Z641" s="286"/>
      <c r="AA641" s="287"/>
      <c r="AC641" s="288"/>
      <c r="AD641" s="286"/>
      <c r="AE641" s="286"/>
      <c r="AF641" s="287"/>
      <c r="AH641" s="288"/>
      <c r="AI641" s="286"/>
      <c r="AJ641" s="286"/>
      <c r="AK641" s="287"/>
      <c r="AM641" s="288"/>
      <c r="AN641" s="286"/>
      <c r="AO641" s="286"/>
      <c r="AP641" s="287"/>
      <c r="AR641" s="288"/>
      <c r="AS641" s="286"/>
      <c r="AT641" s="286"/>
      <c r="AU641" s="287"/>
      <c r="AW641" s="288"/>
      <c r="AX641" s="286"/>
      <c r="AY641" s="286"/>
      <c r="AZ641" s="287"/>
      <c r="BB641" s="288"/>
      <c r="BC641" s="286"/>
      <c r="BD641" s="286"/>
      <c r="BE641" s="287"/>
      <c r="BG641" s="288"/>
      <c r="BH641" s="286"/>
      <c r="BI641" s="286"/>
      <c r="BJ641" s="287"/>
      <c r="BL641" s="288"/>
      <c r="BM641" s="286"/>
      <c r="BN641" s="286"/>
      <c r="BO641" s="289"/>
    </row>
    <row r="642" spans="2:67" s="339" customFormat="1">
      <c r="B642" s="365" t="s">
        <v>439</v>
      </c>
      <c r="C642" s="339" t="s">
        <v>432</v>
      </c>
      <c r="D642" s="330">
        <f>G572</f>
        <v>0</v>
      </c>
      <c r="E642" s="326">
        <f>H572</f>
        <v>0</v>
      </c>
      <c r="F642" s="326">
        <f>E642-D642</f>
        <v>0</v>
      </c>
      <c r="G642" s="287"/>
      <c r="H642" s="284"/>
      <c r="I642" s="288"/>
      <c r="J642" s="286"/>
      <c r="K642" s="286"/>
      <c r="L642" s="289"/>
      <c r="M642" s="290"/>
      <c r="N642" s="288"/>
      <c r="O642" s="286"/>
      <c r="P642" s="286"/>
      <c r="Q642" s="287"/>
      <c r="S642" s="288"/>
      <c r="T642" s="286"/>
      <c r="U642" s="286"/>
      <c r="V642" s="287"/>
      <c r="X642" s="288"/>
      <c r="Y642" s="286"/>
      <c r="Z642" s="286"/>
      <c r="AA642" s="287"/>
      <c r="AC642" s="288"/>
      <c r="AD642" s="286"/>
      <c r="AE642" s="286"/>
      <c r="AF642" s="287"/>
      <c r="AH642" s="288"/>
      <c r="AI642" s="286"/>
      <c r="AJ642" s="286"/>
      <c r="AK642" s="287"/>
      <c r="AM642" s="288"/>
      <c r="AN642" s="286"/>
      <c r="AO642" s="286"/>
      <c r="AP642" s="287"/>
      <c r="AR642" s="288"/>
      <c r="AS642" s="286"/>
      <c r="AT642" s="286"/>
      <c r="AU642" s="287"/>
      <c r="AW642" s="288"/>
      <c r="AX642" s="286"/>
      <c r="AY642" s="286"/>
      <c r="AZ642" s="287"/>
      <c r="BB642" s="288"/>
      <c r="BC642" s="286"/>
      <c r="BD642" s="286"/>
      <c r="BE642" s="287"/>
      <c r="BG642" s="288"/>
      <c r="BH642" s="286"/>
      <c r="BI642" s="286"/>
      <c r="BJ642" s="287"/>
      <c r="BL642" s="288"/>
      <c r="BM642" s="286"/>
      <c r="BN642" s="286"/>
      <c r="BO642" s="289"/>
    </row>
    <row r="643" spans="2:67" s="339" customFormat="1">
      <c r="D643" s="330"/>
      <c r="E643" s="326"/>
      <c r="F643" s="326"/>
      <c r="G643" s="287"/>
      <c r="H643" s="284"/>
      <c r="I643" s="288"/>
      <c r="J643" s="286"/>
      <c r="K643" s="286"/>
      <c r="L643" s="289"/>
      <c r="M643" s="290"/>
      <c r="N643" s="288"/>
      <c r="O643" s="286"/>
      <c r="P643" s="286"/>
      <c r="Q643" s="287"/>
      <c r="S643" s="288"/>
      <c r="T643" s="286"/>
      <c r="U643" s="286"/>
      <c r="V643" s="287"/>
      <c r="X643" s="288"/>
      <c r="Y643" s="286"/>
      <c r="Z643" s="286"/>
      <c r="AA643" s="287"/>
      <c r="AC643" s="288"/>
      <c r="AD643" s="286"/>
      <c r="AE643" s="286"/>
      <c r="AF643" s="287"/>
      <c r="AH643" s="288"/>
      <c r="AI643" s="286"/>
      <c r="AJ643" s="286"/>
      <c r="AK643" s="287"/>
      <c r="AM643" s="288"/>
      <c r="AN643" s="286"/>
      <c r="AO643" s="286"/>
      <c r="AP643" s="287"/>
      <c r="AR643" s="288"/>
      <c r="AS643" s="286"/>
      <c r="AT643" s="286"/>
      <c r="AU643" s="287"/>
      <c r="AW643" s="288"/>
      <c r="AX643" s="286"/>
      <c r="AY643" s="286"/>
      <c r="AZ643" s="287"/>
      <c r="BB643" s="288"/>
      <c r="BC643" s="286"/>
      <c r="BD643" s="286"/>
      <c r="BE643" s="287"/>
      <c r="BG643" s="288"/>
      <c r="BH643" s="286"/>
      <c r="BI643" s="286"/>
      <c r="BJ643" s="287"/>
      <c r="BL643" s="288"/>
      <c r="BM643" s="286"/>
      <c r="BN643" s="286"/>
      <c r="BO643" s="289"/>
    </row>
    <row r="644" spans="2:67" s="339" customFormat="1">
      <c r="B644" s="365" t="s">
        <v>406</v>
      </c>
      <c r="C644" s="339" t="s">
        <v>390</v>
      </c>
      <c r="D644" s="330">
        <f>G578</f>
        <v>117006.29044364858</v>
      </c>
      <c r="E644" s="326">
        <f>H578</f>
        <v>68264.97</v>
      </c>
      <c r="F644" s="326">
        <f>E644-D644</f>
        <v>-48741.320443648583</v>
      </c>
      <c r="G644" s="287"/>
      <c r="H644" s="284"/>
      <c r="I644" s="288"/>
      <c r="J644" s="286"/>
      <c r="K644" s="286"/>
      <c r="L644" s="289"/>
      <c r="M644" s="290"/>
      <c r="N644" s="288"/>
      <c r="O644" s="286"/>
      <c r="P644" s="286"/>
      <c r="Q644" s="287"/>
      <c r="S644" s="288"/>
      <c r="T644" s="286"/>
      <c r="U644" s="286"/>
      <c r="V644" s="287"/>
      <c r="X644" s="288"/>
      <c r="Y644" s="286"/>
      <c r="Z644" s="286"/>
      <c r="AA644" s="287"/>
      <c r="AC644" s="288"/>
      <c r="AD644" s="286"/>
      <c r="AE644" s="286"/>
      <c r="AF644" s="287"/>
      <c r="AH644" s="288"/>
      <c r="AI644" s="286"/>
      <c r="AJ644" s="286"/>
      <c r="AK644" s="287"/>
      <c r="AM644" s="288"/>
      <c r="AN644" s="286"/>
      <c r="AO644" s="286"/>
      <c r="AP644" s="287"/>
      <c r="AR644" s="288"/>
      <c r="AS644" s="286"/>
      <c r="AT644" s="286"/>
      <c r="AU644" s="287"/>
      <c r="AW644" s="288"/>
      <c r="AX644" s="286"/>
      <c r="AY644" s="286"/>
      <c r="AZ644" s="287"/>
      <c r="BB644" s="288"/>
      <c r="BC644" s="286"/>
      <c r="BD644" s="286"/>
      <c r="BE644" s="287"/>
      <c r="BG644" s="288"/>
      <c r="BH644" s="286"/>
      <c r="BI644" s="286"/>
      <c r="BJ644" s="287"/>
      <c r="BL644" s="288"/>
      <c r="BM644" s="286"/>
      <c r="BN644" s="286"/>
      <c r="BO644" s="289"/>
    </row>
    <row r="645" spans="2:67" s="339" customFormat="1">
      <c r="D645" s="330"/>
      <c r="E645" s="326"/>
      <c r="F645" s="326"/>
      <c r="G645" s="287"/>
      <c r="H645" s="284"/>
      <c r="I645" s="288"/>
      <c r="J645" s="286"/>
      <c r="K645" s="286"/>
      <c r="L645" s="289"/>
      <c r="M645" s="290"/>
      <c r="N645" s="288"/>
      <c r="O645" s="286"/>
      <c r="P645" s="286"/>
      <c r="Q645" s="287"/>
      <c r="S645" s="288"/>
      <c r="T645" s="286"/>
      <c r="U645" s="286"/>
      <c r="V645" s="287"/>
      <c r="X645" s="288"/>
      <c r="Y645" s="286"/>
      <c r="Z645" s="286"/>
      <c r="AA645" s="287"/>
      <c r="AC645" s="288"/>
      <c r="AD645" s="286"/>
      <c r="AE645" s="286"/>
      <c r="AF645" s="287"/>
      <c r="AH645" s="288"/>
      <c r="AI645" s="286"/>
      <c r="AJ645" s="286"/>
      <c r="AK645" s="287"/>
      <c r="AM645" s="288"/>
      <c r="AN645" s="286"/>
      <c r="AO645" s="286"/>
      <c r="AP645" s="287"/>
      <c r="AR645" s="288"/>
      <c r="AS645" s="286"/>
      <c r="AT645" s="286"/>
      <c r="AU645" s="287"/>
      <c r="AW645" s="288"/>
      <c r="AX645" s="286"/>
      <c r="AY645" s="286"/>
      <c r="AZ645" s="287"/>
      <c r="BB645" s="288"/>
      <c r="BC645" s="286"/>
      <c r="BD645" s="286"/>
      <c r="BE645" s="287"/>
      <c r="BG645" s="288"/>
      <c r="BH645" s="286"/>
      <c r="BI645" s="286"/>
      <c r="BJ645" s="287"/>
      <c r="BL645" s="288"/>
      <c r="BM645" s="286"/>
      <c r="BN645" s="286"/>
      <c r="BO645" s="289"/>
    </row>
    <row r="646" spans="2:67" s="339" customFormat="1">
      <c r="B646" s="365" t="s">
        <v>407</v>
      </c>
      <c r="C646" s="339" t="s">
        <v>390</v>
      </c>
      <c r="D646" s="330">
        <f>G581</f>
        <v>34061.827543463667</v>
      </c>
      <c r="E646" s="326">
        <f>H581</f>
        <v>7783.27</v>
      </c>
      <c r="F646" s="326">
        <f>E646-D646</f>
        <v>-26278.557543463667</v>
      </c>
      <c r="G646" s="287"/>
      <c r="H646" s="284"/>
      <c r="I646" s="288"/>
      <c r="J646" s="286"/>
      <c r="K646" s="286"/>
      <c r="L646" s="289"/>
      <c r="M646" s="290"/>
      <c r="N646" s="288"/>
      <c r="O646" s="286"/>
      <c r="P646" s="286"/>
      <c r="Q646" s="287"/>
      <c r="S646" s="288"/>
      <c r="T646" s="286"/>
      <c r="U646" s="286"/>
      <c r="V646" s="287"/>
      <c r="X646" s="288"/>
      <c r="Y646" s="286"/>
      <c r="Z646" s="286"/>
      <c r="AA646" s="287"/>
      <c r="AC646" s="288"/>
      <c r="AD646" s="286"/>
      <c r="AE646" s="286"/>
      <c r="AF646" s="287"/>
      <c r="AH646" s="288"/>
      <c r="AI646" s="286"/>
      <c r="AJ646" s="286"/>
      <c r="AK646" s="287"/>
      <c r="AM646" s="288"/>
      <c r="AN646" s="286"/>
      <c r="AO646" s="286"/>
      <c r="AP646" s="287"/>
      <c r="AR646" s="288"/>
      <c r="AS646" s="286"/>
      <c r="AT646" s="286"/>
      <c r="AU646" s="287"/>
      <c r="AW646" s="288"/>
      <c r="AX646" s="286"/>
      <c r="AY646" s="286"/>
      <c r="AZ646" s="287"/>
      <c r="BB646" s="288"/>
      <c r="BC646" s="286"/>
      <c r="BD646" s="286"/>
      <c r="BE646" s="287"/>
      <c r="BG646" s="288"/>
      <c r="BH646" s="286"/>
      <c r="BI646" s="286"/>
      <c r="BJ646" s="287"/>
      <c r="BL646" s="288"/>
      <c r="BM646" s="286"/>
      <c r="BN646" s="286"/>
      <c r="BO646" s="289"/>
    </row>
    <row r="647" spans="2:67" s="339" customFormat="1">
      <c r="B647" s="339" t="s">
        <v>396</v>
      </c>
      <c r="D647" s="330"/>
      <c r="E647" s="326"/>
      <c r="F647" s="326"/>
      <c r="G647" s="287"/>
      <c r="H647" s="284"/>
      <c r="I647" s="288"/>
      <c r="J647" s="286"/>
      <c r="K647" s="286"/>
      <c r="L647" s="289"/>
      <c r="M647" s="290"/>
      <c r="N647" s="288"/>
      <c r="O647" s="286"/>
      <c r="P647" s="286"/>
      <c r="Q647" s="287"/>
      <c r="S647" s="288"/>
      <c r="T647" s="286"/>
      <c r="U647" s="286"/>
      <c r="V647" s="287"/>
      <c r="X647" s="288"/>
      <c r="Y647" s="286"/>
      <c r="Z647" s="286"/>
      <c r="AA647" s="287"/>
      <c r="AC647" s="288"/>
      <c r="AD647" s="286"/>
      <c r="AE647" s="286"/>
      <c r="AF647" s="287"/>
      <c r="AH647" s="288"/>
      <c r="AI647" s="286"/>
      <c r="AJ647" s="286"/>
      <c r="AK647" s="287"/>
      <c r="AM647" s="288"/>
      <c r="AN647" s="286"/>
      <c r="AO647" s="286"/>
      <c r="AP647" s="287"/>
      <c r="AR647" s="288"/>
      <c r="AS647" s="286"/>
      <c r="AT647" s="286"/>
      <c r="AU647" s="287"/>
      <c r="AW647" s="288"/>
      <c r="AX647" s="286"/>
      <c r="AY647" s="286"/>
      <c r="AZ647" s="287"/>
      <c r="BB647" s="288"/>
      <c r="BC647" s="286"/>
      <c r="BD647" s="286"/>
      <c r="BE647" s="287"/>
      <c r="BG647" s="288"/>
      <c r="BH647" s="286"/>
      <c r="BI647" s="286"/>
      <c r="BJ647" s="287"/>
      <c r="BL647" s="288"/>
      <c r="BM647" s="286"/>
      <c r="BN647" s="286"/>
      <c r="BO647" s="289"/>
    </row>
    <row r="648" spans="2:67" s="339" customFormat="1">
      <c r="B648" s="339" t="s">
        <v>408</v>
      </c>
      <c r="D648" s="330">
        <f>SUM(D640:D646)</f>
        <v>151068.11798711226</v>
      </c>
      <c r="E648" s="326">
        <f>SUM(E640:E646)</f>
        <v>76048.240000000005</v>
      </c>
      <c r="F648" s="326">
        <f>E648-D648</f>
        <v>-75019.877987112253</v>
      </c>
      <c r="G648" s="287"/>
      <c r="H648" s="284"/>
      <c r="I648" s="288"/>
      <c r="J648" s="286"/>
      <c r="K648" s="286"/>
      <c r="L648" s="289"/>
      <c r="M648" s="290"/>
      <c r="N648" s="288"/>
      <c r="O648" s="286"/>
      <c r="P648" s="286"/>
      <c r="Q648" s="287"/>
      <c r="S648" s="288"/>
      <c r="T648" s="286"/>
      <c r="U648" s="286"/>
      <c r="V648" s="287"/>
      <c r="X648" s="288"/>
      <c r="Y648" s="286"/>
      <c r="Z648" s="286"/>
      <c r="AA648" s="287"/>
      <c r="AC648" s="288"/>
      <c r="AD648" s="286"/>
      <c r="AE648" s="286"/>
      <c r="AF648" s="287"/>
      <c r="AH648" s="288"/>
      <c r="AI648" s="286"/>
      <c r="AJ648" s="286"/>
      <c r="AK648" s="287"/>
      <c r="AM648" s="288"/>
      <c r="AN648" s="286"/>
      <c r="AO648" s="286"/>
      <c r="AP648" s="287"/>
      <c r="AR648" s="288"/>
      <c r="AS648" s="286"/>
      <c r="AT648" s="286"/>
      <c r="AU648" s="287"/>
      <c r="AW648" s="288"/>
      <c r="AX648" s="286"/>
      <c r="AY648" s="286"/>
      <c r="AZ648" s="287"/>
      <c r="BB648" s="288"/>
      <c r="BC648" s="286"/>
      <c r="BD648" s="286"/>
      <c r="BE648" s="287"/>
      <c r="BG648" s="288"/>
      <c r="BH648" s="286"/>
      <c r="BI648" s="286"/>
      <c r="BJ648" s="287"/>
      <c r="BL648" s="288"/>
      <c r="BM648" s="286"/>
      <c r="BN648" s="286"/>
      <c r="BO648" s="289"/>
    </row>
    <row r="649" spans="2:67" s="339" customFormat="1">
      <c r="B649" s="339" t="s">
        <v>396</v>
      </c>
      <c r="D649" s="330"/>
      <c r="E649" s="326"/>
      <c r="F649" s="326"/>
      <c r="G649" s="287"/>
      <c r="H649" s="284"/>
      <c r="I649" s="288"/>
      <c r="J649" s="286"/>
      <c r="K649" s="286"/>
      <c r="L649" s="289"/>
      <c r="M649" s="290"/>
      <c r="N649" s="288"/>
      <c r="O649" s="286"/>
      <c r="P649" s="286"/>
      <c r="Q649" s="287"/>
      <c r="S649" s="288"/>
      <c r="T649" s="286"/>
      <c r="U649" s="286"/>
      <c r="V649" s="287"/>
      <c r="X649" s="288"/>
      <c r="Y649" s="286"/>
      <c r="Z649" s="286"/>
      <c r="AA649" s="287"/>
      <c r="AC649" s="288"/>
      <c r="AD649" s="286"/>
      <c r="AE649" s="286"/>
      <c r="AF649" s="287"/>
      <c r="AH649" s="288"/>
      <c r="AI649" s="286"/>
      <c r="AJ649" s="286"/>
      <c r="AK649" s="287"/>
      <c r="AM649" s="288"/>
      <c r="AN649" s="286"/>
      <c r="AO649" s="286"/>
      <c r="AP649" s="287"/>
      <c r="AR649" s="288"/>
      <c r="AS649" s="286"/>
      <c r="AT649" s="286"/>
      <c r="AU649" s="287"/>
      <c r="AW649" s="288"/>
      <c r="AX649" s="286"/>
      <c r="AY649" s="286"/>
      <c r="AZ649" s="287"/>
      <c r="BB649" s="288"/>
      <c r="BC649" s="286"/>
      <c r="BD649" s="286"/>
      <c r="BE649" s="287"/>
      <c r="BG649" s="288"/>
      <c r="BH649" s="286"/>
      <c r="BI649" s="286"/>
      <c r="BJ649" s="287"/>
      <c r="BL649" s="288"/>
      <c r="BM649" s="286"/>
      <c r="BN649" s="286"/>
      <c r="BO649" s="289"/>
    </row>
    <row r="650" spans="2:67" s="339" customFormat="1">
      <c r="D650" s="330"/>
      <c r="E650" s="326"/>
      <c r="F650" s="326"/>
      <c r="G650" s="287"/>
      <c r="H650" s="284"/>
      <c r="I650" s="288"/>
      <c r="J650" s="286"/>
      <c r="K650" s="286"/>
      <c r="L650" s="289"/>
      <c r="M650" s="290"/>
      <c r="N650" s="288"/>
      <c r="O650" s="286"/>
      <c r="P650" s="286"/>
      <c r="Q650" s="287"/>
      <c r="S650" s="288"/>
      <c r="T650" s="286"/>
      <c r="U650" s="286"/>
      <c r="V650" s="287"/>
      <c r="X650" s="288"/>
      <c r="Y650" s="286"/>
      <c r="Z650" s="286"/>
      <c r="AA650" s="287"/>
      <c r="AC650" s="288"/>
      <c r="AD650" s="286"/>
      <c r="AE650" s="286"/>
      <c r="AF650" s="287"/>
      <c r="AH650" s="288"/>
      <c r="AI650" s="286"/>
      <c r="AJ650" s="286"/>
      <c r="AK650" s="287"/>
      <c r="AM650" s="288"/>
      <c r="AN650" s="286"/>
      <c r="AO650" s="286"/>
      <c r="AP650" s="287"/>
      <c r="AR650" s="288"/>
      <c r="AS650" s="286"/>
      <c r="AT650" s="286"/>
      <c r="AU650" s="287"/>
      <c r="AW650" s="288"/>
      <c r="AX650" s="286"/>
      <c r="AY650" s="286"/>
      <c r="AZ650" s="287"/>
      <c r="BB650" s="288"/>
      <c r="BC650" s="286"/>
      <c r="BD650" s="286"/>
      <c r="BE650" s="287"/>
      <c r="BG650" s="288"/>
      <c r="BH650" s="286"/>
      <c r="BI650" s="286"/>
      <c r="BJ650" s="287"/>
      <c r="BL650" s="288"/>
      <c r="BM650" s="286"/>
      <c r="BN650" s="286"/>
      <c r="BO650" s="289"/>
    </row>
    <row r="651" spans="2:67" s="339" customFormat="1">
      <c r="B651" s="339" t="s">
        <v>409</v>
      </c>
      <c r="D651" s="330"/>
      <c r="E651" s="326"/>
      <c r="F651" s="326"/>
      <c r="G651" s="287"/>
      <c r="H651" s="284"/>
      <c r="I651" s="288"/>
      <c r="J651" s="286"/>
      <c r="K651" s="286"/>
      <c r="L651" s="289"/>
      <c r="M651" s="290"/>
      <c r="N651" s="288"/>
      <c r="O651" s="286"/>
      <c r="P651" s="286"/>
      <c r="Q651" s="287"/>
      <c r="S651" s="288"/>
      <c r="T651" s="286"/>
      <c r="U651" s="286"/>
      <c r="V651" s="287"/>
      <c r="X651" s="288"/>
      <c r="Y651" s="286"/>
      <c r="Z651" s="286"/>
      <c r="AA651" s="287"/>
      <c r="AC651" s="288"/>
      <c r="AD651" s="286"/>
      <c r="AE651" s="286"/>
      <c r="AF651" s="287"/>
      <c r="AH651" s="288"/>
      <c r="AI651" s="286"/>
      <c r="AJ651" s="286"/>
      <c r="AK651" s="287"/>
      <c r="AM651" s="288"/>
      <c r="AN651" s="286"/>
      <c r="AO651" s="286"/>
      <c r="AP651" s="287"/>
      <c r="AR651" s="288"/>
      <c r="AS651" s="286"/>
      <c r="AT651" s="286"/>
      <c r="AU651" s="287"/>
      <c r="AW651" s="288"/>
      <c r="AX651" s="286"/>
      <c r="AY651" s="286"/>
      <c r="AZ651" s="287"/>
      <c r="BB651" s="288"/>
      <c r="BC651" s="286"/>
      <c r="BD651" s="286"/>
      <c r="BE651" s="287"/>
      <c r="BG651" s="288"/>
      <c r="BH651" s="286"/>
      <c r="BI651" s="286"/>
      <c r="BJ651" s="287"/>
      <c r="BL651" s="288"/>
      <c r="BM651" s="286"/>
      <c r="BN651" s="286"/>
      <c r="BO651" s="289"/>
    </row>
    <row r="652" spans="2:67" s="339" customFormat="1">
      <c r="B652" s="365" t="s">
        <v>410</v>
      </c>
      <c r="C652" s="339" t="s">
        <v>395</v>
      </c>
      <c r="D652" s="330">
        <f>G574</f>
        <v>54596.904497157091</v>
      </c>
      <c r="E652" s="326">
        <f>H574</f>
        <v>52145.78666666666</v>
      </c>
      <c r="F652" s="326">
        <f>E652-D652</f>
        <v>-2451.1178304904315</v>
      </c>
      <c r="G652" s="287"/>
      <c r="H652" s="284"/>
      <c r="I652" s="288"/>
      <c r="J652" s="286"/>
      <c r="K652" s="286"/>
      <c r="L652" s="289"/>
      <c r="M652" s="290"/>
      <c r="N652" s="288"/>
      <c r="O652" s="286"/>
      <c r="P652" s="286"/>
      <c r="Q652" s="287"/>
      <c r="S652" s="288"/>
      <c r="T652" s="286"/>
      <c r="U652" s="286"/>
      <c r="V652" s="287"/>
      <c r="X652" s="288"/>
      <c r="Y652" s="286"/>
      <c r="Z652" s="286"/>
      <c r="AA652" s="287"/>
      <c r="AC652" s="288"/>
      <c r="AD652" s="286"/>
      <c r="AE652" s="286"/>
      <c r="AF652" s="287"/>
      <c r="AH652" s="288"/>
      <c r="AI652" s="286"/>
      <c r="AJ652" s="286"/>
      <c r="AK652" s="287"/>
      <c r="AM652" s="288"/>
      <c r="AN652" s="286"/>
      <c r="AO652" s="286"/>
      <c r="AP652" s="287"/>
      <c r="AR652" s="288"/>
      <c r="AS652" s="286"/>
      <c r="AT652" s="286"/>
      <c r="AU652" s="287"/>
      <c r="AW652" s="288"/>
      <c r="AX652" s="286"/>
      <c r="AY652" s="286"/>
      <c r="AZ652" s="287"/>
      <c r="BB652" s="288"/>
      <c r="BC652" s="286"/>
      <c r="BD652" s="286"/>
      <c r="BE652" s="287"/>
      <c r="BG652" s="288"/>
      <c r="BH652" s="286"/>
      <c r="BI652" s="286"/>
      <c r="BJ652" s="287"/>
      <c r="BL652" s="288"/>
      <c r="BM652" s="286"/>
      <c r="BN652" s="286"/>
      <c r="BO652" s="289"/>
    </row>
    <row r="653" spans="2:67" s="339" customFormat="1">
      <c r="B653" s="339" t="s">
        <v>396</v>
      </c>
      <c r="D653" s="330"/>
      <c r="E653" s="326"/>
      <c r="F653" s="326"/>
      <c r="G653" s="287"/>
      <c r="H653" s="284"/>
      <c r="I653" s="288"/>
      <c r="J653" s="286"/>
      <c r="K653" s="286"/>
      <c r="L653" s="289"/>
      <c r="M653" s="290"/>
      <c r="N653" s="288"/>
      <c r="O653" s="286"/>
      <c r="P653" s="286"/>
      <c r="Q653" s="287"/>
      <c r="S653" s="288"/>
      <c r="T653" s="286"/>
      <c r="U653" s="286"/>
      <c r="V653" s="287"/>
      <c r="X653" s="288"/>
      <c r="Y653" s="286"/>
      <c r="Z653" s="286"/>
      <c r="AA653" s="287"/>
      <c r="AC653" s="288"/>
      <c r="AD653" s="286"/>
      <c r="AE653" s="286"/>
      <c r="AF653" s="287"/>
      <c r="AH653" s="288"/>
      <c r="AI653" s="286"/>
      <c r="AJ653" s="286"/>
      <c r="AK653" s="287"/>
      <c r="AM653" s="288"/>
      <c r="AN653" s="286"/>
      <c r="AO653" s="286"/>
      <c r="AP653" s="287"/>
      <c r="AR653" s="288"/>
      <c r="AS653" s="286"/>
      <c r="AT653" s="286"/>
      <c r="AU653" s="287"/>
      <c r="AW653" s="288"/>
      <c r="AX653" s="286"/>
      <c r="AY653" s="286"/>
      <c r="AZ653" s="287"/>
      <c r="BB653" s="288"/>
      <c r="BC653" s="286"/>
      <c r="BD653" s="286"/>
      <c r="BE653" s="287"/>
      <c r="BG653" s="288"/>
      <c r="BH653" s="286"/>
      <c r="BI653" s="286"/>
      <c r="BJ653" s="287"/>
      <c r="BL653" s="288"/>
      <c r="BM653" s="286"/>
      <c r="BN653" s="286"/>
      <c r="BO653" s="289"/>
    </row>
    <row r="654" spans="2:67" s="339" customFormat="1">
      <c r="B654" s="339" t="s">
        <v>411</v>
      </c>
      <c r="D654" s="330">
        <f>D652</f>
        <v>54596.904497157091</v>
      </c>
      <c r="E654" s="326">
        <f>E652</f>
        <v>52145.78666666666</v>
      </c>
      <c r="F654" s="326">
        <f>E654-D654</f>
        <v>-2451.1178304904315</v>
      </c>
      <c r="G654" s="287"/>
      <c r="H654" s="284"/>
      <c r="I654" s="288"/>
      <c r="J654" s="286"/>
      <c r="K654" s="286"/>
      <c r="L654" s="289"/>
      <c r="M654" s="290"/>
      <c r="N654" s="288"/>
      <c r="O654" s="286"/>
      <c r="P654" s="286"/>
      <c r="Q654" s="287"/>
      <c r="S654" s="288"/>
      <c r="T654" s="286"/>
      <c r="U654" s="286"/>
      <c r="V654" s="287"/>
      <c r="X654" s="288"/>
      <c r="Y654" s="286"/>
      <c r="Z654" s="286"/>
      <c r="AA654" s="287"/>
      <c r="AC654" s="288"/>
      <c r="AD654" s="286"/>
      <c r="AE654" s="286"/>
      <c r="AF654" s="287"/>
      <c r="AH654" s="288"/>
      <c r="AI654" s="286"/>
      <c r="AJ654" s="286"/>
      <c r="AK654" s="287"/>
      <c r="AM654" s="288"/>
      <c r="AN654" s="286"/>
      <c r="AO654" s="286"/>
      <c r="AP654" s="287"/>
      <c r="AR654" s="288"/>
      <c r="AS654" s="286"/>
      <c r="AT654" s="286"/>
      <c r="AU654" s="287"/>
      <c r="AW654" s="288"/>
      <c r="AX654" s="286"/>
      <c r="AY654" s="286"/>
      <c r="AZ654" s="287"/>
      <c r="BB654" s="288"/>
      <c r="BC654" s="286"/>
      <c r="BD654" s="286"/>
      <c r="BE654" s="287"/>
      <c r="BG654" s="288"/>
      <c r="BH654" s="286"/>
      <c r="BI654" s="286"/>
      <c r="BJ654" s="287"/>
      <c r="BL654" s="288"/>
      <c r="BM654" s="286"/>
      <c r="BN654" s="286"/>
      <c r="BO654" s="289"/>
    </row>
    <row r="655" spans="2:67" s="339" customFormat="1">
      <c r="B655" s="339" t="s">
        <v>396</v>
      </c>
      <c r="D655" s="330"/>
      <c r="E655" s="326"/>
      <c r="F655" s="326"/>
      <c r="G655" s="287"/>
      <c r="H655" s="284"/>
      <c r="I655" s="288"/>
      <c r="J655" s="286"/>
      <c r="K655" s="286"/>
      <c r="L655" s="289"/>
      <c r="M655" s="290"/>
      <c r="N655" s="288"/>
      <c r="O655" s="286"/>
      <c r="P655" s="286"/>
      <c r="Q655" s="287"/>
      <c r="S655" s="288"/>
      <c r="T655" s="286"/>
      <c r="U655" s="286"/>
      <c r="V655" s="287"/>
      <c r="X655" s="288"/>
      <c r="Y655" s="286"/>
      <c r="Z655" s="286"/>
      <c r="AA655" s="287"/>
      <c r="AC655" s="288"/>
      <c r="AD655" s="286"/>
      <c r="AE655" s="286"/>
      <c r="AF655" s="287"/>
      <c r="AH655" s="288"/>
      <c r="AI655" s="286"/>
      <c r="AJ655" s="286"/>
      <c r="AK655" s="287"/>
      <c r="AM655" s="288"/>
      <c r="AN655" s="286"/>
      <c r="AO655" s="286"/>
      <c r="AP655" s="287"/>
      <c r="AR655" s="288"/>
      <c r="AS655" s="286"/>
      <c r="AT655" s="286"/>
      <c r="AU655" s="287"/>
      <c r="AW655" s="288"/>
      <c r="AX655" s="286"/>
      <c r="AY655" s="286"/>
      <c r="AZ655" s="287"/>
      <c r="BB655" s="288"/>
      <c r="BC655" s="286"/>
      <c r="BD655" s="286"/>
      <c r="BE655" s="287"/>
      <c r="BG655" s="288"/>
      <c r="BH655" s="286"/>
      <c r="BI655" s="286"/>
      <c r="BJ655" s="287"/>
      <c r="BL655" s="288"/>
      <c r="BM655" s="286"/>
      <c r="BN655" s="286"/>
      <c r="BO655" s="289"/>
    </row>
    <row r="656" spans="2:67" s="339" customFormat="1">
      <c r="B656" s="339" t="s">
        <v>449</v>
      </c>
      <c r="D656" s="330">
        <f>G584</f>
        <v>1510.23</v>
      </c>
      <c r="E656" s="326">
        <f>H584</f>
        <v>1510.23</v>
      </c>
      <c r="F656" s="326">
        <f>E656-D656</f>
        <v>0</v>
      </c>
      <c r="G656" s="287"/>
      <c r="H656" s="284"/>
      <c r="I656" s="288"/>
      <c r="J656" s="286"/>
      <c r="K656" s="286"/>
      <c r="L656" s="289"/>
      <c r="M656" s="290"/>
      <c r="N656" s="288"/>
      <c r="O656" s="286"/>
      <c r="P656" s="286"/>
      <c r="Q656" s="287"/>
      <c r="S656" s="288"/>
      <c r="T656" s="286"/>
      <c r="U656" s="286"/>
      <c r="V656" s="287"/>
      <c r="X656" s="288"/>
      <c r="Y656" s="286"/>
      <c r="Z656" s="286"/>
      <c r="AA656" s="287"/>
      <c r="AC656" s="288"/>
      <c r="AD656" s="286"/>
      <c r="AE656" s="286"/>
      <c r="AF656" s="287"/>
      <c r="AH656" s="288"/>
      <c r="AI656" s="286"/>
      <c r="AJ656" s="286"/>
      <c r="AK656" s="287"/>
      <c r="AM656" s="288"/>
      <c r="AN656" s="286"/>
      <c r="AO656" s="286"/>
      <c r="AP656" s="287"/>
      <c r="AR656" s="288"/>
      <c r="AS656" s="286"/>
      <c r="AT656" s="286"/>
      <c r="AU656" s="287"/>
      <c r="AW656" s="288"/>
      <c r="AX656" s="286"/>
      <c r="AY656" s="286"/>
      <c r="AZ656" s="287"/>
      <c r="BB656" s="288"/>
      <c r="BC656" s="286"/>
      <c r="BD656" s="286"/>
      <c r="BE656" s="287"/>
      <c r="BG656" s="288"/>
      <c r="BH656" s="286"/>
      <c r="BI656" s="286"/>
      <c r="BJ656" s="287"/>
      <c r="BL656" s="288"/>
      <c r="BM656" s="286"/>
      <c r="BN656" s="286"/>
      <c r="BO656" s="289"/>
    </row>
    <row r="657" spans="1:67" s="339" customFormat="1">
      <c r="B657" s="339" t="s">
        <v>396</v>
      </c>
      <c r="D657" s="330"/>
      <c r="E657" s="326"/>
      <c r="F657" s="326"/>
      <c r="G657" s="287"/>
      <c r="H657" s="284"/>
      <c r="I657" s="288"/>
      <c r="J657" s="286"/>
      <c r="K657" s="286"/>
      <c r="L657" s="289"/>
      <c r="M657" s="290"/>
      <c r="N657" s="288"/>
      <c r="O657" s="286"/>
      <c r="P657" s="286"/>
      <c r="Q657" s="287"/>
      <c r="S657" s="288"/>
      <c r="T657" s="286"/>
      <c r="U657" s="286"/>
      <c r="V657" s="287"/>
      <c r="X657" s="288"/>
      <c r="Y657" s="286"/>
      <c r="Z657" s="286"/>
      <c r="AA657" s="287"/>
      <c r="AC657" s="288"/>
      <c r="AD657" s="286"/>
      <c r="AE657" s="286"/>
      <c r="AF657" s="287"/>
      <c r="AH657" s="288"/>
      <c r="AI657" s="286"/>
      <c r="AJ657" s="286"/>
      <c r="AK657" s="287"/>
      <c r="AM657" s="288"/>
      <c r="AN657" s="286"/>
      <c r="AO657" s="286"/>
      <c r="AP657" s="287"/>
      <c r="AR657" s="288"/>
      <c r="AS657" s="286"/>
      <c r="AT657" s="286"/>
      <c r="AU657" s="287"/>
      <c r="AW657" s="288"/>
      <c r="AX657" s="286"/>
      <c r="AY657" s="286"/>
      <c r="AZ657" s="287"/>
      <c r="BB657" s="288"/>
      <c r="BC657" s="286"/>
      <c r="BD657" s="286"/>
      <c r="BE657" s="287"/>
      <c r="BG657" s="288"/>
      <c r="BH657" s="286"/>
      <c r="BI657" s="286"/>
      <c r="BJ657" s="287"/>
      <c r="BL657" s="288"/>
      <c r="BM657" s="286"/>
      <c r="BN657" s="286"/>
      <c r="BO657" s="289"/>
    </row>
    <row r="658" spans="1:67" s="339" customFormat="1">
      <c r="B658" s="339" t="s">
        <v>413</v>
      </c>
      <c r="D658" s="330">
        <f>G585</f>
        <v>1571.7674999999997</v>
      </c>
      <c r="E658" s="326">
        <f>H585</f>
        <v>1571.7674999999997</v>
      </c>
      <c r="F658" s="326">
        <f>E658-D658</f>
        <v>0</v>
      </c>
      <c r="G658" s="287"/>
      <c r="H658" s="284"/>
      <c r="I658" s="288"/>
      <c r="J658" s="286"/>
      <c r="K658" s="286"/>
      <c r="L658" s="289"/>
      <c r="M658" s="290"/>
      <c r="N658" s="288"/>
      <c r="O658" s="286"/>
      <c r="P658" s="286"/>
      <c r="Q658" s="287"/>
      <c r="S658" s="288"/>
      <c r="T658" s="286"/>
      <c r="U658" s="286"/>
      <c r="V658" s="287"/>
      <c r="X658" s="288"/>
      <c r="Y658" s="286"/>
      <c r="Z658" s="286"/>
      <c r="AA658" s="287"/>
      <c r="AC658" s="288"/>
      <c r="AD658" s="286"/>
      <c r="AE658" s="286"/>
      <c r="AF658" s="287"/>
      <c r="AH658" s="288"/>
      <c r="AI658" s="286"/>
      <c r="AJ658" s="286"/>
      <c r="AK658" s="287"/>
      <c r="AM658" s="288"/>
      <c r="AN658" s="286"/>
      <c r="AO658" s="286"/>
      <c r="AP658" s="287"/>
      <c r="AR658" s="288"/>
      <c r="AS658" s="286"/>
      <c r="AT658" s="286"/>
      <c r="AU658" s="287"/>
      <c r="AW658" s="288"/>
      <c r="AX658" s="286"/>
      <c r="AY658" s="286"/>
      <c r="AZ658" s="287"/>
      <c r="BB658" s="288"/>
      <c r="BC658" s="286"/>
      <c r="BD658" s="286"/>
      <c r="BE658" s="287"/>
      <c r="BG658" s="288"/>
      <c r="BH658" s="286"/>
      <c r="BI658" s="286"/>
      <c r="BJ658" s="287"/>
      <c r="BL658" s="288"/>
      <c r="BM658" s="286"/>
      <c r="BN658" s="286"/>
      <c r="BO658" s="289"/>
    </row>
    <row r="659" spans="1:67" s="339" customFormat="1">
      <c r="B659" s="339" t="s">
        <v>396</v>
      </c>
      <c r="D659" s="330"/>
      <c r="E659" s="326"/>
      <c r="F659" s="326"/>
      <c r="G659" s="287"/>
      <c r="H659" s="284"/>
      <c r="I659" s="288"/>
      <c r="J659" s="286"/>
      <c r="K659" s="286"/>
      <c r="L659" s="289"/>
      <c r="M659" s="290"/>
      <c r="N659" s="288"/>
      <c r="O659" s="286"/>
      <c r="P659" s="286"/>
      <c r="Q659" s="287"/>
      <c r="S659" s="288"/>
      <c r="T659" s="286"/>
      <c r="U659" s="286"/>
      <c r="V659" s="287"/>
      <c r="X659" s="288"/>
      <c r="Y659" s="286"/>
      <c r="Z659" s="286"/>
      <c r="AA659" s="287"/>
      <c r="AC659" s="288"/>
      <c r="AD659" s="286"/>
      <c r="AE659" s="286"/>
      <c r="AF659" s="287"/>
      <c r="AH659" s="288"/>
      <c r="AI659" s="286"/>
      <c r="AJ659" s="286"/>
      <c r="AK659" s="287"/>
      <c r="AM659" s="288"/>
      <c r="AN659" s="286"/>
      <c r="AO659" s="286"/>
      <c r="AP659" s="287"/>
      <c r="AR659" s="288"/>
      <c r="AS659" s="286"/>
      <c r="AT659" s="286"/>
      <c r="AU659" s="287"/>
      <c r="AW659" s="288"/>
      <c r="AX659" s="286"/>
      <c r="AY659" s="286"/>
      <c r="AZ659" s="287"/>
      <c r="BB659" s="288"/>
      <c r="BC659" s="286"/>
      <c r="BD659" s="286"/>
      <c r="BE659" s="287"/>
      <c r="BG659" s="288"/>
      <c r="BH659" s="286"/>
      <c r="BI659" s="286"/>
      <c r="BJ659" s="287"/>
      <c r="BL659" s="288"/>
      <c r="BM659" s="286"/>
      <c r="BN659" s="286"/>
      <c r="BO659" s="289"/>
    </row>
    <row r="660" spans="1:67" s="339" customFormat="1">
      <c r="B660" s="339" t="s">
        <v>435</v>
      </c>
      <c r="D660" s="330"/>
      <c r="E660" s="326"/>
      <c r="F660" s="326"/>
      <c r="G660" s="287"/>
      <c r="H660" s="284"/>
      <c r="I660" s="288"/>
      <c r="J660" s="286"/>
      <c r="K660" s="286"/>
      <c r="L660" s="289"/>
      <c r="M660" s="290"/>
      <c r="N660" s="288"/>
      <c r="O660" s="286"/>
      <c r="P660" s="286"/>
      <c r="Q660" s="287"/>
      <c r="S660" s="288"/>
      <c r="T660" s="286"/>
      <c r="U660" s="286"/>
      <c r="V660" s="287"/>
      <c r="X660" s="288"/>
      <c r="Y660" s="286"/>
      <c r="Z660" s="286"/>
      <c r="AA660" s="287"/>
      <c r="AC660" s="288"/>
      <c r="AD660" s="286"/>
      <c r="AE660" s="286"/>
      <c r="AF660" s="287"/>
      <c r="AH660" s="288"/>
      <c r="AI660" s="286"/>
      <c r="AJ660" s="286"/>
      <c r="AK660" s="287"/>
      <c r="AM660" s="288"/>
      <c r="AN660" s="286"/>
      <c r="AO660" s="286"/>
      <c r="AP660" s="287"/>
      <c r="AR660" s="288"/>
      <c r="AS660" s="286"/>
      <c r="AT660" s="286"/>
      <c r="AU660" s="287"/>
      <c r="AW660" s="288"/>
      <c r="AX660" s="286"/>
      <c r="AY660" s="286"/>
      <c r="AZ660" s="287"/>
      <c r="BB660" s="288"/>
      <c r="BC660" s="286"/>
      <c r="BD660" s="286"/>
      <c r="BE660" s="287"/>
      <c r="BG660" s="288"/>
      <c r="BH660" s="286"/>
      <c r="BI660" s="286"/>
      <c r="BJ660" s="287"/>
      <c r="BL660" s="288"/>
      <c r="BM660" s="286"/>
      <c r="BN660" s="286"/>
      <c r="BO660" s="289"/>
    </row>
    <row r="661" spans="1:67" s="339" customFormat="1">
      <c r="D661" s="330"/>
      <c r="E661" s="326"/>
      <c r="F661" s="326"/>
      <c r="G661" s="287"/>
      <c r="H661" s="284"/>
      <c r="I661" s="288"/>
      <c r="J661" s="286"/>
      <c r="K661" s="286"/>
      <c r="L661" s="289"/>
      <c r="M661" s="290"/>
      <c r="N661" s="288"/>
      <c r="O661" s="286"/>
      <c r="P661" s="286"/>
      <c r="Q661" s="287"/>
      <c r="S661" s="288"/>
      <c r="T661" s="286"/>
      <c r="U661" s="286"/>
      <c r="V661" s="287"/>
      <c r="X661" s="288"/>
      <c r="Y661" s="286"/>
      <c r="Z661" s="286"/>
      <c r="AA661" s="287"/>
      <c r="AC661" s="288"/>
      <c r="AD661" s="286"/>
      <c r="AE661" s="286"/>
      <c r="AF661" s="287"/>
      <c r="AH661" s="288"/>
      <c r="AI661" s="286"/>
      <c r="AJ661" s="286"/>
      <c r="AK661" s="287"/>
      <c r="AM661" s="288"/>
      <c r="AN661" s="286"/>
      <c r="AO661" s="286"/>
      <c r="AP661" s="287"/>
      <c r="AR661" s="288"/>
      <c r="AS661" s="286"/>
      <c r="AT661" s="286"/>
      <c r="AU661" s="287"/>
      <c r="AW661" s="288"/>
      <c r="AX661" s="286"/>
      <c r="AY661" s="286"/>
      <c r="AZ661" s="287"/>
      <c r="BB661" s="288"/>
      <c r="BC661" s="286"/>
      <c r="BD661" s="286"/>
      <c r="BE661" s="287"/>
      <c r="BG661" s="288"/>
      <c r="BH661" s="286"/>
      <c r="BI661" s="286"/>
      <c r="BJ661" s="287"/>
      <c r="BL661" s="288"/>
      <c r="BM661" s="286"/>
      <c r="BN661" s="286"/>
      <c r="BO661" s="289"/>
    </row>
    <row r="662" spans="1:67" s="339" customFormat="1">
      <c r="B662" s="365" t="s">
        <v>450</v>
      </c>
      <c r="C662" s="339" t="s">
        <v>402</v>
      </c>
      <c r="D662" s="330">
        <f>G575</f>
        <v>13545.515077362201</v>
      </c>
      <c r="E662" s="326">
        <f>H575</f>
        <v>6536.4866666666667</v>
      </c>
      <c r="F662" s="326">
        <f>E662-D662</f>
        <v>-7009.0284106955341</v>
      </c>
      <c r="G662" s="287"/>
      <c r="H662" s="284"/>
      <c r="I662" s="288"/>
      <c r="J662" s="286"/>
      <c r="K662" s="286"/>
      <c r="L662" s="289"/>
      <c r="M662" s="290"/>
      <c r="N662" s="288"/>
      <c r="O662" s="286"/>
      <c r="P662" s="286"/>
      <c r="Q662" s="287"/>
      <c r="S662" s="288"/>
      <c r="T662" s="286"/>
      <c r="U662" s="286"/>
      <c r="V662" s="287"/>
      <c r="X662" s="288"/>
      <c r="Y662" s="286"/>
      <c r="Z662" s="286"/>
      <c r="AA662" s="287"/>
      <c r="AC662" s="288"/>
      <c r="AD662" s="286"/>
      <c r="AE662" s="286"/>
      <c r="AF662" s="287"/>
      <c r="AH662" s="288"/>
      <c r="AI662" s="286"/>
      <c r="AJ662" s="286"/>
      <c r="AK662" s="287"/>
      <c r="AM662" s="288"/>
      <c r="AN662" s="286"/>
      <c r="AO662" s="286"/>
      <c r="AP662" s="287"/>
      <c r="AR662" s="288"/>
      <c r="AS662" s="286"/>
      <c r="AT662" s="286"/>
      <c r="AU662" s="287"/>
      <c r="AW662" s="288"/>
      <c r="AX662" s="286"/>
      <c r="AY662" s="286"/>
      <c r="AZ662" s="287"/>
      <c r="BB662" s="288"/>
      <c r="BC662" s="286"/>
      <c r="BD662" s="286"/>
      <c r="BE662" s="287"/>
      <c r="BG662" s="288"/>
      <c r="BH662" s="286"/>
      <c r="BI662" s="286"/>
      <c r="BJ662" s="287"/>
      <c r="BL662" s="288"/>
      <c r="BM662" s="286"/>
      <c r="BN662" s="286"/>
      <c r="BO662" s="289"/>
    </row>
    <row r="663" spans="1:67" s="339" customFormat="1">
      <c r="B663" s="365" t="s">
        <v>416</v>
      </c>
      <c r="C663" s="339" t="s">
        <v>402</v>
      </c>
      <c r="D663" s="330">
        <f>G576</f>
        <v>44428.894250666672</v>
      </c>
      <c r="E663" s="326">
        <f>H576</f>
        <v>32475.360000000004</v>
      </c>
      <c r="F663" s="326">
        <f>E663-D663</f>
        <v>-11953.534250666668</v>
      </c>
      <c r="G663" s="287"/>
      <c r="H663" s="284"/>
      <c r="I663" s="288"/>
      <c r="J663" s="286"/>
      <c r="K663" s="286"/>
      <c r="L663" s="289"/>
      <c r="M663" s="290"/>
      <c r="N663" s="288"/>
      <c r="O663" s="286"/>
      <c r="P663" s="286"/>
      <c r="Q663" s="287"/>
      <c r="S663" s="288"/>
      <c r="T663" s="286"/>
      <c r="U663" s="286"/>
      <c r="V663" s="287"/>
      <c r="X663" s="288"/>
      <c r="Y663" s="286"/>
      <c r="Z663" s="286"/>
      <c r="AA663" s="287"/>
      <c r="AC663" s="288"/>
      <c r="AD663" s="286"/>
      <c r="AE663" s="286"/>
      <c r="AF663" s="287"/>
      <c r="AH663" s="288"/>
      <c r="AI663" s="286"/>
      <c r="AJ663" s="286"/>
      <c r="AK663" s="287"/>
      <c r="AM663" s="288"/>
      <c r="AN663" s="286"/>
      <c r="AO663" s="286"/>
      <c r="AP663" s="287"/>
      <c r="AR663" s="288"/>
      <c r="AS663" s="286"/>
      <c r="AT663" s="286"/>
      <c r="AU663" s="287"/>
      <c r="AW663" s="288"/>
      <c r="AX663" s="286"/>
      <c r="AY663" s="286"/>
      <c r="AZ663" s="287"/>
      <c r="BB663" s="288"/>
      <c r="BC663" s="286"/>
      <c r="BD663" s="286"/>
      <c r="BE663" s="287"/>
      <c r="BG663" s="288"/>
      <c r="BH663" s="286"/>
      <c r="BI663" s="286"/>
      <c r="BJ663" s="287"/>
      <c r="BL663" s="288"/>
      <c r="BM663" s="286"/>
      <c r="BN663" s="286"/>
      <c r="BO663" s="289"/>
    </row>
    <row r="664" spans="1:67" s="339" customFormat="1">
      <c r="B664" s="365" t="s">
        <v>417</v>
      </c>
      <c r="C664" s="339" t="s">
        <v>402</v>
      </c>
      <c r="D664" s="330">
        <f>G582</f>
        <v>47904.796214187685</v>
      </c>
      <c r="E664" s="326">
        <f>H582</f>
        <v>33730.439999999995</v>
      </c>
      <c r="F664" s="326">
        <f>E664-D664</f>
        <v>-14174.35621418769</v>
      </c>
      <c r="G664" s="287"/>
      <c r="H664" s="284"/>
      <c r="I664" s="288"/>
      <c r="J664" s="286"/>
      <c r="K664" s="286"/>
      <c r="L664" s="289"/>
      <c r="M664" s="290"/>
      <c r="N664" s="288"/>
      <c r="O664" s="286"/>
      <c r="P664" s="286"/>
      <c r="Q664" s="287"/>
      <c r="S664" s="288"/>
      <c r="T664" s="286"/>
      <c r="U664" s="286"/>
      <c r="V664" s="287"/>
      <c r="X664" s="288"/>
      <c r="Y664" s="286"/>
      <c r="Z664" s="286"/>
      <c r="AA664" s="287"/>
      <c r="AC664" s="288"/>
      <c r="AD664" s="286"/>
      <c r="AE664" s="286"/>
      <c r="AF664" s="287"/>
      <c r="AH664" s="288"/>
      <c r="AI664" s="286"/>
      <c r="AJ664" s="286"/>
      <c r="AK664" s="287"/>
      <c r="AM664" s="288"/>
      <c r="AN664" s="286"/>
      <c r="AO664" s="286"/>
      <c r="AP664" s="287"/>
      <c r="AR664" s="288"/>
      <c r="AS664" s="286"/>
      <c r="AT664" s="286"/>
      <c r="AU664" s="287"/>
      <c r="AW664" s="288"/>
      <c r="AX664" s="286"/>
      <c r="AY664" s="286"/>
      <c r="AZ664" s="287"/>
      <c r="BB664" s="288"/>
      <c r="BC664" s="286"/>
      <c r="BD664" s="286"/>
      <c r="BE664" s="287"/>
      <c r="BG664" s="288"/>
      <c r="BH664" s="286"/>
      <c r="BI664" s="286"/>
      <c r="BJ664" s="287"/>
      <c r="BL664" s="288"/>
      <c r="BM664" s="286"/>
      <c r="BN664" s="286"/>
      <c r="BO664" s="289"/>
    </row>
    <row r="665" spans="1:67" s="339" customFormat="1">
      <c r="B665" s="339" t="s">
        <v>396</v>
      </c>
      <c r="D665" s="330"/>
      <c r="E665" s="326"/>
      <c r="F665" s="326"/>
      <c r="G665" s="287"/>
      <c r="H665" s="284"/>
      <c r="I665" s="288"/>
      <c r="J665" s="286"/>
      <c r="K665" s="286"/>
      <c r="L665" s="289"/>
      <c r="M665" s="290"/>
      <c r="N665" s="288"/>
      <c r="O665" s="286"/>
      <c r="P665" s="286"/>
      <c r="Q665" s="287"/>
      <c r="S665" s="288"/>
      <c r="T665" s="286"/>
      <c r="U665" s="286"/>
      <c r="V665" s="287"/>
      <c r="X665" s="288"/>
      <c r="Y665" s="286"/>
      <c r="Z665" s="286"/>
      <c r="AA665" s="287"/>
      <c r="AC665" s="288"/>
      <c r="AD665" s="286"/>
      <c r="AE665" s="286"/>
      <c r="AF665" s="287"/>
      <c r="AH665" s="288"/>
      <c r="AI665" s="286"/>
      <c r="AJ665" s="286"/>
      <c r="AK665" s="287"/>
      <c r="AM665" s="288"/>
      <c r="AN665" s="286"/>
      <c r="AO665" s="286"/>
      <c r="AP665" s="287"/>
      <c r="AR665" s="288"/>
      <c r="AS665" s="286"/>
      <c r="AT665" s="286"/>
      <c r="AU665" s="287"/>
      <c r="AW665" s="288"/>
      <c r="AX665" s="286"/>
      <c r="AY665" s="286"/>
      <c r="AZ665" s="287"/>
      <c r="BB665" s="288"/>
      <c r="BC665" s="286"/>
      <c r="BD665" s="286"/>
      <c r="BE665" s="287"/>
      <c r="BG665" s="288"/>
      <c r="BH665" s="286"/>
      <c r="BI665" s="286"/>
      <c r="BJ665" s="287"/>
      <c r="BL665" s="288"/>
      <c r="BM665" s="286"/>
      <c r="BN665" s="286"/>
      <c r="BO665" s="289"/>
    </row>
    <row r="666" spans="1:67" s="339" customFormat="1">
      <c r="B666" s="339" t="s">
        <v>418</v>
      </c>
      <c r="D666" s="330">
        <f>SUM(D662:D664)</f>
        <v>105879.20554221656</v>
      </c>
      <c r="E666" s="326">
        <f>SUM(E662:E664)</f>
        <v>72742.286666666667</v>
      </c>
      <c r="F666" s="326">
        <f>SUM(F662:F664)</f>
        <v>-33136.918875549891</v>
      </c>
      <c r="G666" s="287"/>
      <c r="H666" s="284"/>
      <c r="I666" s="288"/>
      <c r="J666" s="286"/>
      <c r="K666" s="286"/>
      <c r="L666" s="289"/>
      <c r="M666" s="290"/>
      <c r="N666" s="288"/>
      <c r="O666" s="286"/>
      <c r="P666" s="286"/>
      <c r="Q666" s="287"/>
      <c r="S666" s="288"/>
      <c r="T666" s="286"/>
      <c r="U666" s="286"/>
      <c r="V666" s="287"/>
      <c r="X666" s="288"/>
      <c r="Y666" s="286"/>
      <c r="Z666" s="286"/>
      <c r="AA666" s="287"/>
      <c r="AC666" s="288"/>
      <c r="AD666" s="286"/>
      <c r="AE666" s="286"/>
      <c r="AF666" s="287"/>
      <c r="AH666" s="288"/>
      <c r="AI666" s="286"/>
      <c r="AJ666" s="286"/>
      <c r="AK666" s="287"/>
      <c r="AM666" s="288"/>
      <c r="AN666" s="286"/>
      <c r="AO666" s="286"/>
      <c r="AP666" s="287"/>
      <c r="AR666" s="288"/>
      <c r="AS666" s="286"/>
      <c r="AT666" s="286"/>
      <c r="AU666" s="287"/>
      <c r="AW666" s="288"/>
      <c r="AX666" s="286"/>
      <c r="AY666" s="286"/>
      <c r="AZ666" s="287"/>
      <c r="BB666" s="288"/>
      <c r="BC666" s="286"/>
      <c r="BD666" s="286"/>
      <c r="BE666" s="287"/>
      <c r="BG666" s="288"/>
      <c r="BH666" s="286"/>
      <c r="BI666" s="286"/>
      <c r="BJ666" s="287"/>
      <c r="BL666" s="288"/>
      <c r="BM666" s="286"/>
      <c r="BN666" s="286"/>
      <c r="BO666" s="289"/>
    </row>
    <row r="667" spans="1:67" s="339" customFormat="1">
      <c r="B667" s="339" t="s">
        <v>396</v>
      </c>
      <c r="D667" s="330"/>
      <c r="E667" s="326"/>
      <c r="F667" s="326"/>
      <c r="G667" s="287"/>
      <c r="H667" s="284"/>
      <c r="I667" s="288"/>
      <c r="J667" s="286"/>
      <c r="K667" s="286"/>
      <c r="L667" s="289"/>
      <c r="M667" s="290"/>
      <c r="N667" s="288"/>
      <c r="O667" s="286"/>
      <c r="P667" s="286"/>
      <c r="Q667" s="287"/>
      <c r="S667" s="288"/>
      <c r="T667" s="286"/>
      <c r="U667" s="286"/>
      <c r="V667" s="287"/>
      <c r="X667" s="288"/>
      <c r="Y667" s="286"/>
      <c r="Z667" s="286"/>
      <c r="AA667" s="287"/>
      <c r="AC667" s="288"/>
      <c r="AD667" s="286"/>
      <c r="AE667" s="286"/>
      <c r="AF667" s="287"/>
      <c r="AH667" s="288"/>
      <c r="AI667" s="286"/>
      <c r="AJ667" s="286"/>
      <c r="AK667" s="287"/>
      <c r="AM667" s="288"/>
      <c r="AN667" s="286"/>
      <c r="AO667" s="286"/>
      <c r="AP667" s="287"/>
      <c r="AR667" s="288"/>
      <c r="AS667" s="286"/>
      <c r="AT667" s="286"/>
      <c r="AU667" s="287"/>
      <c r="AW667" s="288"/>
      <c r="AX667" s="286"/>
      <c r="AY667" s="286"/>
      <c r="AZ667" s="287"/>
      <c r="BB667" s="288"/>
      <c r="BC667" s="286"/>
      <c r="BD667" s="286"/>
      <c r="BE667" s="287"/>
      <c r="BG667" s="288"/>
      <c r="BH667" s="286"/>
      <c r="BI667" s="286"/>
      <c r="BJ667" s="287"/>
      <c r="BL667" s="288"/>
      <c r="BM667" s="286"/>
      <c r="BN667" s="286"/>
      <c r="BO667" s="289"/>
    </row>
    <row r="668" spans="1:67" s="339" customFormat="1">
      <c r="D668" s="305" t="s">
        <v>230</v>
      </c>
      <c r="E668" s="306" t="s">
        <v>218</v>
      </c>
      <c r="F668" s="306" t="s">
        <v>371</v>
      </c>
      <c r="G668" s="287"/>
      <c r="H668" s="284"/>
      <c r="I668" s="288"/>
      <c r="J668" s="286"/>
      <c r="K668" s="286"/>
      <c r="L668" s="289"/>
      <c r="M668" s="290"/>
      <c r="N668" s="288"/>
      <c r="O668" s="286"/>
      <c r="P668" s="286"/>
      <c r="Q668" s="287"/>
      <c r="S668" s="288"/>
      <c r="T668" s="286"/>
      <c r="U668" s="286"/>
      <c r="V668" s="287"/>
      <c r="X668" s="288"/>
      <c r="Y668" s="286"/>
      <c r="Z668" s="286"/>
      <c r="AA668" s="287"/>
      <c r="AC668" s="288"/>
      <c r="AD668" s="286"/>
      <c r="AE668" s="286"/>
      <c r="AF668" s="287"/>
      <c r="AH668" s="288"/>
      <c r="AI668" s="286"/>
      <c r="AJ668" s="286"/>
      <c r="AK668" s="287"/>
      <c r="AM668" s="288"/>
      <c r="AN668" s="286"/>
      <c r="AO668" s="286"/>
      <c r="AP668" s="287"/>
      <c r="AR668" s="288"/>
      <c r="AS668" s="286"/>
      <c r="AT668" s="286"/>
      <c r="AU668" s="287"/>
      <c r="AW668" s="288"/>
      <c r="AX668" s="286"/>
      <c r="AY668" s="286"/>
      <c r="AZ668" s="287"/>
      <c r="BB668" s="288"/>
      <c r="BC668" s="286"/>
      <c r="BD668" s="286"/>
      <c r="BE668" s="287"/>
      <c r="BG668" s="288"/>
      <c r="BH668" s="286"/>
      <c r="BI668" s="286"/>
      <c r="BJ668" s="287"/>
      <c r="BL668" s="288"/>
      <c r="BM668" s="286"/>
      <c r="BN668" s="286"/>
      <c r="BO668" s="289"/>
    </row>
    <row r="669" spans="1:67" s="339" customFormat="1">
      <c r="B669" s="339" t="s">
        <v>419</v>
      </c>
      <c r="D669" s="330">
        <f>SUM(D666+D656+D654+D648+D638+D630+D658)</f>
        <v>714185.32788833731</v>
      </c>
      <c r="E669" s="326">
        <f>SUM(E666+E656+E654+E648+E638+E630+E658)</f>
        <v>588404.68083333329</v>
      </c>
      <c r="F669" s="326">
        <f>E669-D669</f>
        <v>-125780.64705500402</v>
      </c>
      <c r="G669" s="287"/>
      <c r="H669" s="284"/>
      <c r="I669" s="288"/>
      <c r="J669" s="286"/>
      <c r="K669" s="286"/>
      <c r="L669" s="289"/>
      <c r="M669" s="290"/>
      <c r="N669" s="288"/>
      <c r="O669" s="286"/>
      <c r="P669" s="286"/>
      <c r="Q669" s="287"/>
      <c r="S669" s="288"/>
      <c r="T669" s="286"/>
      <c r="U669" s="286"/>
      <c r="V669" s="287"/>
      <c r="X669" s="288"/>
      <c r="Y669" s="286"/>
      <c r="Z669" s="286"/>
      <c r="AA669" s="287"/>
      <c r="AC669" s="288"/>
      <c r="AD669" s="286"/>
      <c r="AE669" s="286"/>
      <c r="AF669" s="287"/>
      <c r="AH669" s="288"/>
      <c r="AI669" s="286"/>
      <c r="AJ669" s="286"/>
      <c r="AK669" s="287"/>
      <c r="AM669" s="288"/>
      <c r="AN669" s="286"/>
      <c r="AO669" s="286"/>
      <c r="AP669" s="287"/>
      <c r="AR669" s="288"/>
      <c r="AS669" s="286"/>
      <c r="AT669" s="286"/>
      <c r="AU669" s="287"/>
      <c r="AW669" s="288"/>
      <c r="AX669" s="286"/>
      <c r="AY669" s="286"/>
      <c r="AZ669" s="287"/>
      <c r="BB669" s="288"/>
      <c r="BC669" s="286"/>
      <c r="BD669" s="286"/>
      <c r="BE669" s="287"/>
      <c r="BG669" s="288"/>
      <c r="BH669" s="286"/>
      <c r="BI669" s="286"/>
      <c r="BJ669" s="287"/>
      <c r="BL669" s="288"/>
      <c r="BM669" s="286"/>
      <c r="BN669" s="286"/>
      <c r="BO669" s="289"/>
    </row>
    <row r="670" spans="1:67" s="339" customFormat="1">
      <c r="B670" s="339" t="s">
        <v>396</v>
      </c>
      <c r="D670" s="288"/>
      <c r="E670" s="286"/>
      <c r="F670" s="286"/>
      <c r="G670" s="287"/>
      <c r="H670" s="284"/>
      <c r="I670" s="288"/>
      <c r="J670" s="286"/>
      <c r="K670" s="286"/>
      <c r="L670" s="289"/>
      <c r="M670" s="290"/>
      <c r="N670" s="288"/>
      <c r="O670" s="286"/>
      <c r="P670" s="286"/>
      <c r="Q670" s="287"/>
      <c r="S670" s="288"/>
      <c r="T670" s="286"/>
      <c r="U670" s="286"/>
      <c r="V670" s="287"/>
      <c r="X670" s="288"/>
      <c r="Y670" s="286"/>
      <c r="Z670" s="286"/>
      <c r="AA670" s="287"/>
      <c r="AC670" s="288"/>
      <c r="AD670" s="286"/>
      <c r="AE670" s="286"/>
      <c r="AF670" s="287"/>
      <c r="AH670" s="288"/>
      <c r="AI670" s="286"/>
      <c r="AJ670" s="286"/>
      <c r="AK670" s="287"/>
      <c r="AM670" s="288"/>
      <c r="AN670" s="286"/>
      <c r="AO670" s="286"/>
      <c r="AP670" s="287"/>
      <c r="AR670" s="288"/>
      <c r="AS670" s="286"/>
      <c r="AT670" s="286"/>
      <c r="AU670" s="287"/>
      <c r="AW670" s="288"/>
      <c r="AX670" s="286"/>
      <c r="AY670" s="286"/>
      <c r="AZ670" s="287"/>
      <c r="BB670" s="288"/>
      <c r="BC670" s="286"/>
      <c r="BD670" s="286"/>
      <c r="BE670" s="287"/>
      <c r="BG670" s="288"/>
      <c r="BH670" s="286"/>
      <c r="BI670" s="286"/>
      <c r="BJ670" s="287"/>
      <c r="BL670" s="288"/>
      <c r="BM670" s="286"/>
      <c r="BN670" s="286"/>
      <c r="BO670" s="289"/>
    </row>
    <row r="671" spans="1:67">
      <c r="A671" s="341" t="s">
        <v>327</v>
      </c>
      <c r="B671" s="339"/>
      <c r="C671" s="339"/>
    </row>
    <row r="681" spans="2:9">
      <c r="B681" s="283" t="s">
        <v>451</v>
      </c>
    </row>
    <row r="682" spans="2:9">
      <c r="B682" s="283" t="s">
        <v>444</v>
      </c>
    </row>
    <row r="684" spans="2:9">
      <c r="B684" s="283" t="s">
        <v>370</v>
      </c>
      <c r="F684" s="286" t="s">
        <v>371</v>
      </c>
      <c r="G684" s="287" t="s">
        <v>372</v>
      </c>
      <c r="H684" s="358">
        <f>SUM(H706-G706)</f>
        <v>-133327.51213900628</v>
      </c>
    </row>
    <row r="685" spans="2:9">
      <c r="I685" s="330"/>
    </row>
    <row r="686" spans="2:9">
      <c r="C686" s="284" t="s">
        <v>216</v>
      </c>
      <c r="E686" s="286" t="s">
        <v>374</v>
      </c>
      <c r="G686" s="287" t="s">
        <v>345</v>
      </c>
      <c r="I686" s="305" t="s">
        <v>218</v>
      </c>
    </row>
    <row r="687" spans="2:9">
      <c r="C687" s="304" t="s">
        <v>230</v>
      </c>
      <c r="D687" s="305" t="s">
        <v>218</v>
      </c>
      <c r="E687" s="306" t="s">
        <v>230</v>
      </c>
      <c r="F687" s="306" t="s">
        <v>218</v>
      </c>
      <c r="G687" s="303" t="s">
        <v>230</v>
      </c>
      <c r="H687" s="304" t="s">
        <v>218</v>
      </c>
      <c r="I687" s="305" t="s">
        <v>55</v>
      </c>
    </row>
    <row r="689" spans="2:9">
      <c r="B689" s="283" t="s">
        <v>127</v>
      </c>
      <c r="C689" s="284">
        <f t="shared" ref="C689:C703" si="82">BK46</f>
        <v>0</v>
      </c>
      <c r="D689" s="288">
        <f t="shared" ref="D689:D703" si="83">BL46</f>
        <v>0</v>
      </c>
      <c r="E689" s="326">
        <f t="shared" ref="E689:E704" si="84">IF(C689=0,0,+G689/C689)</f>
        <v>0</v>
      </c>
      <c r="F689" s="326">
        <f t="shared" ref="F689:F704" si="85">IF(D689=0,0,+H689/D689)</f>
        <v>0</v>
      </c>
      <c r="G689" s="327">
        <f t="shared" ref="G689:G703" si="86">BM46</f>
        <v>0</v>
      </c>
      <c r="H689" s="358">
        <f t="shared" ref="H689:H703" si="87">BN46</f>
        <v>0</v>
      </c>
      <c r="I689" s="330">
        <f t="shared" ref="I689:I704" si="88">D689/F$713</f>
        <v>0</v>
      </c>
    </row>
    <row r="690" spans="2:9">
      <c r="B690" s="283" t="s">
        <v>63</v>
      </c>
      <c r="C690" s="284">
        <f t="shared" si="82"/>
        <v>312543.62163537048</v>
      </c>
      <c r="D690" s="288">
        <f t="shared" si="83"/>
        <v>314221</v>
      </c>
      <c r="E690" s="326">
        <f t="shared" si="84"/>
        <v>0.75140010081327668</v>
      </c>
      <c r="F690" s="326">
        <f t="shared" si="85"/>
        <v>0.52742903879753422</v>
      </c>
      <c r="G690" s="327">
        <f t="shared" si="86"/>
        <v>234845.30880536398</v>
      </c>
      <c r="H690" s="358">
        <f t="shared" si="87"/>
        <v>165729.28</v>
      </c>
      <c r="I690" s="330">
        <f t="shared" si="88"/>
        <v>34.661645562140599</v>
      </c>
    </row>
    <row r="691" spans="2:9">
      <c r="B691" s="283" t="s">
        <v>61</v>
      </c>
      <c r="C691" s="284">
        <f t="shared" si="82"/>
        <v>601852.89465028525</v>
      </c>
      <c r="D691" s="288">
        <f t="shared" si="83"/>
        <v>555976.33333333337</v>
      </c>
      <c r="E691" s="326">
        <f t="shared" si="84"/>
        <v>0.22627703109356317</v>
      </c>
      <c r="F691" s="326">
        <f t="shared" si="85"/>
        <v>0.20906953473439216</v>
      </c>
      <c r="G691" s="327">
        <f t="shared" si="86"/>
        <v>136185.48615653359</v>
      </c>
      <c r="H691" s="358">
        <f t="shared" si="87"/>
        <v>116237.71333333333</v>
      </c>
      <c r="I691" s="330">
        <f t="shared" si="88"/>
        <v>61.329620257521107</v>
      </c>
    </row>
    <row r="692" spans="2:9">
      <c r="B692" s="283" t="s">
        <v>66</v>
      </c>
      <c r="C692" s="284">
        <f t="shared" si="82"/>
        <v>416380.88530685619</v>
      </c>
      <c r="D692" s="288">
        <f t="shared" si="83"/>
        <v>433108.87666666665</v>
      </c>
      <c r="E692" s="326">
        <f t="shared" si="84"/>
        <v>0.2703191565225922</v>
      </c>
      <c r="F692" s="326">
        <f t="shared" si="85"/>
        <v>0.27032593798219934</v>
      </c>
      <c r="G692" s="327">
        <f t="shared" si="86"/>
        <v>112555.72970827956</v>
      </c>
      <c r="H692" s="358">
        <f t="shared" si="87"/>
        <v>117080.56333333334</v>
      </c>
      <c r="I692" s="330">
        <f t="shared" si="88"/>
        <v>47.776139636869807</v>
      </c>
    </row>
    <row r="693" spans="2:9">
      <c r="B693" s="283" t="s">
        <v>60</v>
      </c>
      <c r="C693" s="284">
        <f t="shared" si="82"/>
        <v>23705.442473004423</v>
      </c>
      <c r="D693" s="288">
        <f t="shared" si="83"/>
        <v>9720</v>
      </c>
      <c r="E693" s="326">
        <f t="shared" si="84"/>
        <v>0.66881571600906653</v>
      </c>
      <c r="F693" s="326">
        <f t="shared" si="85"/>
        <v>0.70789986282578876</v>
      </c>
      <c r="G693" s="327">
        <f t="shared" si="86"/>
        <v>15854.57248089419</v>
      </c>
      <c r="H693" s="358">
        <f t="shared" si="87"/>
        <v>6880.7866666666669</v>
      </c>
      <c r="I693" s="330">
        <f t="shared" si="88"/>
        <v>1.0722109434570148</v>
      </c>
    </row>
    <row r="694" spans="2:9">
      <c r="B694" s="283" t="s">
        <v>62</v>
      </c>
      <c r="C694" s="284">
        <f t="shared" si="82"/>
        <v>0</v>
      </c>
      <c r="D694" s="288">
        <f t="shared" si="83"/>
        <v>0</v>
      </c>
      <c r="E694" s="326">
        <f t="shared" si="84"/>
        <v>0</v>
      </c>
      <c r="F694" s="326">
        <f t="shared" si="85"/>
        <v>0</v>
      </c>
      <c r="G694" s="327">
        <f t="shared" si="86"/>
        <v>0</v>
      </c>
      <c r="H694" s="358">
        <f t="shared" si="87"/>
        <v>0</v>
      </c>
      <c r="I694" s="330">
        <f t="shared" si="88"/>
        <v>0</v>
      </c>
    </row>
    <row r="695" spans="2:9">
      <c r="B695" s="283" t="s">
        <v>262</v>
      </c>
      <c r="C695" s="284">
        <f t="shared" si="82"/>
        <v>211981.0422049897</v>
      </c>
      <c r="D695" s="288">
        <f t="shared" si="83"/>
        <v>208669</v>
      </c>
      <c r="E695" s="326">
        <f t="shared" si="84"/>
        <v>0.33462046236029214</v>
      </c>
      <c r="F695" s="326">
        <f t="shared" si="85"/>
        <v>0.28546843725389653</v>
      </c>
      <c r="G695" s="327">
        <f t="shared" si="86"/>
        <v>70933.194354250256</v>
      </c>
      <c r="H695" s="358">
        <f t="shared" si="87"/>
        <v>59568.41333333333</v>
      </c>
      <c r="I695" s="330">
        <f t="shared" si="88"/>
        <v>23.018228946525909</v>
      </c>
    </row>
    <row r="696" spans="2:9">
      <c r="B696" s="283" t="s">
        <v>326</v>
      </c>
      <c r="C696" s="284">
        <f t="shared" si="82"/>
        <v>0</v>
      </c>
      <c r="D696" s="288">
        <f t="shared" si="83"/>
        <v>2934.9733333333352</v>
      </c>
      <c r="E696" s="326">
        <f t="shared" si="84"/>
        <v>0</v>
      </c>
      <c r="F696" s="326">
        <f t="shared" si="85"/>
        <v>-3.6988808529776511</v>
      </c>
      <c r="G696" s="327">
        <f t="shared" si="86"/>
        <v>0</v>
      </c>
      <c r="H696" s="358">
        <f t="shared" si="87"/>
        <v>-10856.116666666667</v>
      </c>
      <c r="I696" s="330">
        <f t="shared" si="88"/>
        <v>0.32375622703235751</v>
      </c>
    </row>
    <row r="697" spans="2:9">
      <c r="B697" s="283" t="s">
        <v>72</v>
      </c>
      <c r="C697" s="284">
        <f t="shared" si="82"/>
        <v>38703.322177483984</v>
      </c>
      <c r="D697" s="288">
        <f t="shared" si="83"/>
        <v>32216.666666666668</v>
      </c>
      <c r="E697" s="326">
        <f t="shared" si="84"/>
        <v>0.16114970567164583</v>
      </c>
      <c r="F697" s="326">
        <f t="shared" si="85"/>
        <v>0.16405297465080185</v>
      </c>
      <c r="G697" s="327">
        <f t="shared" si="86"/>
        <v>6237.0289774164266</v>
      </c>
      <c r="H697" s="358">
        <f t="shared" si="87"/>
        <v>5285.24</v>
      </c>
      <c r="I697" s="330">
        <f t="shared" si="88"/>
        <v>3.5538130207517313</v>
      </c>
    </row>
    <row r="698" spans="2:9">
      <c r="B698" s="283" t="s">
        <v>54</v>
      </c>
      <c r="C698" s="284">
        <f t="shared" si="82"/>
        <v>96011.792527738202</v>
      </c>
      <c r="D698" s="288">
        <f t="shared" si="83"/>
        <v>91827</v>
      </c>
      <c r="E698" s="326">
        <f t="shared" si="84"/>
        <v>0.67829209425961945</v>
      </c>
      <c r="F698" s="326">
        <f t="shared" si="85"/>
        <v>0.40823886220828293</v>
      </c>
      <c r="G698" s="327">
        <f t="shared" si="86"/>
        <v>65124.039827259629</v>
      </c>
      <c r="H698" s="358">
        <f t="shared" si="87"/>
        <v>37487.35</v>
      </c>
      <c r="I698" s="330">
        <f t="shared" si="88"/>
        <v>10.129415051936965</v>
      </c>
    </row>
    <row r="699" spans="2:9">
      <c r="B699" s="283" t="s">
        <v>269</v>
      </c>
      <c r="C699" s="284">
        <f t="shared" si="82"/>
        <v>367755.18677050743</v>
      </c>
      <c r="D699" s="288">
        <f t="shared" si="83"/>
        <v>488859.66666666669</v>
      </c>
      <c r="E699" s="326">
        <f t="shared" si="84"/>
        <v>0.24835846586484603</v>
      </c>
      <c r="F699" s="326">
        <f t="shared" si="85"/>
        <v>0.1483854125826157</v>
      </c>
      <c r="G699" s="327">
        <f t="shared" si="86"/>
        <v>91335.114000163143</v>
      </c>
      <c r="H699" s="358">
        <f t="shared" si="87"/>
        <v>72539.643333333326</v>
      </c>
      <c r="I699" s="330">
        <f t="shared" si="88"/>
        <v>53.925996338965895</v>
      </c>
    </row>
    <row r="700" spans="2:9">
      <c r="B700" s="283" t="s">
        <v>274</v>
      </c>
      <c r="C700" s="284">
        <f t="shared" si="82"/>
        <v>2452.2493753247395</v>
      </c>
      <c r="D700" s="288">
        <f t="shared" si="83"/>
        <v>2275.3333333333335</v>
      </c>
      <c r="E700" s="326">
        <f t="shared" si="84"/>
        <v>3.3405017230792953</v>
      </c>
      <c r="F700" s="326">
        <f t="shared" si="85"/>
        <v>0.90739964840316434</v>
      </c>
      <c r="G700" s="327">
        <f t="shared" si="86"/>
        <v>8191.7432636924177</v>
      </c>
      <c r="H700" s="358">
        <f t="shared" si="87"/>
        <v>2064.6366666666668</v>
      </c>
      <c r="I700" s="330">
        <f t="shared" si="88"/>
        <v>0.25099149177083618</v>
      </c>
    </row>
    <row r="701" spans="2:9">
      <c r="B701" s="283" t="s">
        <v>279</v>
      </c>
      <c r="C701" s="284">
        <f t="shared" si="82"/>
        <v>17143.148408648627</v>
      </c>
      <c r="D701" s="288">
        <f t="shared" si="83"/>
        <v>8082.333333333333</v>
      </c>
      <c r="E701" s="326">
        <f t="shared" si="84"/>
        <v>1.1849542039897218</v>
      </c>
      <c r="F701" s="326">
        <f t="shared" si="85"/>
        <v>0.90807110157957682</v>
      </c>
      <c r="G701" s="327">
        <f t="shared" si="86"/>
        <v>20313.845776447899</v>
      </c>
      <c r="H701" s="358">
        <f t="shared" si="87"/>
        <v>7339.333333333333</v>
      </c>
      <c r="I701" s="330">
        <f t="shared" si="88"/>
        <v>0.89156031364891075</v>
      </c>
    </row>
    <row r="702" spans="2:9">
      <c r="B702" s="283" t="s">
        <v>65</v>
      </c>
      <c r="C702" s="284">
        <f t="shared" si="82"/>
        <v>699005.80235849193</v>
      </c>
      <c r="D702" s="288">
        <f t="shared" si="83"/>
        <v>1288428</v>
      </c>
      <c r="E702" s="326">
        <f t="shared" si="84"/>
        <v>0.15923149202650366</v>
      </c>
      <c r="F702" s="326">
        <f t="shared" si="85"/>
        <v>0.10502216654714117</v>
      </c>
      <c r="G702" s="327">
        <f t="shared" si="86"/>
        <v>111303.73684472601</v>
      </c>
      <c r="H702" s="358">
        <f t="shared" si="87"/>
        <v>135313.5</v>
      </c>
      <c r="I702" s="330">
        <f t="shared" si="88"/>
        <v>142.12619356547683</v>
      </c>
    </row>
    <row r="703" spans="2:9">
      <c r="B703" s="283" t="s">
        <v>242</v>
      </c>
      <c r="C703" s="284">
        <f t="shared" si="82"/>
        <v>2431042.9662890509</v>
      </c>
      <c r="D703" s="288">
        <f t="shared" si="83"/>
        <v>2587092</v>
      </c>
      <c r="E703" s="326">
        <f t="shared" si="84"/>
        <v>0.14414316275079556</v>
      </c>
      <c r="F703" s="326">
        <f t="shared" si="85"/>
        <v>0.14506641691391983</v>
      </c>
      <c r="G703" s="327">
        <f t="shared" si="86"/>
        <v>350418.22194397944</v>
      </c>
      <c r="H703" s="358">
        <f t="shared" si="87"/>
        <v>375300.16666666669</v>
      </c>
      <c r="I703" s="330">
        <f t="shared" si="88"/>
        <v>285.38151791461888</v>
      </c>
    </row>
    <row r="704" spans="2:9">
      <c r="B704" s="283" t="s">
        <v>283</v>
      </c>
      <c r="C704" s="284">
        <f>BK45</f>
        <v>0</v>
      </c>
      <c r="D704" s="288">
        <f>BL45</f>
        <v>0</v>
      </c>
      <c r="E704" s="326">
        <f t="shared" si="84"/>
        <v>0</v>
      </c>
      <c r="F704" s="326">
        <f t="shared" si="85"/>
        <v>0</v>
      </c>
      <c r="G704" s="327">
        <f>BM45</f>
        <v>0</v>
      </c>
      <c r="H704" s="358">
        <f>BN45</f>
        <v>0</v>
      </c>
      <c r="I704" s="330">
        <f t="shared" si="88"/>
        <v>0</v>
      </c>
    </row>
    <row r="705" spans="1:67">
      <c r="E705" s="326"/>
      <c r="F705" s="326"/>
      <c r="G705" s="327"/>
      <c r="H705" s="358"/>
      <c r="I705" s="330"/>
    </row>
    <row r="706" spans="1:67">
      <c r="B706" s="283" t="s">
        <v>13</v>
      </c>
      <c r="C706" s="284">
        <f>SUM(C689:C703)</f>
        <v>5218578.3541777516</v>
      </c>
      <c r="D706" s="288">
        <f>SUM(D689:D703)</f>
        <v>6023411.1833333336</v>
      </c>
      <c r="E706" s="326">
        <f>IF(C706=0,0,+G706/C706)</f>
        <v>0.23441212129347275</v>
      </c>
      <c r="F706" s="326">
        <f>IF(D706=0,0,+H706/D706)</f>
        <v>0.18095568720527139</v>
      </c>
      <c r="G706" s="327">
        <f>SUM(G689:G704)</f>
        <v>1223298.0221390065</v>
      </c>
      <c r="H706" s="358">
        <f>SUM(H689:H704)</f>
        <v>1089970.5100000002</v>
      </c>
      <c r="I706" s="330">
        <f>D706/F$713</f>
        <v>664.44108927071682</v>
      </c>
    </row>
    <row r="707" spans="1:67">
      <c r="G707" s="327"/>
      <c r="H707" s="358"/>
    </row>
    <row r="708" spans="1:67">
      <c r="G708" s="327"/>
      <c r="H708" s="358"/>
    </row>
    <row r="709" spans="1:67">
      <c r="D709" s="288" t="s">
        <v>230</v>
      </c>
      <c r="F709" s="286" t="s">
        <v>218</v>
      </c>
      <c r="H709" s="284" t="s">
        <v>231</v>
      </c>
      <c r="AC709" s="362"/>
    </row>
    <row r="710" spans="1:67" s="339" customFormat="1">
      <c r="B710" s="339" t="s">
        <v>243</v>
      </c>
      <c r="D710" s="330">
        <f>BL65</f>
        <v>144673</v>
      </c>
      <c r="E710" s="326"/>
      <c r="F710" s="326">
        <f>BM65</f>
        <v>123707.17666666668</v>
      </c>
      <c r="G710" s="327"/>
      <c r="H710" s="358">
        <f>BN65</f>
        <v>118321.36666666665</v>
      </c>
      <c r="I710" s="288"/>
      <c r="J710" s="286"/>
      <c r="K710" s="286"/>
      <c r="L710" s="289"/>
      <c r="M710" s="290"/>
      <c r="N710" s="288"/>
      <c r="O710" s="286"/>
      <c r="P710" s="286"/>
      <c r="Q710" s="287"/>
      <c r="S710" s="288"/>
      <c r="T710" s="286"/>
      <c r="U710" s="286"/>
      <c r="V710" s="287"/>
      <c r="X710" s="288"/>
      <c r="Y710" s="286"/>
      <c r="Z710" s="286"/>
      <c r="AA710" s="287"/>
      <c r="AB710" s="341"/>
      <c r="AC710" s="288"/>
      <c r="AD710" s="286"/>
      <c r="AE710" s="286"/>
      <c r="AF710" s="287"/>
      <c r="AH710" s="288"/>
      <c r="AI710" s="286"/>
      <c r="AJ710" s="286"/>
      <c r="AK710" s="287"/>
      <c r="AM710" s="288"/>
      <c r="AN710" s="286"/>
      <c r="AO710" s="286"/>
      <c r="AP710" s="287"/>
      <c r="AR710" s="288"/>
      <c r="AS710" s="286"/>
      <c r="AT710" s="286"/>
      <c r="AU710" s="287"/>
      <c r="AW710" s="288"/>
      <c r="AX710" s="286"/>
      <c r="AY710" s="286"/>
      <c r="AZ710" s="287"/>
      <c r="BB710" s="288"/>
      <c r="BC710" s="286"/>
      <c r="BD710" s="286"/>
      <c r="BE710" s="287"/>
      <c r="BG710" s="288"/>
      <c r="BH710" s="286"/>
      <c r="BI710" s="286"/>
      <c r="BJ710" s="287"/>
      <c r="BL710" s="288"/>
      <c r="BM710" s="286"/>
      <c r="BN710" s="286"/>
      <c r="BO710" s="289"/>
    </row>
    <row r="711" spans="1:67">
      <c r="AB711" s="358"/>
    </row>
    <row r="712" spans="1:67">
      <c r="D712" s="288" t="s">
        <v>230</v>
      </c>
      <c r="F712" s="286" t="s">
        <v>218</v>
      </c>
      <c r="AB712" s="358"/>
    </row>
    <row r="713" spans="1:67" s="344" customFormat="1">
      <c r="B713" s="344" t="s">
        <v>296</v>
      </c>
      <c r="D713" s="330">
        <f>BL66</f>
        <v>9516.314742611552</v>
      </c>
      <c r="E713" s="326"/>
      <c r="F713" s="326">
        <f>BM66</f>
        <v>9065.3803333333326</v>
      </c>
      <c r="G713" s="327"/>
      <c r="H713" s="358">
        <f>BN66</f>
        <v>9637.0371956868257</v>
      </c>
      <c r="I713" s="288"/>
      <c r="J713" s="286"/>
      <c r="K713" s="286"/>
      <c r="L713" s="289"/>
      <c r="M713" s="290"/>
      <c r="N713" s="288"/>
      <c r="O713" s="286"/>
      <c r="P713" s="286"/>
      <c r="Q713" s="287"/>
      <c r="S713" s="288"/>
      <c r="T713" s="286"/>
      <c r="U713" s="286"/>
      <c r="V713" s="332"/>
      <c r="W713" s="345"/>
      <c r="X713" s="330"/>
      <c r="Y713" s="361"/>
      <c r="Z713" s="326"/>
      <c r="AA713" s="332"/>
      <c r="AB713" s="349"/>
      <c r="AC713" s="288"/>
      <c r="AD713" s="286"/>
      <c r="AE713" s="286"/>
      <c r="AF713" s="287"/>
      <c r="AH713" s="288"/>
      <c r="AI713" s="286"/>
      <c r="AJ713" s="286"/>
      <c r="AK713" s="287"/>
      <c r="AM713" s="288"/>
      <c r="AN713" s="286"/>
      <c r="AO713" s="286"/>
      <c r="AP713" s="287"/>
      <c r="AR713" s="288"/>
      <c r="AS713" s="286"/>
      <c r="AT713" s="286"/>
      <c r="AU713" s="287"/>
      <c r="AW713" s="288"/>
      <c r="AX713" s="286"/>
      <c r="AY713" s="286"/>
      <c r="AZ713" s="287"/>
      <c r="BB713" s="288"/>
      <c r="BC713" s="286"/>
      <c r="BD713" s="286"/>
      <c r="BE713" s="287"/>
      <c r="BG713" s="288"/>
      <c r="BH713" s="286"/>
      <c r="BI713" s="286"/>
      <c r="BJ713" s="287"/>
      <c r="BL713" s="288"/>
      <c r="BM713" s="286"/>
      <c r="BN713" s="286"/>
      <c r="BO713" s="289"/>
    </row>
    <row r="716" spans="1:67" ht="15.75" customHeight="1"/>
    <row r="717" spans="1:67" s="339" customFormat="1">
      <c r="B717" s="339" t="s">
        <v>252</v>
      </c>
      <c r="D717" s="330">
        <f>BL67</f>
        <v>127.74881962241345</v>
      </c>
      <c r="E717" s="326"/>
      <c r="F717" s="326">
        <f>BM67</f>
        <v>121.54200256717485</v>
      </c>
      <c r="G717" s="332"/>
      <c r="H717" s="358">
        <f>BN67</f>
        <v>3026.2347900000004</v>
      </c>
      <c r="I717" s="288"/>
      <c r="J717" s="286"/>
      <c r="K717" s="286"/>
      <c r="L717" s="289"/>
      <c r="M717" s="290"/>
      <c r="N717" s="288"/>
      <c r="O717" s="286"/>
      <c r="P717" s="286"/>
      <c r="Q717" s="287"/>
      <c r="S717" s="288"/>
      <c r="T717" s="286"/>
      <c r="U717" s="286"/>
      <c r="V717" s="287"/>
      <c r="X717" s="288"/>
      <c r="Y717" s="286"/>
      <c r="Z717" s="286"/>
      <c r="AA717" s="287"/>
      <c r="AB717" s="340"/>
      <c r="AC717" s="362"/>
      <c r="AD717" s="286"/>
      <c r="AE717" s="286"/>
      <c r="AF717" s="287"/>
      <c r="AH717" s="288"/>
      <c r="AI717" s="286"/>
      <c r="AJ717" s="286"/>
      <c r="AK717" s="287"/>
      <c r="AM717" s="288"/>
      <c r="AN717" s="286"/>
      <c r="AO717" s="286"/>
      <c r="AP717" s="287"/>
      <c r="AR717" s="288"/>
      <c r="AS717" s="286"/>
      <c r="AT717" s="286"/>
      <c r="AU717" s="287"/>
      <c r="AW717" s="288"/>
      <c r="AX717" s="286"/>
      <c r="AY717" s="286"/>
      <c r="AZ717" s="287"/>
      <c r="BB717" s="288"/>
      <c r="BC717" s="286"/>
      <c r="BD717" s="286"/>
      <c r="BE717" s="287"/>
      <c r="BG717" s="288"/>
      <c r="BH717" s="286"/>
      <c r="BI717" s="286"/>
      <c r="BJ717" s="287"/>
      <c r="BL717" s="288"/>
      <c r="BM717" s="286"/>
      <c r="BN717" s="286"/>
      <c r="BO717" s="289"/>
    </row>
    <row r="718" spans="1:67" s="339" customFormat="1">
      <c r="D718" s="288"/>
      <c r="E718" s="286"/>
      <c r="F718" s="286"/>
      <c r="G718" s="287"/>
      <c r="H718" s="284"/>
      <c r="I718" s="288"/>
      <c r="J718" s="286"/>
      <c r="K718" s="286"/>
      <c r="L718" s="289"/>
      <c r="M718" s="290"/>
      <c r="N718" s="288"/>
      <c r="O718" s="286"/>
      <c r="P718" s="286"/>
      <c r="Q718" s="287"/>
      <c r="S718" s="288"/>
      <c r="T718" s="286"/>
      <c r="U718" s="286"/>
      <c r="V718" s="287"/>
      <c r="X718" s="288"/>
      <c r="Y718" s="286"/>
      <c r="Z718" s="286"/>
      <c r="AA718" s="287"/>
      <c r="AC718" s="288"/>
      <c r="AD718" s="286"/>
      <c r="AE718" s="286"/>
      <c r="AF718" s="287"/>
      <c r="AH718" s="288"/>
      <c r="AI718" s="286"/>
      <c r="AJ718" s="286"/>
      <c r="AK718" s="287"/>
      <c r="AM718" s="288"/>
      <c r="AN718" s="286"/>
      <c r="AO718" s="286"/>
      <c r="AP718" s="287"/>
      <c r="AR718" s="288"/>
      <c r="AS718" s="286"/>
      <c r="AT718" s="286"/>
      <c r="AU718" s="287"/>
      <c r="AW718" s="288"/>
      <c r="AX718" s="286"/>
      <c r="AY718" s="286"/>
      <c r="AZ718" s="287"/>
      <c r="BB718" s="288"/>
      <c r="BC718" s="286"/>
      <c r="BD718" s="286"/>
      <c r="BE718" s="287"/>
      <c r="BG718" s="288"/>
      <c r="BH718" s="286"/>
      <c r="BI718" s="286"/>
      <c r="BJ718" s="287"/>
      <c r="BL718" s="288"/>
      <c r="BM718" s="286"/>
      <c r="BN718" s="286"/>
      <c r="BO718" s="289"/>
    </row>
    <row r="719" spans="1:67">
      <c r="A719" s="341" t="s">
        <v>192</v>
      </c>
      <c r="B719" s="339" t="s">
        <v>378</v>
      </c>
      <c r="C719" s="339"/>
    </row>
    <row r="720" spans="1:67">
      <c r="A720" s="341" t="s">
        <v>192</v>
      </c>
      <c r="B720" s="339" t="s">
        <v>379</v>
      </c>
      <c r="C720" s="339"/>
      <c r="G720" s="327">
        <f>(F713-D713)*(C706/D713)*E706</f>
        <v>-57966.469784193432</v>
      </c>
    </row>
    <row r="721" spans="1:8">
      <c r="A721" s="341" t="s">
        <v>192</v>
      </c>
      <c r="B721" s="339" t="s">
        <v>380</v>
      </c>
      <c r="C721" s="339"/>
      <c r="G721" s="327">
        <f>(D706/F713-C706/D713)*(F713*E706)</f>
        <v>246629.04055318053</v>
      </c>
      <c r="H721" s="358"/>
    </row>
    <row r="722" spans="1:8">
      <c r="A722" s="341" t="s">
        <v>192</v>
      </c>
      <c r="B722" s="339" t="s">
        <v>381</v>
      </c>
      <c r="C722" s="339"/>
      <c r="G722" s="327">
        <f>(F706-E706)*D706</f>
        <v>-321990.08290799329</v>
      </c>
      <c r="H722" s="358"/>
    </row>
    <row r="723" spans="1:8">
      <c r="A723" s="341" t="s">
        <v>192</v>
      </c>
      <c r="B723" s="339" t="s">
        <v>382</v>
      </c>
      <c r="C723" s="339"/>
      <c r="G723" s="327">
        <f>SUM(G720:G722)</f>
        <v>-133327.5121390062</v>
      </c>
      <c r="H723" s="358"/>
    </row>
    <row r="724" spans="1:8">
      <c r="A724" s="323" t="s">
        <v>327</v>
      </c>
    </row>
    <row r="729" spans="1:8">
      <c r="B729" s="283" t="s">
        <v>451</v>
      </c>
    </row>
    <row r="730" spans="1:8">
      <c r="B730" s="283" t="str">
        <f>B682</f>
        <v>Year-to-Date</v>
      </c>
    </row>
    <row r="732" spans="1:8">
      <c r="B732" s="283" t="s">
        <v>383</v>
      </c>
    </row>
    <row r="733" spans="1:8">
      <c r="B733" s="283" t="s">
        <v>384</v>
      </c>
      <c r="E733" s="286" t="s">
        <v>385</v>
      </c>
      <c r="F733" s="326">
        <f>F781</f>
        <v>-133327.51213900628</v>
      </c>
    </row>
    <row r="735" spans="1:8">
      <c r="D735" s="305" t="s">
        <v>386</v>
      </c>
      <c r="E735" s="306" t="s">
        <v>387</v>
      </c>
      <c r="F735" s="306" t="s">
        <v>388</v>
      </c>
    </row>
    <row r="737" spans="2:6">
      <c r="B737" s="283" t="s">
        <v>389</v>
      </c>
    </row>
    <row r="738" spans="2:6">
      <c r="B738" s="363" t="s">
        <v>424</v>
      </c>
      <c r="C738" s="284" t="s">
        <v>390</v>
      </c>
      <c r="D738" s="330">
        <f>G689</f>
        <v>0</v>
      </c>
      <c r="E738" s="326">
        <f>H689</f>
        <v>0</v>
      </c>
      <c r="F738" s="326">
        <f>E738-D738</f>
        <v>0</v>
      </c>
    </row>
    <row r="739" spans="2:6">
      <c r="B739" s="363" t="s">
        <v>391</v>
      </c>
      <c r="C739" s="284" t="s">
        <v>390</v>
      </c>
      <c r="D739" s="330">
        <f>G702</f>
        <v>111303.73684472601</v>
      </c>
      <c r="E739" s="326">
        <f>H702</f>
        <v>135313.5</v>
      </c>
      <c r="F739" s="326">
        <f>E739-D739</f>
        <v>24009.763155273991</v>
      </c>
    </row>
    <row r="740" spans="2:6">
      <c r="B740" s="363" t="s">
        <v>392</v>
      </c>
      <c r="C740" s="284" t="s">
        <v>393</v>
      </c>
      <c r="D740" s="330">
        <f>G695</f>
        <v>70933.194354250256</v>
      </c>
      <c r="E740" s="326">
        <f>H695</f>
        <v>59568.41333333333</v>
      </c>
      <c r="F740" s="326">
        <f>E740-D740</f>
        <v>-11364.781020916926</v>
      </c>
    </row>
    <row r="741" spans="2:6">
      <c r="B741" s="363" t="s">
        <v>425</v>
      </c>
      <c r="C741" s="284" t="s">
        <v>393</v>
      </c>
      <c r="D741" s="330">
        <f>G703</f>
        <v>350418.22194397944</v>
      </c>
      <c r="E741" s="326">
        <f>H703</f>
        <v>375300.16666666669</v>
      </c>
      <c r="F741" s="326">
        <f>E741-D741</f>
        <v>24881.944722687243</v>
      </c>
    </row>
    <row r="742" spans="2:6">
      <c r="B742" s="363" t="s">
        <v>394</v>
      </c>
      <c r="C742" s="284" t="s">
        <v>395</v>
      </c>
      <c r="D742" s="330">
        <f>G701</f>
        <v>20313.845776447899</v>
      </c>
      <c r="E742" s="326">
        <f>H701</f>
        <v>7339.333333333333</v>
      </c>
      <c r="F742" s="326">
        <f>E742-D742</f>
        <v>-12974.512443114567</v>
      </c>
    </row>
    <row r="743" spans="2:6">
      <c r="B743" s="283" t="s">
        <v>396</v>
      </c>
      <c r="D743" s="330"/>
      <c r="E743" s="326"/>
      <c r="F743" s="326"/>
    </row>
    <row r="744" spans="2:6">
      <c r="B744" s="283" t="s">
        <v>397</v>
      </c>
      <c r="D744" s="330">
        <f>SUM(D738:D742)</f>
        <v>552968.99891940365</v>
      </c>
      <c r="E744" s="326">
        <f>SUM(E738:E742)</f>
        <v>577521.41333333345</v>
      </c>
      <c r="F744" s="326">
        <f>E744-D744</f>
        <v>24552.414413929801</v>
      </c>
    </row>
    <row r="745" spans="2:6">
      <c r="B745" s="283" t="s">
        <v>396</v>
      </c>
      <c r="D745" s="330"/>
      <c r="E745" s="326"/>
      <c r="F745" s="326"/>
    </row>
    <row r="746" spans="2:6">
      <c r="D746" s="330"/>
      <c r="E746" s="326"/>
      <c r="F746" s="326"/>
    </row>
    <row r="747" spans="2:6">
      <c r="B747" s="283" t="s">
        <v>398</v>
      </c>
      <c r="D747" s="330"/>
      <c r="E747" s="326"/>
      <c r="F747" s="326"/>
    </row>
    <row r="748" spans="2:6">
      <c r="B748" s="363" t="s">
        <v>399</v>
      </c>
      <c r="C748" s="284" t="s">
        <v>393</v>
      </c>
      <c r="D748" s="330">
        <f>G691</f>
        <v>136185.48615653359</v>
      </c>
      <c r="E748" s="326">
        <f>H691</f>
        <v>116237.71333333333</v>
      </c>
      <c r="F748" s="326">
        <f>E748-D748</f>
        <v>-19947.772823200256</v>
      </c>
    </row>
    <row r="749" spans="2:6">
      <c r="B749" s="363" t="s">
        <v>400</v>
      </c>
      <c r="C749" s="284" t="s">
        <v>393</v>
      </c>
      <c r="D749" s="330">
        <f>G698</f>
        <v>65124.039827259629</v>
      </c>
      <c r="E749" s="326">
        <f>H698</f>
        <v>37487.35</v>
      </c>
      <c r="F749" s="326">
        <f>E749-D749</f>
        <v>-27636.68982725963</v>
      </c>
    </row>
    <row r="750" spans="2:6">
      <c r="B750" s="363" t="s">
        <v>401</v>
      </c>
      <c r="C750" s="284" t="s">
        <v>402</v>
      </c>
      <c r="D750" s="330">
        <f>G697</f>
        <v>6237.0289774164266</v>
      </c>
      <c r="E750" s="326">
        <f>H697</f>
        <v>5285.24</v>
      </c>
      <c r="F750" s="326">
        <f>E750-D750</f>
        <v>-951.78897741642686</v>
      </c>
    </row>
    <row r="751" spans="2:6">
      <c r="B751" s="283" t="s">
        <v>396</v>
      </c>
      <c r="D751" s="330"/>
      <c r="E751" s="326"/>
      <c r="F751" s="326"/>
    </row>
    <row r="752" spans="2:6">
      <c r="B752" s="283" t="s">
        <v>403</v>
      </c>
      <c r="D752" s="330">
        <f>D748+D750+D749</f>
        <v>207546.55496120965</v>
      </c>
      <c r="E752" s="326">
        <f>E748+E750+E749</f>
        <v>159010.30333333334</v>
      </c>
      <c r="F752" s="326">
        <f>E752-D752</f>
        <v>-48536.251627876307</v>
      </c>
    </row>
    <row r="753" spans="2:6">
      <c r="B753" s="283" t="s">
        <v>396</v>
      </c>
      <c r="D753" s="330"/>
      <c r="E753" s="326"/>
      <c r="F753" s="326"/>
    </row>
    <row r="754" spans="2:6">
      <c r="D754" s="330"/>
      <c r="E754" s="326"/>
      <c r="F754" s="326"/>
    </row>
    <row r="755" spans="2:6">
      <c r="B755" s="283" t="s">
        <v>430</v>
      </c>
      <c r="D755" s="330"/>
      <c r="E755" s="326"/>
      <c r="F755" s="326"/>
    </row>
    <row r="756" spans="2:6">
      <c r="B756" s="363" t="s">
        <v>406</v>
      </c>
      <c r="C756" s="284" t="s">
        <v>432</v>
      </c>
      <c r="D756" s="330">
        <f>G690</f>
        <v>234845.30880536398</v>
      </c>
      <c r="E756" s="326">
        <f>H690</f>
        <v>165729.28</v>
      </c>
      <c r="F756" s="326">
        <f>E756-D756</f>
        <v>-69116.028805363982</v>
      </c>
    </row>
    <row r="757" spans="2:6">
      <c r="D757" s="330"/>
      <c r="E757" s="326"/>
      <c r="F757" s="326"/>
    </row>
    <row r="758" spans="2:6">
      <c r="B758" s="363" t="s">
        <v>433</v>
      </c>
      <c r="C758" s="284" t="s">
        <v>390</v>
      </c>
      <c r="D758" s="330">
        <f>G696</f>
        <v>0</v>
      </c>
      <c r="E758" s="326">
        <f>H696</f>
        <v>-10856.116666666667</v>
      </c>
      <c r="F758" s="326">
        <f>E758-D758</f>
        <v>-10856.116666666667</v>
      </c>
    </row>
    <row r="759" spans="2:6">
      <c r="D759" s="330"/>
      <c r="E759" s="326"/>
      <c r="F759" s="326"/>
    </row>
    <row r="760" spans="2:6">
      <c r="B760" s="363" t="s">
        <v>407</v>
      </c>
      <c r="C760" s="284" t="s">
        <v>390</v>
      </c>
      <c r="D760" s="330">
        <f>G699</f>
        <v>91335.114000163143</v>
      </c>
      <c r="E760" s="326">
        <f>H699</f>
        <v>72539.643333333326</v>
      </c>
      <c r="F760" s="326">
        <f>E760-D760</f>
        <v>-18795.470666829817</v>
      </c>
    </row>
    <row r="761" spans="2:6">
      <c r="B761" s="283" t="s">
        <v>396</v>
      </c>
      <c r="D761" s="330"/>
      <c r="E761" s="326"/>
      <c r="F761" s="326"/>
    </row>
    <row r="762" spans="2:6">
      <c r="B762" s="283" t="s">
        <v>408</v>
      </c>
      <c r="D762" s="330">
        <f>SUM(D756:D760)</f>
        <v>326180.42280552711</v>
      </c>
      <c r="E762" s="326">
        <f>SUM(E756:E760)</f>
        <v>227412.80666666664</v>
      </c>
      <c r="F762" s="326">
        <f>E762-D762</f>
        <v>-98767.616138860467</v>
      </c>
    </row>
    <row r="763" spans="2:6">
      <c r="B763" s="283" t="s">
        <v>396</v>
      </c>
      <c r="D763" s="330"/>
      <c r="E763" s="326"/>
      <c r="F763" s="326"/>
    </row>
    <row r="764" spans="2:6">
      <c r="D764" s="330"/>
      <c r="E764" s="326"/>
      <c r="F764" s="326"/>
    </row>
    <row r="765" spans="2:6">
      <c r="B765" s="283" t="s">
        <v>409</v>
      </c>
      <c r="D765" s="330"/>
      <c r="E765" s="326"/>
      <c r="F765" s="326"/>
    </row>
    <row r="766" spans="2:6">
      <c r="B766" s="363" t="s">
        <v>410</v>
      </c>
      <c r="C766" s="284" t="s">
        <v>395</v>
      </c>
      <c r="D766" s="330">
        <f>G692</f>
        <v>112555.72970827956</v>
      </c>
      <c r="E766" s="326">
        <f>H692</f>
        <v>117080.56333333334</v>
      </c>
      <c r="F766" s="326">
        <f>E766-D766</f>
        <v>4524.8336250537832</v>
      </c>
    </row>
    <row r="767" spans="2:6">
      <c r="B767" s="283" t="s">
        <v>396</v>
      </c>
      <c r="D767" s="330"/>
      <c r="E767" s="326"/>
      <c r="F767" s="326"/>
    </row>
    <row r="768" spans="2:6">
      <c r="B768" s="283" t="s">
        <v>411</v>
      </c>
      <c r="D768" s="330">
        <f>D766</f>
        <v>112555.72970827956</v>
      </c>
      <c r="E768" s="326">
        <f>E766</f>
        <v>117080.56333333334</v>
      </c>
      <c r="F768" s="326">
        <f>E768-D768</f>
        <v>4524.8336250537832</v>
      </c>
    </row>
    <row r="769" spans="2:6">
      <c r="B769" s="283" t="s">
        <v>396</v>
      </c>
      <c r="D769" s="330"/>
      <c r="E769" s="326"/>
      <c r="F769" s="326"/>
    </row>
    <row r="770" spans="2:6">
      <c r="B770" s="283" t="s">
        <v>413</v>
      </c>
      <c r="D770" s="330">
        <f>G704</f>
        <v>0</v>
      </c>
      <c r="E770" s="326">
        <f>H704</f>
        <v>0</v>
      </c>
      <c r="F770" s="326">
        <f>E770-D770</f>
        <v>0</v>
      </c>
    </row>
    <row r="771" spans="2:6">
      <c r="B771" s="283" t="s">
        <v>396</v>
      </c>
      <c r="D771" s="330"/>
      <c r="E771" s="326"/>
      <c r="F771" s="326"/>
    </row>
    <row r="772" spans="2:6">
      <c r="B772" s="283" t="s">
        <v>435</v>
      </c>
    </row>
    <row r="773" spans="2:6">
      <c r="D773" s="330"/>
      <c r="E773" s="326"/>
      <c r="F773" s="326"/>
    </row>
    <row r="774" spans="2:6">
      <c r="B774" s="363" t="s">
        <v>436</v>
      </c>
      <c r="C774" s="284" t="s">
        <v>402</v>
      </c>
      <c r="D774" s="330">
        <f>G693</f>
        <v>15854.57248089419</v>
      </c>
      <c r="E774" s="326">
        <f>H693</f>
        <v>6880.7866666666669</v>
      </c>
      <c r="F774" s="326">
        <f>E774-D774</f>
        <v>-8973.7858142275236</v>
      </c>
    </row>
    <row r="775" spans="2:6">
      <c r="B775" s="363" t="s">
        <v>416</v>
      </c>
      <c r="C775" s="284" t="s">
        <v>402</v>
      </c>
      <c r="D775" s="330">
        <f>G694</f>
        <v>0</v>
      </c>
      <c r="E775" s="326">
        <f>H694</f>
        <v>0</v>
      </c>
      <c r="F775" s="326">
        <f>E775-D775</f>
        <v>0</v>
      </c>
    </row>
    <row r="776" spans="2:6">
      <c r="B776" s="363" t="s">
        <v>417</v>
      </c>
      <c r="C776" s="284" t="s">
        <v>402</v>
      </c>
      <c r="D776" s="330">
        <f>G700</f>
        <v>8191.7432636924177</v>
      </c>
      <c r="E776" s="326">
        <f>H700</f>
        <v>2064.6366666666668</v>
      </c>
      <c r="F776" s="326">
        <f>E776-D776</f>
        <v>-6127.1065970257514</v>
      </c>
    </row>
    <row r="777" spans="2:6">
      <c r="B777" s="283" t="s">
        <v>396</v>
      </c>
      <c r="D777" s="330"/>
      <c r="E777" s="326"/>
      <c r="F777" s="326"/>
    </row>
    <row r="778" spans="2:6">
      <c r="B778" s="283" t="s">
        <v>418</v>
      </c>
      <c r="D778" s="330">
        <f>SUM(D774:D776)</f>
        <v>24046.315744586609</v>
      </c>
      <c r="E778" s="326">
        <f>SUM(E774:E776)</f>
        <v>8945.4233333333341</v>
      </c>
      <c r="F778" s="326">
        <f>SUM(F774:F776)</f>
        <v>-15100.892411253275</v>
      </c>
    </row>
    <row r="779" spans="2:6">
      <c r="B779" s="283" t="s">
        <v>396</v>
      </c>
      <c r="D779" s="330"/>
      <c r="E779" s="326"/>
      <c r="F779" s="326"/>
    </row>
    <row r="780" spans="2:6">
      <c r="D780" s="305" t="s">
        <v>230</v>
      </c>
      <c r="E780" s="306" t="s">
        <v>218</v>
      </c>
      <c r="F780" s="306" t="s">
        <v>371</v>
      </c>
    </row>
    <row r="781" spans="2:6">
      <c r="B781" s="283" t="s">
        <v>419</v>
      </c>
      <c r="D781" s="330">
        <f>D778+D768+D762+D752+D744+D770</f>
        <v>1223298.0221390065</v>
      </c>
      <c r="E781" s="326">
        <f>SUM(E778+E768+E762+E752+E744+E770)</f>
        <v>1089970.5100000002</v>
      </c>
      <c r="F781" s="326">
        <f>E781-D781</f>
        <v>-133327.51213900628</v>
      </c>
    </row>
    <row r="782" spans="2:6">
      <c r="B782" s="283" t="s">
        <v>396</v>
      </c>
    </row>
    <row r="783" spans="2:6">
      <c r="B783" s="323" t="s">
        <v>327</v>
      </c>
    </row>
    <row r="791" spans="2:9">
      <c r="B791" s="283" t="s">
        <v>90</v>
      </c>
    </row>
    <row r="792" spans="2:9">
      <c r="B792" s="283" t="s">
        <v>452</v>
      </c>
    </row>
    <row r="793" spans="2:9">
      <c r="B793" s="283" t="str">
        <f>D3</f>
        <v>3-year averages</v>
      </c>
    </row>
    <row r="794" spans="2:9">
      <c r="B794" s="283" t="s">
        <v>370</v>
      </c>
      <c r="F794" s="286" t="s">
        <v>371</v>
      </c>
      <c r="G794" s="287" t="s">
        <v>372</v>
      </c>
      <c r="H794" s="358">
        <f>SUM(H816-G816)</f>
        <v>-22083.759058843018</v>
      </c>
    </row>
    <row r="796" spans="2:9">
      <c r="C796" s="284" t="s">
        <v>216</v>
      </c>
      <c r="E796" s="286" t="s">
        <v>374</v>
      </c>
      <c r="G796" s="287" t="s">
        <v>345</v>
      </c>
      <c r="I796" s="305" t="s">
        <v>218</v>
      </c>
    </row>
    <row r="797" spans="2:9">
      <c r="C797" s="304" t="s">
        <v>230</v>
      </c>
      <c r="D797" s="305" t="s">
        <v>218</v>
      </c>
      <c r="E797" s="306" t="s">
        <v>230</v>
      </c>
      <c r="F797" s="306" t="s">
        <v>218</v>
      </c>
      <c r="G797" s="303" t="s">
        <v>230</v>
      </c>
      <c r="H797" s="304" t="s">
        <v>218</v>
      </c>
      <c r="I797" s="305" t="s">
        <v>55</v>
      </c>
    </row>
    <row r="798" spans="2:9">
      <c r="B798" s="283" t="s">
        <v>242</v>
      </c>
      <c r="C798" s="284">
        <f t="shared" ref="C798:C813" si="89">C78+H78+M78</f>
        <v>997415.34915753151</v>
      </c>
      <c r="D798" s="288">
        <f t="shared" ref="D798:D813" si="90">D78+I78+N78</f>
        <v>1149478</v>
      </c>
      <c r="E798" s="326">
        <f t="shared" ref="E798:E811" si="91">IF(C798=0,0,+G798/C798)</f>
        <v>0.14543991204422346</v>
      </c>
      <c r="F798" s="326">
        <f t="shared" ref="F798:F811" si="92">IF(D798=0,0,+H798/D798)</f>
        <v>0.14509938134237163</v>
      </c>
      <c r="G798" s="327">
        <f t="shared" ref="G798:G813" si="93">E78+J78+O78</f>
        <v>145064.00065302983</v>
      </c>
      <c r="H798" s="358">
        <f t="shared" ref="H798:H813" si="94">F78+K78+P78</f>
        <v>166788.54666666666</v>
      </c>
      <c r="I798" s="330">
        <f t="shared" ref="I798:I816" si="95">D798/F$822</f>
        <v>346.57070841071902</v>
      </c>
    </row>
    <row r="799" spans="2:9">
      <c r="B799" s="283" t="s">
        <v>127</v>
      </c>
      <c r="C799" s="284">
        <f t="shared" si="89"/>
        <v>0</v>
      </c>
      <c r="D799" s="288">
        <f t="shared" si="90"/>
        <v>0</v>
      </c>
      <c r="E799" s="326">
        <f t="shared" si="91"/>
        <v>0</v>
      </c>
      <c r="F799" s="326">
        <f t="shared" si="92"/>
        <v>0</v>
      </c>
      <c r="G799" s="327">
        <f t="shared" si="93"/>
        <v>0</v>
      </c>
      <c r="H799" s="358">
        <f t="shared" si="94"/>
        <v>0</v>
      </c>
      <c r="I799" s="330">
        <f t="shared" si="95"/>
        <v>0</v>
      </c>
    </row>
    <row r="800" spans="2:9">
      <c r="B800" s="283" t="s">
        <v>245</v>
      </c>
      <c r="C800" s="284">
        <f t="shared" si="89"/>
        <v>0</v>
      </c>
      <c r="D800" s="288">
        <f t="shared" si="90"/>
        <v>0</v>
      </c>
      <c r="E800" s="326">
        <f t="shared" si="91"/>
        <v>0</v>
      </c>
      <c r="F800" s="326">
        <f t="shared" si="92"/>
        <v>0</v>
      </c>
      <c r="G800" s="327">
        <f t="shared" si="93"/>
        <v>0</v>
      </c>
      <c r="H800" s="358">
        <f t="shared" si="94"/>
        <v>0</v>
      </c>
      <c r="I800" s="330">
        <f t="shared" si="95"/>
        <v>0</v>
      </c>
    </row>
    <row r="801" spans="2:9">
      <c r="B801" s="283" t="s">
        <v>61</v>
      </c>
      <c r="C801" s="284">
        <f t="shared" si="89"/>
        <v>172832.91797791299</v>
      </c>
      <c r="D801" s="288">
        <f t="shared" si="90"/>
        <v>174795.33333333331</v>
      </c>
      <c r="E801" s="326">
        <f t="shared" si="91"/>
        <v>0.22646612087508416</v>
      </c>
      <c r="F801" s="326">
        <f t="shared" si="92"/>
        <v>0.20903885687260912</v>
      </c>
      <c r="G801" s="327">
        <f t="shared" si="93"/>
        <v>39140.80049397955</v>
      </c>
      <c r="H801" s="358">
        <f t="shared" si="94"/>
        <v>36539.016666666663</v>
      </c>
      <c r="I801" s="330">
        <f t="shared" si="95"/>
        <v>52.701263095266803</v>
      </c>
    </row>
    <row r="802" spans="2:9">
      <c r="B802" s="283" t="s">
        <v>66</v>
      </c>
      <c r="C802" s="284">
        <f t="shared" si="89"/>
        <v>130519.60290901865</v>
      </c>
      <c r="D802" s="288">
        <f t="shared" si="90"/>
        <v>136423.66666666669</v>
      </c>
      <c r="E802" s="326">
        <f t="shared" si="91"/>
        <v>0.27542797449593198</v>
      </c>
      <c r="F802" s="326">
        <f t="shared" si="92"/>
        <v>0.25096676774069016</v>
      </c>
      <c r="G802" s="327">
        <f t="shared" si="93"/>
        <v>35948.74986124436</v>
      </c>
      <c r="H802" s="358">
        <f t="shared" si="94"/>
        <v>34237.806666666671</v>
      </c>
      <c r="I802" s="330">
        <f t="shared" si="95"/>
        <v>41.132102398353396</v>
      </c>
    </row>
    <row r="803" spans="2:9">
      <c r="B803" s="283" t="s">
        <v>257</v>
      </c>
      <c r="C803" s="284">
        <f t="shared" si="89"/>
        <v>3925.0846247291556</v>
      </c>
      <c r="D803" s="288">
        <f t="shared" si="90"/>
        <v>3076</v>
      </c>
      <c r="E803" s="326">
        <f t="shared" si="91"/>
        <v>0.6584446328005481</v>
      </c>
      <c r="F803" s="326">
        <f t="shared" si="92"/>
        <v>0.81775249241439096</v>
      </c>
      <c r="G803" s="327">
        <f t="shared" si="93"/>
        <v>2584.450904440866</v>
      </c>
      <c r="H803" s="358">
        <f t="shared" si="94"/>
        <v>2515.4066666666668</v>
      </c>
      <c r="I803" s="330">
        <f t="shared" si="95"/>
        <v>0.92742227260667154</v>
      </c>
    </row>
    <row r="804" spans="2:9">
      <c r="B804" s="283" t="s">
        <v>62</v>
      </c>
      <c r="C804" s="284">
        <f t="shared" si="89"/>
        <v>6381.8746666666675</v>
      </c>
      <c r="D804" s="288">
        <f t="shared" si="90"/>
        <v>4000</v>
      </c>
      <c r="E804" s="326">
        <f t="shared" si="91"/>
        <v>1.4012891626828143</v>
      </c>
      <c r="F804" s="326">
        <f t="shared" si="92"/>
        <v>1.4427000000000001</v>
      </c>
      <c r="G804" s="327">
        <f t="shared" si="93"/>
        <v>8942.8518079999994</v>
      </c>
      <c r="H804" s="358">
        <f t="shared" si="94"/>
        <v>5770.8</v>
      </c>
      <c r="I804" s="330">
        <f t="shared" si="95"/>
        <v>1.2060107576159578</v>
      </c>
    </row>
    <row r="805" spans="2:9">
      <c r="B805" s="283" t="s">
        <v>262</v>
      </c>
      <c r="C805" s="284">
        <f t="shared" si="89"/>
        <v>63522.397183606074</v>
      </c>
      <c r="D805" s="288">
        <f t="shared" si="90"/>
        <v>67838.666666666657</v>
      </c>
      <c r="E805" s="326">
        <f t="shared" si="91"/>
        <v>0.33863245758643234</v>
      </c>
      <c r="F805" s="326">
        <f t="shared" si="92"/>
        <v>0.28253542718999985</v>
      </c>
      <c r="G805" s="327">
        <f t="shared" si="93"/>
        <v>21510.745470065995</v>
      </c>
      <c r="H805" s="358">
        <f t="shared" si="94"/>
        <v>19166.826666666668</v>
      </c>
      <c r="I805" s="330">
        <f t="shared" si="95"/>
        <v>20.453540445580771</v>
      </c>
    </row>
    <row r="806" spans="2:9">
      <c r="B806" s="283" t="s">
        <v>326</v>
      </c>
      <c r="C806" s="284">
        <f t="shared" si="89"/>
        <v>0</v>
      </c>
      <c r="D806" s="288">
        <f t="shared" si="90"/>
        <v>-1450.5900000000001</v>
      </c>
      <c r="E806" s="326">
        <f t="shared" si="91"/>
        <v>0</v>
      </c>
      <c r="F806" s="326">
        <f t="shared" si="92"/>
        <v>0.67313529897030389</v>
      </c>
      <c r="G806" s="327">
        <f t="shared" si="93"/>
        <v>0</v>
      </c>
      <c r="H806" s="358">
        <f t="shared" si="94"/>
        <v>-976.44333333333327</v>
      </c>
      <c r="I806" s="330">
        <f t="shared" si="95"/>
        <v>-0.4373567862225331</v>
      </c>
    </row>
    <row r="807" spans="2:9">
      <c r="B807" s="283" t="s">
        <v>72</v>
      </c>
      <c r="C807" s="284">
        <f t="shared" si="89"/>
        <v>16717.339184454351</v>
      </c>
      <c r="D807" s="288">
        <f t="shared" si="90"/>
        <v>13500</v>
      </c>
      <c r="E807" s="326">
        <f t="shared" si="91"/>
        <v>0.16370410713366279</v>
      </c>
      <c r="F807" s="326">
        <f t="shared" si="92"/>
        <v>0.16261333333333336</v>
      </c>
      <c r="G807" s="327">
        <f t="shared" si="93"/>
        <v>2736.697084841694</v>
      </c>
      <c r="H807" s="358">
        <f t="shared" si="94"/>
        <v>2195.2800000000002</v>
      </c>
      <c r="I807" s="330">
        <f t="shared" si="95"/>
        <v>4.0702863069538573</v>
      </c>
    </row>
    <row r="808" spans="2:9">
      <c r="B808" s="283" t="s">
        <v>54</v>
      </c>
      <c r="C808" s="284">
        <f t="shared" si="89"/>
        <v>28144.952557922625</v>
      </c>
      <c r="D808" s="288">
        <f t="shared" si="90"/>
        <v>30919.666666666664</v>
      </c>
      <c r="E808" s="326">
        <f t="shared" si="91"/>
        <v>0.702784625723335</v>
      </c>
      <c r="F808" s="326">
        <f t="shared" si="92"/>
        <v>0.44783309436281121</v>
      </c>
      <c r="G808" s="327">
        <f t="shared" si="93"/>
        <v>19779.839949420671</v>
      </c>
      <c r="H808" s="358">
        <f t="shared" si="94"/>
        <v>13846.85</v>
      </c>
      <c r="I808" s="330">
        <f t="shared" si="95"/>
        <v>9.3223626554748851</v>
      </c>
    </row>
    <row r="809" spans="2:9">
      <c r="B809" s="283" t="s">
        <v>269</v>
      </c>
      <c r="C809" s="284">
        <f t="shared" si="89"/>
        <v>37603.431010323722</v>
      </c>
      <c r="D809" s="288">
        <f t="shared" si="90"/>
        <v>54276</v>
      </c>
      <c r="E809" s="326">
        <f t="shared" si="91"/>
        <v>0.18289161180957242</v>
      </c>
      <c r="F809" s="326">
        <f t="shared" si="92"/>
        <v>0.18095855749625372</v>
      </c>
      <c r="G809" s="327">
        <f t="shared" si="93"/>
        <v>6877.3521070481638</v>
      </c>
      <c r="H809" s="358">
        <f t="shared" si="94"/>
        <v>9821.7066666666669</v>
      </c>
      <c r="I809" s="330">
        <f t="shared" si="95"/>
        <v>16.364359970090931</v>
      </c>
    </row>
    <row r="810" spans="2:9">
      <c r="B810" s="283" t="s">
        <v>274</v>
      </c>
      <c r="C810" s="284">
        <f t="shared" si="89"/>
        <v>5013.2265350804437</v>
      </c>
      <c r="D810" s="288">
        <f t="shared" si="90"/>
        <v>5246.666666666667</v>
      </c>
      <c r="E810" s="326">
        <f t="shared" si="91"/>
        <v>2.9379299823800493</v>
      </c>
      <c r="F810" s="326">
        <f t="shared" si="92"/>
        <v>2.5619275730622619</v>
      </c>
      <c r="G810" s="327">
        <f t="shared" si="93"/>
        <v>14728.508545876084</v>
      </c>
      <c r="H810" s="358">
        <f t="shared" si="94"/>
        <v>13441.580000000002</v>
      </c>
      <c r="I810" s="330">
        <f t="shared" si="95"/>
        <v>1.5818841104062649</v>
      </c>
    </row>
    <row r="811" spans="2:9">
      <c r="B811" s="283" t="s">
        <v>279</v>
      </c>
      <c r="C811" s="284">
        <f t="shared" si="89"/>
        <v>4274.1056428738602</v>
      </c>
      <c r="D811" s="288">
        <f t="shared" si="90"/>
        <v>2620</v>
      </c>
      <c r="E811" s="326">
        <f t="shared" si="91"/>
        <v>1.2155181634980399</v>
      </c>
      <c r="F811" s="326">
        <f t="shared" si="92"/>
        <v>0.87136768447837143</v>
      </c>
      <c r="G811" s="327">
        <f t="shared" si="93"/>
        <v>5195.2530416226437</v>
      </c>
      <c r="H811" s="358">
        <f t="shared" si="94"/>
        <v>2282.9833333333331</v>
      </c>
      <c r="I811" s="330">
        <f t="shared" si="95"/>
        <v>0.7899370462384524</v>
      </c>
    </row>
    <row r="812" spans="2:9">
      <c r="B812" s="283" t="s">
        <v>65</v>
      </c>
      <c r="C812" s="284">
        <f t="shared" si="89"/>
        <v>22735.761972076903</v>
      </c>
      <c r="D812" s="288">
        <f t="shared" si="90"/>
        <v>31028</v>
      </c>
      <c r="E812" s="326">
        <v>0</v>
      </c>
      <c r="F812" s="326">
        <f>IF(D812=0,0,+H812/D812)</f>
        <v>9.4900090241072571E-2</v>
      </c>
      <c r="G812" s="327">
        <f t="shared" si="93"/>
        <v>3834.7045572583779</v>
      </c>
      <c r="H812" s="358">
        <f t="shared" si="94"/>
        <v>2944.56</v>
      </c>
      <c r="I812" s="330">
        <f t="shared" si="95"/>
        <v>9.3550254468269856</v>
      </c>
    </row>
    <row r="813" spans="2:9">
      <c r="B813" s="283" t="s">
        <v>280</v>
      </c>
      <c r="C813" s="284">
        <f t="shared" si="89"/>
        <v>935</v>
      </c>
      <c r="D813" s="288">
        <f t="shared" si="90"/>
        <v>935</v>
      </c>
      <c r="E813" s="326">
        <v>0</v>
      </c>
      <c r="F813" s="326">
        <f>IF(D813=0,0,+H813/D813)</f>
        <v>2.0860213903743312</v>
      </c>
      <c r="G813" s="327">
        <f t="shared" si="93"/>
        <v>1950.4299999999998</v>
      </c>
      <c r="H813" s="358">
        <f t="shared" si="94"/>
        <v>1950.4299999999998</v>
      </c>
      <c r="I813" s="330">
        <f t="shared" si="95"/>
        <v>0.28190501459273015</v>
      </c>
    </row>
    <row r="814" spans="2:9">
      <c r="B814" s="283" t="s">
        <v>283</v>
      </c>
      <c r="C814" s="284">
        <f>C77+H77+M77</f>
        <v>4849</v>
      </c>
      <c r="D814" s="288">
        <f>D77+I77+N77</f>
        <v>4849</v>
      </c>
      <c r="E814" s="326">
        <v>0</v>
      </c>
      <c r="F814" s="326">
        <f>IF(D814=0,0,+H814/D814)</f>
        <v>0.36151990101051762</v>
      </c>
      <c r="G814" s="327">
        <f>E77+J77+O77</f>
        <v>1753.01</v>
      </c>
      <c r="H814" s="358">
        <f>F77+K77+P77</f>
        <v>1753.01</v>
      </c>
      <c r="I814" s="330">
        <f t="shared" si="95"/>
        <v>1.4619865409199448</v>
      </c>
    </row>
    <row r="815" spans="2:9">
      <c r="B815" s="283" t="s">
        <v>453</v>
      </c>
      <c r="C815" s="284">
        <f>C94+H94+M94</f>
        <v>95736.296673357603</v>
      </c>
      <c r="D815" s="288">
        <f>D94+I94+N94</f>
        <v>94990.666666666657</v>
      </c>
      <c r="E815" s="326">
        <v>0</v>
      </c>
      <c r="F815" s="326">
        <f>IF(D815=0,0,+H815/D815)</f>
        <v>0.53216694973541279</v>
      </c>
      <c r="G815" s="327">
        <f>E94+J94+O94</f>
        <v>74865.617915348092</v>
      </c>
      <c r="H815" s="358">
        <f>F94+K94+P94</f>
        <v>50550.893333333341</v>
      </c>
      <c r="I815" s="330">
        <f t="shared" si="95"/>
        <v>28.639941468277893</v>
      </c>
    </row>
    <row r="816" spans="2:9">
      <c r="B816" s="283" t="s">
        <v>13</v>
      </c>
      <c r="C816" s="284">
        <f>SUM(C798:C815)</f>
        <v>1590606.3400955549</v>
      </c>
      <c r="D816" s="288">
        <f>SUM(D798:D815)</f>
        <v>1772526.0766666669</v>
      </c>
      <c r="E816" s="326">
        <f>IF(C816=0,0,+G816/C816)</f>
        <v>0.24199137315714009</v>
      </c>
      <c r="F816" s="326">
        <f>IF(D816=0,0,+H816/D816)</f>
        <v>0.2046961441693731</v>
      </c>
      <c r="G816" s="327">
        <f>SUM(G798:G815)</f>
        <v>384913.01239217632</v>
      </c>
      <c r="H816" s="358">
        <f>SUM(H798:H815)</f>
        <v>362829.2533333333</v>
      </c>
      <c r="I816" s="330">
        <f t="shared" si="95"/>
        <v>534.42137915370211</v>
      </c>
    </row>
    <row r="818" spans="1:67">
      <c r="D818" s="288" t="s">
        <v>230</v>
      </c>
      <c r="F818" s="286" t="s">
        <v>218</v>
      </c>
      <c r="H818" s="284" t="s">
        <v>231</v>
      </c>
    </row>
    <row r="819" spans="1:67">
      <c r="A819" s="339"/>
      <c r="B819" s="339" t="s">
        <v>243</v>
      </c>
      <c r="C819" s="339"/>
      <c r="D819" s="330">
        <f>BS14</f>
        <v>67102</v>
      </c>
      <c r="E819" s="326"/>
      <c r="F819" s="326">
        <f>BT14</f>
        <v>63404.07</v>
      </c>
      <c r="G819" s="327"/>
      <c r="H819" s="358">
        <f>BU14</f>
        <v>63404.03333333334</v>
      </c>
    </row>
    <row r="821" spans="1:67">
      <c r="D821" s="288" t="s">
        <v>230</v>
      </c>
      <c r="F821" s="286" t="s">
        <v>218</v>
      </c>
      <c r="H821" s="284" t="s">
        <v>231</v>
      </c>
    </row>
    <row r="822" spans="1:67" s="344" customFormat="1">
      <c r="B822" s="344" t="s">
        <v>296</v>
      </c>
      <c r="D822" s="288">
        <f>BS15</f>
        <v>3467.9709957152518</v>
      </c>
      <c r="E822" s="286"/>
      <c r="F822" s="286">
        <f>BT15</f>
        <v>3316.7200000000003</v>
      </c>
      <c r="G822" s="287"/>
      <c r="H822" s="284">
        <f>BU15</f>
        <v>3415.4566666666669</v>
      </c>
      <c r="I822" s="288"/>
      <c r="J822" s="286"/>
      <c r="K822" s="286"/>
      <c r="L822" s="289"/>
      <c r="M822" s="290"/>
      <c r="N822" s="288"/>
      <c r="O822" s="286"/>
      <c r="P822" s="286"/>
      <c r="Q822" s="287"/>
      <c r="S822" s="288"/>
      <c r="T822" s="286"/>
      <c r="U822" s="286"/>
      <c r="V822" s="287"/>
      <c r="X822" s="288"/>
      <c r="Y822" s="286"/>
      <c r="Z822" s="286"/>
      <c r="AA822" s="287"/>
      <c r="AC822" s="288"/>
      <c r="AD822" s="286"/>
      <c r="AE822" s="286"/>
      <c r="AF822" s="287"/>
      <c r="AH822" s="288"/>
      <c r="AI822" s="286"/>
      <c r="AJ822" s="286"/>
      <c r="AK822" s="287"/>
      <c r="AM822" s="288"/>
      <c r="AN822" s="286"/>
      <c r="AO822" s="286"/>
      <c r="AP822" s="287"/>
      <c r="AR822" s="288"/>
      <c r="AS822" s="286"/>
      <c r="AT822" s="286"/>
      <c r="AU822" s="287"/>
      <c r="AW822" s="288"/>
      <c r="AX822" s="286"/>
      <c r="AY822" s="286"/>
      <c r="AZ822" s="287"/>
      <c r="BB822" s="288"/>
      <c r="BC822" s="286"/>
      <c r="BD822" s="286"/>
      <c r="BE822" s="287"/>
      <c r="BG822" s="288"/>
      <c r="BH822" s="286"/>
      <c r="BI822" s="286"/>
      <c r="BJ822" s="287"/>
      <c r="BL822" s="288"/>
      <c r="BM822" s="286"/>
      <c r="BN822" s="286"/>
      <c r="BO822" s="289"/>
    </row>
    <row r="824" spans="1:67">
      <c r="A824" s="339"/>
      <c r="B824" s="339" t="s">
        <v>253</v>
      </c>
      <c r="C824" s="339"/>
      <c r="D824" s="288">
        <f>BS17</f>
        <v>26702.29</v>
      </c>
      <c r="F824" s="286">
        <f>BT17</f>
        <v>26499.996666666666</v>
      </c>
      <c r="H824" s="358">
        <f>BU17</f>
        <v>26917.173333333332</v>
      </c>
    </row>
    <row r="825" spans="1:67">
      <c r="A825" s="339"/>
      <c r="B825" s="339"/>
      <c r="C825" s="339"/>
    </row>
    <row r="826" spans="1:67">
      <c r="A826" s="339"/>
      <c r="B826" s="339" t="s">
        <v>252</v>
      </c>
      <c r="C826" s="339"/>
      <c r="D826" s="330">
        <f>BS16</f>
        <v>110.9908395623101</v>
      </c>
      <c r="E826" s="326"/>
      <c r="F826" s="326">
        <f>BT16</f>
        <v>109.39399567444141</v>
      </c>
      <c r="G826" s="327"/>
      <c r="H826" s="358">
        <f>BU16</f>
        <v>66.179047799366998</v>
      </c>
    </row>
    <row r="827" spans="1:67">
      <c r="A827" s="339"/>
      <c r="B827" s="339"/>
      <c r="C827" s="339"/>
    </row>
    <row r="828" spans="1:67">
      <c r="A828" s="341" t="s">
        <v>192</v>
      </c>
      <c r="B828" s="339" t="s">
        <v>378</v>
      </c>
      <c r="C828" s="339"/>
    </row>
    <row r="829" spans="1:67">
      <c r="A829" s="341" t="s">
        <v>192</v>
      </c>
      <c r="B829" s="339" t="s">
        <v>379</v>
      </c>
      <c r="C829" s="339"/>
      <c r="G829" s="327">
        <f>(F822-D822)*(C816/D822)*E816</f>
        <v>-16787.474999071135</v>
      </c>
    </row>
    <row r="830" spans="1:67">
      <c r="A830" s="341" t="s">
        <v>192</v>
      </c>
      <c r="B830" s="339" t="s">
        <v>380</v>
      </c>
      <c r="C830" s="339"/>
      <c r="G830" s="327">
        <f>(D816/F822-C816/D822)*(F822*E816)</f>
        <v>60810.48185629971</v>
      </c>
    </row>
    <row r="831" spans="1:67">
      <c r="A831" s="341" t="s">
        <v>192</v>
      </c>
      <c r="B831" s="339" t="s">
        <v>381</v>
      </c>
      <c r="C831" s="339"/>
      <c r="G831" s="327">
        <f>(F816-E816)*D816</f>
        <v>-66106.76591607157</v>
      </c>
    </row>
    <row r="832" spans="1:67">
      <c r="A832" s="341" t="s">
        <v>192</v>
      </c>
      <c r="B832" s="339" t="s">
        <v>382</v>
      </c>
      <c r="C832" s="339"/>
      <c r="G832" s="327">
        <f>SUM(G829:G831)</f>
        <v>-22083.759058842996</v>
      </c>
    </row>
    <row r="833" spans="1:67">
      <c r="A833" s="339"/>
      <c r="B833" s="339"/>
      <c r="C833" s="339"/>
    </row>
    <row r="834" spans="1:67">
      <c r="A834" s="339"/>
      <c r="B834" s="339"/>
      <c r="C834" s="339"/>
    </row>
    <row r="838" spans="1:67">
      <c r="B838" s="323" t="s">
        <v>327</v>
      </c>
    </row>
    <row r="839" spans="1:67">
      <c r="B839" s="283" t="s">
        <v>452</v>
      </c>
    </row>
    <row r="840" spans="1:67">
      <c r="B840" s="283" t="str">
        <f>D3</f>
        <v>3-year averages</v>
      </c>
    </row>
    <row r="841" spans="1:67">
      <c r="B841" s="283" t="s">
        <v>383</v>
      </c>
    </row>
    <row r="842" spans="1:67">
      <c r="B842" s="283" t="s">
        <v>384</v>
      </c>
      <c r="E842" s="286" t="s">
        <v>385</v>
      </c>
      <c r="F842" s="326">
        <f>F890</f>
        <v>-22083.759058842996</v>
      </c>
    </row>
    <row r="844" spans="1:67">
      <c r="D844" s="305" t="s">
        <v>386</v>
      </c>
      <c r="E844" s="306" t="s">
        <v>387</v>
      </c>
      <c r="F844" s="306" t="s">
        <v>388</v>
      </c>
    </row>
    <row r="846" spans="1:67">
      <c r="A846" s="339"/>
      <c r="B846" s="339" t="s">
        <v>389</v>
      </c>
      <c r="C846" s="339"/>
    </row>
    <row r="847" spans="1:67" s="339" customFormat="1">
      <c r="B847" s="365" t="s">
        <v>424</v>
      </c>
      <c r="C847" s="339" t="s">
        <v>390</v>
      </c>
      <c r="D847" s="330">
        <f>G799</f>
        <v>0</v>
      </c>
      <c r="E847" s="326">
        <f>H799</f>
        <v>0</v>
      </c>
      <c r="F847" s="326">
        <f>E847-D847</f>
        <v>0</v>
      </c>
      <c r="G847" s="287"/>
      <c r="H847" s="284"/>
      <c r="I847" s="288"/>
      <c r="J847" s="286"/>
      <c r="K847" s="286"/>
      <c r="L847" s="289"/>
      <c r="M847" s="290"/>
      <c r="N847" s="288"/>
      <c r="O847" s="286"/>
      <c r="P847" s="286"/>
      <c r="Q847" s="287"/>
      <c r="S847" s="288"/>
      <c r="T847" s="286"/>
      <c r="U847" s="286"/>
      <c r="V847" s="287"/>
      <c r="X847" s="288"/>
      <c r="Y847" s="286"/>
      <c r="Z847" s="286"/>
      <c r="AA847" s="287"/>
      <c r="AC847" s="288"/>
      <c r="AD847" s="286"/>
      <c r="AE847" s="286"/>
      <c r="AF847" s="287"/>
      <c r="AH847" s="288"/>
      <c r="AI847" s="286"/>
      <c r="AJ847" s="286"/>
      <c r="AK847" s="287"/>
      <c r="AM847" s="288"/>
      <c r="AN847" s="286"/>
      <c r="AO847" s="286"/>
      <c r="AP847" s="287"/>
      <c r="AR847" s="288"/>
      <c r="AS847" s="286"/>
      <c r="AT847" s="286"/>
      <c r="AU847" s="287"/>
      <c r="AW847" s="288"/>
      <c r="AX847" s="286"/>
      <c r="AY847" s="286"/>
      <c r="AZ847" s="287"/>
      <c r="BB847" s="288"/>
      <c r="BC847" s="286"/>
      <c r="BD847" s="286"/>
      <c r="BE847" s="287"/>
      <c r="BG847" s="288"/>
      <c r="BH847" s="286"/>
      <c r="BI847" s="286"/>
      <c r="BJ847" s="287"/>
      <c r="BL847" s="288"/>
      <c r="BM847" s="286"/>
      <c r="BN847" s="286"/>
      <c r="BO847" s="289"/>
    </row>
    <row r="848" spans="1:67" s="339" customFormat="1">
      <c r="B848" s="365" t="s">
        <v>391</v>
      </c>
      <c r="C848" s="339" t="s">
        <v>390</v>
      </c>
      <c r="D848" s="330">
        <f>G812</f>
        <v>3834.7045572583779</v>
      </c>
      <c r="E848" s="326">
        <f>H812</f>
        <v>2944.56</v>
      </c>
      <c r="F848" s="326">
        <f>E848-D848</f>
        <v>-890.14455725837797</v>
      </c>
      <c r="G848" s="287"/>
      <c r="H848" s="284"/>
      <c r="I848" s="288"/>
      <c r="J848" s="286"/>
      <c r="K848" s="286"/>
      <c r="L848" s="289"/>
      <c r="M848" s="290"/>
      <c r="N848" s="288"/>
      <c r="O848" s="286"/>
      <c r="P848" s="286"/>
      <c r="Q848" s="287"/>
      <c r="S848" s="288"/>
      <c r="T848" s="286"/>
      <c r="U848" s="286"/>
      <c r="V848" s="287"/>
      <c r="X848" s="288"/>
      <c r="Y848" s="286"/>
      <c r="Z848" s="286"/>
      <c r="AA848" s="287"/>
      <c r="AC848" s="288"/>
      <c r="AD848" s="286"/>
      <c r="AE848" s="286"/>
      <c r="AF848" s="287"/>
      <c r="AH848" s="288"/>
      <c r="AI848" s="286"/>
      <c r="AJ848" s="286"/>
      <c r="AK848" s="287"/>
      <c r="AM848" s="288"/>
      <c r="AN848" s="286"/>
      <c r="AO848" s="286"/>
      <c r="AP848" s="287"/>
      <c r="AR848" s="288"/>
      <c r="AS848" s="286"/>
      <c r="AT848" s="286"/>
      <c r="AU848" s="287"/>
      <c r="AW848" s="288"/>
      <c r="AX848" s="286"/>
      <c r="AY848" s="286"/>
      <c r="AZ848" s="287"/>
      <c r="BB848" s="288"/>
      <c r="BC848" s="286"/>
      <c r="BD848" s="286"/>
      <c r="BE848" s="287"/>
      <c r="BG848" s="288"/>
      <c r="BH848" s="286"/>
      <c r="BI848" s="286"/>
      <c r="BJ848" s="287"/>
      <c r="BL848" s="288"/>
      <c r="BM848" s="286"/>
      <c r="BN848" s="286"/>
      <c r="BO848" s="289"/>
    </row>
    <row r="849" spans="2:67" s="339" customFormat="1">
      <c r="B849" s="365" t="s">
        <v>392</v>
      </c>
      <c r="C849" s="339" t="s">
        <v>393</v>
      </c>
      <c r="D849" s="330">
        <f>G805</f>
        <v>21510.745470065995</v>
      </c>
      <c r="E849" s="326">
        <f>H805</f>
        <v>19166.826666666668</v>
      </c>
      <c r="F849" s="326">
        <f>E849-D849</f>
        <v>-2343.9188033993269</v>
      </c>
      <c r="G849" s="287"/>
      <c r="H849" s="284"/>
      <c r="I849" s="288"/>
      <c r="J849" s="286"/>
      <c r="K849" s="286"/>
      <c r="L849" s="289"/>
      <c r="M849" s="290"/>
      <c r="N849" s="288"/>
      <c r="O849" s="286"/>
      <c r="P849" s="286"/>
      <c r="Q849" s="287"/>
      <c r="S849" s="288"/>
      <c r="T849" s="286"/>
      <c r="U849" s="286"/>
      <c r="V849" s="287"/>
      <c r="X849" s="288"/>
      <c r="Y849" s="286"/>
      <c r="Z849" s="286"/>
      <c r="AA849" s="287"/>
      <c r="AC849" s="288"/>
      <c r="AD849" s="286"/>
      <c r="AE849" s="286"/>
      <c r="AF849" s="287"/>
      <c r="AH849" s="288"/>
      <c r="AI849" s="286"/>
      <c r="AJ849" s="286"/>
      <c r="AK849" s="287"/>
      <c r="AM849" s="288"/>
      <c r="AN849" s="286"/>
      <c r="AO849" s="286"/>
      <c r="AP849" s="287"/>
      <c r="AR849" s="288"/>
      <c r="AS849" s="286"/>
      <c r="AT849" s="286"/>
      <c r="AU849" s="287"/>
      <c r="AW849" s="288"/>
      <c r="AX849" s="286"/>
      <c r="AY849" s="286"/>
      <c r="AZ849" s="287"/>
      <c r="BB849" s="288"/>
      <c r="BC849" s="286"/>
      <c r="BD849" s="286"/>
      <c r="BE849" s="287"/>
      <c r="BG849" s="288"/>
      <c r="BH849" s="286"/>
      <c r="BI849" s="286"/>
      <c r="BJ849" s="287"/>
      <c r="BL849" s="288"/>
      <c r="BM849" s="286"/>
      <c r="BN849" s="286"/>
      <c r="BO849" s="289"/>
    </row>
    <row r="850" spans="2:67" s="339" customFormat="1">
      <c r="B850" s="365" t="s">
        <v>425</v>
      </c>
      <c r="C850" s="339" t="s">
        <v>393</v>
      </c>
      <c r="D850" s="330">
        <f>G798</f>
        <v>145064.00065302983</v>
      </c>
      <c r="E850" s="326">
        <f>H798</f>
        <v>166788.54666666666</v>
      </c>
      <c r="F850" s="326">
        <f>E850-D850</f>
        <v>21724.546013636835</v>
      </c>
      <c r="G850" s="287"/>
      <c r="H850" s="284"/>
      <c r="I850" s="288"/>
      <c r="J850" s="286"/>
      <c r="K850" s="286"/>
      <c r="L850" s="289"/>
      <c r="M850" s="290"/>
      <c r="N850" s="288"/>
      <c r="O850" s="286"/>
      <c r="P850" s="286"/>
      <c r="Q850" s="287"/>
      <c r="S850" s="288"/>
      <c r="T850" s="286"/>
      <c r="U850" s="286"/>
      <c r="V850" s="287"/>
      <c r="X850" s="288"/>
      <c r="Y850" s="286"/>
      <c r="Z850" s="286"/>
      <c r="AA850" s="287"/>
      <c r="AC850" s="288"/>
      <c r="AD850" s="286"/>
      <c r="AE850" s="286"/>
      <c r="AF850" s="287"/>
      <c r="AH850" s="288"/>
      <c r="AI850" s="286"/>
      <c r="AJ850" s="286"/>
      <c r="AK850" s="287"/>
      <c r="AM850" s="288"/>
      <c r="AN850" s="286"/>
      <c r="AO850" s="286"/>
      <c r="AP850" s="287"/>
      <c r="AR850" s="288"/>
      <c r="AS850" s="286"/>
      <c r="AT850" s="286"/>
      <c r="AU850" s="287"/>
      <c r="AW850" s="288"/>
      <c r="AX850" s="286"/>
      <c r="AY850" s="286"/>
      <c r="AZ850" s="287"/>
      <c r="BB850" s="288"/>
      <c r="BC850" s="286"/>
      <c r="BD850" s="286"/>
      <c r="BE850" s="287"/>
      <c r="BG850" s="288"/>
      <c r="BH850" s="286"/>
      <c r="BI850" s="286"/>
      <c r="BJ850" s="287"/>
      <c r="BL850" s="288"/>
      <c r="BM850" s="286"/>
      <c r="BN850" s="286"/>
      <c r="BO850" s="289"/>
    </row>
    <row r="851" spans="2:67" s="339" customFormat="1">
      <c r="B851" s="365" t="s">
        <v>394</v>
      </c>
      <c r="C851" s="339" t="s">
        <v>395</v>
      </c>
      <c r="D851" s="330">
        <f>G811</f>
        <v>5195.2530416226437</v>
      </c>
      <c r="E851" s="326">
        <f>H811</f>
        <v>2282.9833333333331</v>
      </c>
      <c r="F851" s="326">
        <f>E851-D851</f>
        <v>-2912.2697082893105</v>
      </c>
      <c r="G851" s="287"/>
      <c r="H851" s="284"/>
      <c r="I851" s="288"/>
      <c r="J851" s="286"/>
      <c r="K851" s="286"/>
      <c r="L851" s="289"/>
      <c r="M851" s="290"/>
      <c r="N851" s="288"/>
      <c r="O851" s="286"/>
      <c r="P851" s="286"/>
      <c r="Q851" s="287"/>
      <c r="S851" s="288"/>
      <c r="T851" s="286"/>
      <c r="U851" s="286"/>
      <c r="V851" s="287"/>
      <c r="X851" s="288"/>
      <c r="Y851" s="286"/>
      <c r="Z851" s="286"/>
      <c r="AA851" s="287"/>
      <c r="AC851" s="288"/>
      <c r="AD851" s="286"/>
      <c r="AE851" s="286"/>
      <c r="AF851" s="287"/>
      <c r="AH851" s="288"/>
      <c r="AI851" s="286"/>
      <c r="AJ851" s="286"/>
      <c r="AK851" s="287"/>
      <c r="AM851" s="288"/>
      <c r="AN851" s="286"/>
      <c r="AO851" s="286"/>
      <c r="AP851" s="287"/>
      <c r="AR851" s="288"/>
      <c r="AS851" s="286"/>
      <c r="AT851" s="286"/>
      <c r="AU851" s="287"/>
      <c r="AW851" s="288"/>
      <c r="AX851" s="286"/>
      <c r="AY851" s="286"/>
      <c r="AZ851" s="287"/>
      <c r="BB851" s="288"/>
      <c r="BC851" s="286"/>
      <c r="BD851" s="286"/>
      <c r="BE851" s="287"/>
      <c r="BG851" s="288"/>
      <c r="BH851" s="286"/>
      <c r="BI851" s="286"/>
      <c r="BJ851" s="287"/>
      <c r="BL851" s="288"/>
      <c r="BM851" s="286"/>
      <c r="BN851" s="286"/>
      <c r="BO851" s="289"/>
    </row>
    <row r="852" spans="2:67" s="339" customFormat="1">
      <c r="B852" s="339" t="s">
        <v>396</v>
      </c>
      <c r="D852" s="330"/>
      <c r="E852" s="326"/>
      <c r="F852" s="326"/>
      <c r="G852" s="287"/>
      <c r="H852" s="284"/>
      <c r="I852" s="288"/>
      <c r="J852" s="286"/>
      <c r="K852" s="286"/>
      <c r="L852" s="289"/>
      <c r="M852" s="290"/>
      <c r="N852" s="288"/>
      <c r="O852" s="286"/>
      <c r="P852" s="286"/>
      <c r="Q852" s="287"/>
      <c r="S852" s="288"/>
      <c r="T852" s="286"/>
      <c r="U852" s="286"/>
      <c r="V852" s="287"/>
      <c r="X852" s="288"/>
      <c r="Y852" s="286"/>
      <c r="Z852" s="286"/>
      <c r="AA852" s="287"/>
      <c r="AC852" s="288"/>
      <c r="AD852" s="286"/>
      <c r="AE852" s="286"/>
      <c r="AF852" s="287"/>
      <c r="AH852" s="288"/>
      <c r="AI852" s="286"/>
      <c r="AJ852" s="286"/>
      <c r="AK852" s="287"/>
      <c r="AM852" s="288"/>
      <c r="AN852" s="286"/>
      <c r="AO852" s="286"/>
      <c r="AP852" s="287"/>
      <c r="AR852" s="288"/>
      <c r="AS852" s="286"/>
      <c r="AT852" s="286"/>
      <c r="AU852" s="287"/>
      <c r="AW852" s="288"/>
      <c r="AX852" s="286"/>
      <c r="AY852" s="286"/>
      <c r="AZ852" s="287"/>
      <c r="BB852" s="288"/>
      <c r="BC852" s="286"/>
      <c r="BD852" s="286"/>
      <c r="BE852" s="287"/>
      <c r="BG852" s="288"/>
      <c r="BH852" s="286"/>
      <c r="BI852" s="286"/>
      <c r="BJ852" s="287"/>
      <c r="BL852" s="288"/>
      <c r="BM852" s="286"/>
      <c r="BN852" s="286"/>
      <c r="BO852" s="289"/>
    </row>
    <row r="853" spans="2:67" s="339" customFormat="1">
      <c r="B853" s="339" t="s">
        <v>397</v>
      </c>
      <c r="D853" s="330">
        <f>SUM(D847:D851)</f>
        <v>175604.70372197684</v>
      </c>
      <c r="E853" s="326">
        <f>SUM(E847:E851)</f>
        <v>191182.91666666666</v>
      </c>
      <c r="F853" s="326">
        <f>E853-D853</f>
        <v>15578.212944689818</v>
      </c>
      <c r="G853" s="287"/>
      <c r="H853" s="284"/>
      <c r="I853" s="288"/>
      <c r="J853" s="286"/>
      <c r="K853" s="286"/>
      <c r="L853" s="289"/>
      <c r="M853" s="290"/>
      <c r="N853" s="288"/>
      <c r="O853" s="286"/>
      <c r="P853" s="286"/>
      <c r="Q853" s="287"/>
      <c r="S853" s="288"/>
      <c r="T853" s="286"/>
      <c r="U853" s="286"/>
      <c r="V853" s="287"/>
      <c r="X853" s="288"/>
      <c r="Y853" s="286"/>
      <c r="Z853" s="286"/>
      <c r="AA853" s="287"/>
      <c r="AC853" s="288"/>
      <c r="AD853" s="286"/>
      <c r="AE853" s="286"/>
      <c r="AF853" s="287"/>
      <c r="AH853" s="288"/>
      <c r="AI853" s="286"/>
      <c r="AJ853" s="286"/>
      <c r="AK853" s="287"/>
      <c r="AM853" s="288"/>
      <c r="AN853" s="286"/>
      <c r="AO853" s="286"/>
      <c r="AP853" s="287"/>
      <c r="AR853" s="288"/>
      <c r="AS853" s="286"/>
      <c r="AT853" s="286"/>
      <c r="AU853" s="287"/>
      <c r="AW853" s="288"/>
      <c r="AX853" s="286"/>
      <c r="AY853" s="286"/>
      <c r="AZ853" s="287"/>
      <c r="BB853" s="288"/>
      <c r="BC853" s="286"/>
      <c r="BD853" s="286"/>
      <c r="BE853" s="287"/>
      <c r="BG853" s="288"/>
      <c r="BH853" s="286"/>
      <c r="BI853" s="286"/>
      <c r="BJ853" s="287"/>
      <c r="BL853" s="288"/>
      <c r="BM853" s="286"/>
      <c r="BN853" s="286"/>
      <c r="BO853" s="289"/>
    </row>
    <row r="854" spans="2:67" s="339" customFormat="1">
      <c r="B854" s="339" t="s">
        <v>396</v>
      </c>
      <c r="D854" s="330"/>
      <c r="E854" s="326"/>
      <c r="F854" s="326"/>
      <c r="G854" s="287"/>
      <c r="H854" s="284"/>
      <c r="I854" s="288"/>
      <c r="J854" s="286"/>
      <c r="K854" s="286"/>
      <c r="L854" s="289"/>
      <c r="M854" s="290"/>
      <c r="N854" s="288"/>
      <c r="O854" s="286"/>
      <c r="P854" s="286"/>
      <c r="Q854" s="287"/>
      <c r="S854" s="288"/>
      <c r="T854" s="286"/>
      <c r="U854" s="286"/>
      <c r="V854" s="287"/>
      <c r="X854" s="288"/>
      <c r="Y854" s="286"/>
      <c r="Z854" s="286"/>
      <c r="AA854" s="287"/>
      <c r="AC854" s="288"/>
      <c r="AD854" s="286"/>
      <c r="AE854" s="286"/>
      <c r="AF854" s="287"/>
      <c r="AH854" s="288"/>
      <c r="AI854" s="286"/>
      <c r="AJ854" s="286"/>
      <c r="AK854" s="287"/>
      <c r="AM854" s="288"/>
      <c r="AN854" s="286"/>
      <c r="AO854" s="286"/>
      <c r="AP854" s="287"/>
      <c r="AR854" s="288"/>
      <c r="AS854" s="286"/>
      <c r="AT854" s="286"/>
      <c r="AU854" s="287"/>
      <c r="AW854" s="288"/>
      <c r="AX854" s="286"/>
      <c r="AY854" s="286"/>
      <c r="AZ854" s="287"/>
      <c r="BB854" s="288"/>
      <c r="BC854" s="286"/>
      <c r="BD854" s="286"/>
      <c r="BE854" s="287"/>
      <c r="BG854" s="288"/>
      <c r="BH854" s="286"/>
      <c r="BI854" s="286"/>
      <c r="BJ854" s="287"/>
      <c r="BL854" s="288"/>
      <c r="BM854" s="286"/>
      <c r="BN854" s="286"/>
      <c r="BO854" s="289"/>
    </row>
    <row r="855" spans="2:67" s="339" customFormat="1">
      <c r="D855" s="330"/>
      <c r="E855" s="326"/>
      <c r="F855" s="326"/>
      <c r="G855" s="287"/>
      <c r="H855" s="284"/>
      <c r="I855" s="288"/>
      <c r="J855" s="286"/>
      <c r="K855" s="286"/>
      <c r="L855" s="289"/>
      <c r="M855" s="290"/>
      <c r="N855" s="288"/>
      <c r="O855" s="286"/>
      <c r="P855" s="286"/>
      <c r="Q855" s="287"/>
      <c r="S855" s="288"/>
      <c r="T855" s="286"/>
      <c r="U855" s="286"/>
      <c r="V855" s="287"/>
      <c r="X855" s="288"/>
      <c r="Y855" s="286"/>
      <c r="Z855" s="286"/>
      <c r="AA855" s="287"/>
      <c r="AC855" s="288"/>
      <c r="AD855" s="286"/>
      <c r="AE855" s="286"/>
      <c r="AF855" s="287"/>
      <c r="AH855" s="288"/>
      <c r="AI855" s="286"/>
      <c r="AJ855" s="286"/>
      <c r="AK855" s="287"/>
      <c r="AM855" s="288"/>
      <c r="AN855" s="286"/>
      <c r="AO855" s="286"/>
      <c r="AP855" s="287"/>
      <c r="AR855" s="288"/>
      <c r="AS855" s="286"/>
      <c r="AT855" s="286"/>
      <c r="AU855" s="287"/>
      <c r="AW855" s="288"/>
      <c r="AX855" s="286"/>
      <c r="AY855" s="286"/>
      <c r="AZ855" s="287"/>
      <c r="BB855" s="288"/>
      <c r="BC855" s="286"/>
      <c r="BD855" s="286"/>
      <c r="BE855" s="287"/>
      <c r="BG855" s="288"/>
      <c r="BH855" s="286"/>
      <c r="BI855" s="286"/>
      <c r="BJ855" s="287"/>
      <c r="BL855" s="288"/>
      <c r="BM855" s="286"/>
      <c r="BN855" s="286"/>
      <c r="BO855" s="289"/>
    </row>
    <row r="856" spans="2:67" s="339" customFormat="1">
      <c r="B856" s="339" t="s">
        <v>398</v>
      </c>
      <c r="D856" s="330"/>
      <c r="E856" s="326"/>
      <c r="F856" s="326"/>
      <c r="G856" s="287"/>
      <c r="H856" s="284"/>
      <c r="I856" s="288"/>
      <c r="J856" s="286"/>
      <c r="K856" s="286"/>
      <c r="L856" s="289"/>
      <c r="M856" s="290"/>
      <c r="N856" s="288"/>
      <c r="O856" s="286"/>
      <c r="P856" s="286"/>
      <c r="Q856" s="287"/>
      <c r="S856" s="288"/>
      <c r="T856" s="286"/>
      <c r="U856" s="286"/>
      <c r="V856" s="287"/>
      <c r="X856" s="288"/>
      <c r="Y856" s="286"/>
      <c r="Z856" s="286"/>
      <c r="AA856" s="287"/>
      <c r="AC856" s="288"/>
      <c r="AD856" s="286"/>
      <c r="AE856" s="286"/>
      <c r="AF856" s="287"/>
      <c r="AH856" s="288"/>
      <c r="AI856" s="286"/>
      <c r="AJ856" s="286"/>
      <c r="AK856" s="287"/>
      <c r="AM856" s="288"/>
      <c r="AN856" s="286"/>
      <c r="AO856" s="286"/>
      <c r="AP856" s="287"/>
      <c r="AR856" s="288"/>
      <c r="AS856" s="286"/>
      <c r="AT856" s="286"/>
      <c r="AU856" s="287"/>
      <c r="AW856" s="288"/>
      <c r="AX856" s="286"/>
      <c r="AY856" s="286"/>
      <c r="AZ856" s="287"/>
      <c r="BB856" s="288"/>
      <c r="BC856" s="286"/>
      <c r="BD856" s="286"/>
      <c r="BE856" s="287"/>
      <c r="BG856" s="288"/>
      <c r="BH856" s="286"/>
      <c r="BI856" s="286"/>
      <c r="BJ856" s="287"/>
      <c r="BL856" s="288"/>
      <c r="BM856" s="286"/>
      <c r="BN856" s="286"/>
      <c r="BO856" s="289"/>
    </row>
    <row r="857" spans="2:67" s="339" customFormat="1">
      <c r="B857" s="365" t="s">
        <v>399</v>
      </c>
      <c r="C857" s="339" t="s">
        <v>393</v>
      </c>
      <c r="D857" s="330">
        <f>G801</f>
        <v>39140.80049397955</v>
      </c>
      <c r="E857" s="326">
        <f>H801</f>
        <v>36539.016666666663</v>
      </c>
      <c r="F857" s="326">
        <f>E857-D857</f>
        <v>-2601.7838273128873</v>
      </c>
      <c r="G857" s="287"/>
      <c r="H857" s="284"/>
      <c r="I857" s="288"/>
      <c r="J857" s="286"/>
      <c r="K857" s="286"/>
      <c r="L857" s="289"/>
      <c r="M857" s="290"/>
      <c r="N857" s="288"/>
      <c r="O857" s="286"/>
      <c r="P857" s="286"/>
      <c r="Q857" s="287"/>
      <c r="S857" s="288"/>
      <c r="T857" s="286"/>
      <c r="U857" s="286"/>
      <c r="V857" s="287"/>
      <c r="X857" s="288"/>
      <c r="Y857" s="286"/>
      <c r="Z857" s="286"/>
      <c r="AA857" s="287"/>
      <c r="AC857" s="288"/>
      <c r="AD857" s="286"/>
      <c r="AE857" s="286"/>
      <c r="AF857" s="287"/>
      <c r="AH857" s="288"/>
      <c r="AI857" s="286"/>
      <c r="AJ857" s="286"/>
      <c r="AK857" s="287"/>
      <c r="AM857" s="288"/>
      <c r="AN857" s="286"/>
      <c r="AO857" s="286"/>
      <c r="AP857" s="287"/>
      <c r="AR857" s="288"/>
      <c r="AS857" s="286"/>
      <c r="AT857" s="286"/>
      <c r="AU857" s="287"/>
      <c r="AW857" s="288"/>
      <c r="AX857" s="286"/>
      <c r="AY857" s="286"/>
      <c r="AZ857" s="287"/>
      <c r="BB857" s="288"/>
      <c r="BC857" s="286"/>
      <c r="BD857" s="286"/>
      <c r="BE857" s="287"/>
      <c r="BG857" s="288"/>
      <c r="BH857" s="286"/>
      <c r="BI857" s="286"/>
      <c r="BJ857" s="287"/>
      <c r="BL857" s="288"/>
      <c r="BM857" s="286"/>
      <c r="BN857" s="286"/>
      <c r="BO857" s="289"/>
    </row>
    <row r="858" spans="2:67" s="339" customFormat="1">
      <c r="B858" s="365" t="s">
        <v>400</v>
      </c>
      <c r="C858" s="339" t="s">
        <v>393</v>
      </c>
      <c r="D858" s="330">
        <f>G808</f>
        <v>19779.839949420671</v>
      </c>
      <c r="E858" s="326">
        <f>H808</f>
        <v>13846.85</v>
      </c>
      <c r="F858" s="326">
        <f>E858-D858</f>
        <v>-5932.9899494206711</v>
      </c>
      <c r="G858" s="287"/>
      <c r="H858" s="284"/>
      <c r="I858" s="288"/>
      <c r="J858" s="286"/>
      <c r="K858" s="286"/>
      <c r="L858" s="289"/>
      <c r="M858" s="290"/>
      <c r="N858" s="288"/>
      <c r="O858" s="286"/>
      <c r="P858" s="286"/>
      <c r="Q858" s="287"/>
      <c r="S858" s="288"/>
      <c r="T858" s="286"/>
      <c r="U858" s="286"/>
      <c r="V858" s="287"/>
      <c r="X858" s="288"/>
      <c r="Y858" s="286"/>
      <c r="Z858" s="286"/>
      <c r="AA858" s="287"/>
      <c r="AC858" s="288"/>
      <c r="AD858" s="286"/>
      <c r="AE858" s="286"/>
      <c r="AF858" s="287"/>
      <c r="AH858" s="288"/>
      <c r="AI858" s="286"/>
      <c r="AJ858" s="286"/>
      <c r="AK858" s="287"/>
      <c r="AM858" s="288"/>
      <c r="AN858" s="286"/>
      <c r="AO858" s="286"/>
      <c r="AP858" s="287"/>
      <c r="AR858" s="288"/>
      <c r="AS858" s="286"/>
      <c r="AT858" s="286"/>
      <c r="AU858" s="287"/>
      <c r="AW858" s="288"/>
      <c r="AX858" s="286"/>
      <c r="AY858" s="286"/>
      <c r="AZ858" s="287"/>
      <c r="BB858" s="288"/>
      <c r="BC858" s="286"/>
      <c r="BD858" s="286"/>
      <c r="BE858" s="287"/>
      <c r="BG858" s="288"/>
      <c r="BH858" s="286"/>
      <c r="BI858" s="286"/>
      <c r="BJ858" s="287"/>
      <c r="BL858" s="288"/>
      <c r="BM858" s="286"/>
      <c r="BN858" s="286"/>
      <c r="BO858" s="289"/>
    </row>
    <row r="859" spans="2:67" s="339" customFormat="1">
      <c r="B859" s="365" t="s">
        <v>401</v>
      </c>
      <c r="C859" s="339" t="s">
        <v>402</v>
      </c>
      <c r="D859" s="330">
        <f>G807</f>
        <v>2736.697084841694</v>
      </c>
      <c r="E859" s="326">
        <f>H807</f>
        <v>2195.2800000000002</v>
      </c>
      <c r="F859" s="326">
        <f>E859-D859</f>
        <v>-541.41708484169385</v>
      </c>
      <c r="G859" s="287"/>
      <c r="H859" s="284"/>
      <c r="I859" s="288"/>
      <c r="J859" s="286"/>
      <c r="K859" s="286"/>
      <c r="L859" s="289"/>
      <c r="M859" s="290"/>
      <c r="N859" s="288"/>
      <c r="O859" s="286"/>
      <c r="P859" s="286"/>
      <c r="Q859" s="287"/>
      <c r="S859" s="288"/>
      <c r="T859" s="286"/>
      <c r="U859" s="286"/>
      <c r="V859" s="287"/>
      <c r="X859" s="288"/>
      <c r="Y859" s="286"/>
      <c r="Z859" s="286"/>
      <c r="AA859" s="287"/>
      <c r="AC859" s="288"/>
      <c r="AD859" s="286"/>
      <c r="AE859" s="286"/>
      <c r="AF859" s="287"/>
      <c r="AH859" s="288"/>
      <c r="AI859" s="286"/>
      <c r="AJ859" s="286"/>
      <c r="AK859" s="287"/>
      <c r="AM859" s="288"/>
      <c r="AN859" s="286"/>
      <c r="AO859" s="286"/>
      <c r="AP859" s="287"/>
      <c r="AR859" s="288"/>
      <c r="AS859" s="286"/>
      <c r="AT859" s="286"/>
      <c r="AU859" s="287"/>
      <c r="AW859" s="288"/>
      <c r="AX859" s="286"/>
      <c r="AY859" s="286"/>
      <c r="AZ859" s="287"/>
      <c r="BB859" s="288"/>
      <c r="BC859" s="286"/>
      <c r="BD859" s="286"/>
      <c r="BE859" s="287"/>
      <c r="BG859" s="288"/>
      <c r="BH859" s="286"/>
      <c r="BI859" s="286"/>
      <c r="BJ859" s="287"/>
      <c r="BL859" s="288"/>
      <c r="BM859" s="286"/>
      <c r="BN859" s="286"/>
      <c r="BO859" s="289"/>
    </row>
    <row r="860" spans="2:67" s="339" customFormat="1">
      <c r="B860" s="339" t="s">
        <v>396</v>
      </c>
      <c r="D860" s="330"/>
      <c r="E860" s="326"/>
      <c r="F860" s="326"/>
      <c r="G860" s="287"/>
      <c r="H860" s="284"/>
      <c r="I860" s="288"/>
      <c r="J860" s="286"/>
      <c r="K860" s="286"/>
      <c r="L860" s="289"/>
      <c r="M860" s="290"/>
      <c r="N860" s="288"/>
      <c r="O860" s="286"/>
      <c r="P860" s="286"/>
      <c r="Q860" s="287"/>
      <c r="S860" s="288"/>
      <c r="T860" s="286"/>
      <c r="U860" s="286"/>
      <c r="V860" s="287"/>
      <c r="X860" s="288"/>
      <c r="Y860" s="286"/>
      <c r="Z860" s="286"/>
      <c r="AA860" s="287"/>
      <c r="AC860" s="288"/>
      <c r="AD860" s="286"/>
      <c r="AE860" s="286"/>
      <c r="AF860" s="287"/>
      <c r="AH860" s="288"/>
      <c r="AI860" s="286"/>
      <c r="AJ860" s="286"/>
      <c r="AK860" s="287"/>
      <c r="AM860" s="288"/>
      <c r="AN860" s="286"/>
      <c r="AO860" s="286"/>
      <c r="AP860" s="287"/>
      <c r="AR860" s="288"/>
      <c r="AS860" s="286"/>
      <c r="AT860" s="286"/>
      <c r="AU860" s="287"/>
      <c r="AW860" s="288"/>
      <c r="AX860" s="286"/>
      <c r="AY860" s="286"/>
      <c r="AZ860" s="287"/>
      <c r="BB860" s="288"/>
      <c r="BC860" s="286"/>
      <c r="BD860" s="286"/>
      <c r="BE860" s="287"/>
      <c r="BG860" s="288"/>
      <c r="BH860" s="286"/>
      <c r="BI860" s="286"/>
      <c r="BJ860" s="287"/>
      <c r="BL860" s="288"/>
      <c r="BM860" s="286"/>
      <c r="BN860" s="286"/>
      <c r="BO860" s="289"/>
    </row>
    <row r="861" spans="2:67" s="339" customFormat="1">
      <c r="B861" s="339" t="s">
        <v>403</v>
      </c>
      <c r="D861" s="330">
        <f>D857+D859+D858</f>
        <v>61657.337528241915</v>
      </c>
      <c r="E861" s="326">
        <f>E857+E859+E858</f>
        <v>52581.14666666666</v>
      </c>
      <c r="F861" s="326">
        <f>E861-D861</f>
        <v>-9076.1908615752545</v>
      </c>
      <c r="G861" s="287"/>
      <c r="H861" s="284"/>
      <c r="I861" s="288"/>
      <c r="J861" s="286"/>
      <c r="K861" s="286"/>
      <c r="L861" s="289"/>
      <c r="M861" s="290"/>
      <c r="N861" s="288"/>
      <c r="O861" s="286"/>
      <c r="P861" s="286"/>
      <c r="Q861" s="287"/>
      <c r="S861" s="288"/>
      <c r="T861" s="286"/>
      <c r="U861" s="286"/>
      <c r="V861" s="287"/>
      <c r="X861" s="288"/>
      <c r="Y861" s="286"/>
      <c r="Z861" s="286"/>
      <c r="AA861" s="287"/>
      <c r="AC861" s="288"/>
      <c r="AD861" s="286"/>
      <c r="AE861" s="286"/>
      <c r="AF861" s="287"/>
      <c r="AH861" s="288"/>
      <c r="AI861" s="286"/>
      <c r="AJ861" s="286"/>
      <c r="AK861" s="287"/>
      <c r="AM861" s="288"/>
      <c r="AN861" s="286"/>
      <c r="AO861" s="286"/>
      <c r="AP861" s="287"/>
      <c r="AR861" s="288"/>
      <c r="AS861" s="286"/>
      <c r="AT861" s="286"/>
      <c r="AU861" s="287"/>
      <c r="AW861" s="288"/>
      <c r="AX861" s="286"/>
      <c r="AY861" s="286"/>
      <c r="AZ861" s="287"/>
      <c r="BB861" s="288"/>
      <c r="BC861" s="286"/>
      <c r="BD861" s="286"/>
      <c r="BE861" s="287"/>
      <c r="BG861" s="288"/>
      <c r="BH861" s="286"/>
      <c r="BI861" s="286"/>
      <c r="BJ861" s="287"/>
      <c r="BL861" s="288"/>
      <c r="BM861" s="286"/>
      <c r="BN861" s="286"/>
      <c r="BO861" s="289"/>
    </row>
    <row r="862" spans="2:67" s="339" customFormat="1">
      <c r="B862" s="339" t="s">
        <v>396</v>
      </c>
      <c r="D862" s="330"/>
      <c r="E862" s="326"/>
      <c r="F862" s="326"/>
      <c r="G862" s="287"/>
      <c r="H862" s="284"/>
      <c r="I862" s="288"/>
      <c r="J862" s="286"/>
      <c r="K862" s="286"/>
      <c r="L862" s="289"/>
      <c r="M862" s="290"/>
      <c r="N862" s="288"/>
      <c r="O862" s="286"/>
      <c r="P862" s="286"/>
      <c r="Q862" s="287"/>
      <c r="S862" s="288"/>
      <c r="T862" s="286"/>
      <c r="U862" s="286"/>
      <c r="V862" s="287"/>
      <c r="X862" s="288"/>
      <c r="Y862" s="286"/>
      <c r="Z862" s="286"/>
      <c r="AA862" s="287"/>
      <c r="AC862" s="288"/>
      <c r="AD862" s="286"/>
      <c r="AE862" s="286"/>
      <c r="AF862" s="287"/>
      <c r="AH862" s="288"/>
      <c r="AI862" s="286"/>
      <c r="AJ862" s="286"/>
      <c r="AK862" s="287"/>
      <c r="AM862" s="288"/>
      <c r="AN862" s="286"/>
      <c r="AO862" s="286"/>
      <c r="AP862" s="287"/>
      <c r="AR862" s="288"/>
      <c r="AS862" s="286"/>
      <c r="AT862" s="286"/>
      <c r="AU862" s="287"/>
      <c r="AW862" s="288"/>
      <c r="AX862" s="286"/>
      <c r="AY862" s="286"/>
      <c r="AZ862" s="287"/>
      <c r="BB862" s="288"/>
      <c r="BC862" s="286"/>
      <c r="BD862" s="286"/>
      <c r="BE862" s="287"/>
      <c r="BG862" s="288"/>
      <c r="BH862" s="286"/>
      <c r="BI862" s="286"/>
      <c r="BJ862" s="287"/>
      <c r="BL862" s="288"/>
      <c r="BM862" s="286"/>
      <c r="BN862" s="286"/>
      <c r="BO862" s="289"/>
    </row>
    <row r="863" spans="2:67" s="339" customFormat="1">
      <c r="B863" s="365" t="s">
        <v>406</v>
      </c>
      <c r="C863" s="339" t="s">
        <v>395</v>
      </c>
      <c r="D863" s="330">
        <f>G815</f>
        <v>74865.617915348092</v>
      </c>
      <c r="E863" s="326">
        <f>H815</f>
        <v>50550.893333333341</v>
      </c>
      <c r="F863" s="326">
        <f>E863-D863</f>
        <v>-24314.724582014751</v>
      </c>
      <c r="G863" s="287"/>
      <c r="H863" s="284"/>
      <c r="I863" s="288"/>
      <c r="J863" s="286"/>
      <c r="K863" s="286"/>
      <c r="L863" s="289"/>
      <c r="M863" s="290"/>
      <c r="N863" s="288"/>
      <c r="O863" s="286"/>
      <c r="P863" s="286"/>
      <c r="Q863" s="287"/>
      <c r="S863" s="288"/>
      <c r="T863" s="286"/>
      <c r="U863" s="286"/>
      <c r="V863" s="287"/>
      <c r="X863" s="288"/>
      <c r="Y863" s="286"/>
      <c r="Z863" s="286"/>
      <c r="AA863" s="287"/>
      <c r="AC863" s="288"/>
      <c r="AD863" s="286"/>
      <c r="AE863" s="286"/>
      <c r="AF863" s="287"/>
      <c r="AH863" s="288"/>
      <c r="AI863" s="286"/>
      <c r="AJ863" s="286"/>
      <c r="AK863" s="287"/>
      <c r="AM863" s="288"/>
      <c r="AN863" s="286"/>
      <c r="AO863" s="286"/>
      <c r="AP863" s="287"/>
      <c r="AR863" s="288"/>
      <c r="AS863" s="286"/>
      <c r="AT863" s="286"/>
      <c r="AU863" s="287"/>
      <c r="AW863" s="288"/>
      <c r="AX863" s="286"/>
      <c r="AY863" s="286"/>
      <c r="AZ863" s="287"/>
      <c r="BB863" s="288"/>
      <c r="BC863" s="286"/>
      <c r="BD863" s="286"/>
      <c r="BE863" s="287"/>
      <c r="BG863" s="288"/>
      <c r="BH863" s="286"/>
      <c r="BI863" s="286"/>
      <c r="BJ863" s="287"/>
      <c r="BL863" s="288"/>
      <c r="BM863" s="286"/>
      <c r="BN863" s="286"/>
      <c r="BO863" s="289"/>
    </row>
    <row r="864" spans="2:67" s="339" customFormat="1">
      <c r="D864" s="330"/>
      <c r="E864" s="326"/>
      <c r="F864" s="326"/>
      <c r="G864" s="287"/>
      <c r="H864" s="284"/>
      <c r="I864" s="288"/>
      <c r="J864" s="286"/>
      <c r="K864" s="286"/>
      <c r="L864" s="289"/>
      <c r="M864" s="290"/>
      <c r="N864" s="288"/>
      <c r="O864" s="286"/>
      <c r="P864" s="286"/>
      <c r="Q864" s="287"/>
      <c r="S864" s="288"/>
      <c r="T864" s="286"/>
      <c r="U864" s="286"/>
      <c r="V864" s="287"/>
      <c r="X864" s="288"/>
      <c r="Y864" s="286"/>
      <c r="Z864" s="286"/>
      <c r="AA864" s="287"/>
      <c r="AC864" s="288"/>
      <c r="AD864" s="286"/>
      <c r="AE864" s="286"/>
      <c r="AF864" s="287"/>
      <c r="AH864" s="288"/>
      <c r="AI864" s="286"/>
      <c r="AJ864" s="286"/>
      <c r="AK864" s="287"/>
      <c r="AM864" s="288"/>
      <c r="AN864" s="286"/>
      <c r="AO864" s="286"/>
      <c r="AP864" s="287"/>
      <c r="AR864" s="288"/>
      <c r="AS864" s="286"/>
      <c r="AT864" s="286"/>
      <c r="AU864" s="287"/>
      <c r="AW864" s="288"/>
      <c r="AX864" s="286"/>
      <c r="AY864" s="286"/>
      <c r="AZ864" s="287"/>
      <c r="BB864" s="288"/>
      <c r="BC864" s="286"/>
      <c r="BD864" s="286"/>
      <c r="BE864" s="287"/>
      <c r="BG864" s="288"/>
      <c r="BH864" s="286"/>
      <c r="BI864" s="286"/>
      <c r="BJ864" s="287"/>
      <c r="BL864" s="288"/>
      <c r="BM864" s="286"/>
      <c r="BN864" s="286"/>
      <c r="BO864" s="289"/>
    </row>
    <row r="865" spans="2:67" s="339" customFormat="1">
      <c r="B865" s="365" t="s">
        <v>439</v>
      </c>
      <c r="C865" s="339" t="s">
        <v>432</v>
      </c>
      <c r="D865" s="330">
        <f>G800</f>
        <v>0</v>
      </c>
      <c r="E865" s="326">
        <f>H800</f>
        <v>0</v>
      </c>
      <c r="F865" s="326">
        <f>E865-D865</f>
        <v>0</v>
      </c>
      <c r="G865" s="287"/>
      <c r="H865" s="284"/>
      <c r="I865" s="288"/>
      <c r="J865" s="286"/>
      <c r="K865" s="286"/>
      <c r="L865" s="289"/>
      <c r="M865" s="290"/>
      <c r="N865" s="288"/>
      <c r="O865" s="286"/>
      <c r="P865" s="286"/>
      <c r="Q865" s="287"/>
      <c r="S865" s="288"/>
      <c r="T865" s="286"/>
      <c r="U865" s="286"/>
      <c r="V865" s="287"/>
      <c r="X865" s="288"/>
      <c r="Y865" s="286"/>
      <c r="Z865" s="286"/>
      <c r="AA865" s="287"/>
      <c r="AC865" s="288"/>
      <c r="AD865" s="286"/>
      <c r="AE865" s="286"/>
      <c r="AF865" s="287"/>
      <c r="AH865" s="288"/>
      <c r="AI865" s="286"/>
      <c r="AJ865" s="286"/>
      <c r="AK865" s="287"/>
      <c r="AM865" s="288"/>
      <c r="AN865" s="286"/>
      <c r="AO865" s="286"/>
      <c r="AP865" s="287"/>
      <c r="AR865" s="288"/>
      <c r="AS865" s="286"/>
      <c r="AT865" s="286"/>
      <c r="AU865" s="287"/>
      <c r="AW865" s="288"/>
      <c r="AX865" s="286"/>
      <c r="AY865" s="286"/>
      <c r="AZ865" s="287"/>
      <c r="BB865" s="288"/>
      <c r="BC865" s="286"/>
      <c r="BD865" s="286"/>
      <c r="BE865" s="287"/>
      <c r="BG865" s="288"/>
      <c r="BH865" s="286"/>
      <c r="BI865" s="286"/>
      <c r="BJ865" s="287"/>
      <c r="BL865" s="288"/>
      <c r="BM865" s="286"/>
      <c r="BN865" s="286"/>
      <c r="BO865" s="289"/>
    </row>
    <row r="866" spans="2:67" s="339" customFormat="1">
      <c r="B866" s="339" t="s">
        <v>442</v>
      </c>
      <c r="D866" s="330"/>
      <c r="E866" s="326"/>
      <c r="F866" s="326"/>
      <c r="G866" s="287"/>
      <c r="H866" s="284"/>
      <c r="I866" s="288"/>
      <c r="J866" s="286"/>
      <c r="K866" s="286"/>
      <c r="L866" s="289"/>
      <c r="M866" s="290"/>
      <c r="N866" s="288"/>
      <c r="O866" s="286"/>
      <c r="P866" s="286"/>
      <c r="Q866" s="287"/>
      <c r="S866" s="288"/>
      <c r="T866" s="286"/>
      <c r="U866" s="286"/>
      <c r="V866" s="287"/>
      <c r="X866" s="288"/>
      <c r="Y866" s="286"/>
      <c r="Z866" s="286"/>
      <c r="AA866" s="287"/>
      <c r="AC866" s="288"/>
      <c r="AD866" s="286"/>
      <c r="AE866" s="286"/>
      <c r="AF866" s="287"/>
      <c r="AH866" s="288"/>
      <c r="AI866" s="286"/>
      <c r="AJ866" s="286"/>
      <c r="AK866" s="287"/>
      <c r="AM866" s="288"/>
      <c r="AN866" s="286"/>
      <c r="AO866" s="286"/>
      <c r="AP866" s="287"/>
      <c r="AR866" s="288"/>
      <c r="AS866" s="286"/>
      <c r="AT866" s="286"/>
      <c r="AU866" s="287"/>
      <c r="AW866" s="288"/>
      <c r="AX866" s="286"/>
      <c r="AY866" s="286"/>
      <c r="AZ866" s="287"/>
      <c r="BB866" s="288"/>
      <c r="BC866" s="286"/>
      <c r="BD866" s="286"/>
      <c r="BE866" s="287"/>
      <c r="BG866" s="288"/>
      <c r="BH866" s="286"/>
      <c r="BI866" s="286"/>
      <c r="BJ866" s="287"/>
      <c r="BL866" s="288"/>
      <c r="BM866" s="286"/>
      <c r="BN866" s="286"/>
      <c r="BO866" s="289"/>
    </row>
    <row r="867" spans="2:67" s="339" customFormat="1">
      <c r="B867" s="365" t="s">
        <v>433</v>
      </c>
      <c r="C867" s="339" t="s">
        <v>390</v>
      </c>
      <c r="D867" s="330">
        <f>G806</f>
        <v>0</v>
      </c>
      <c r="E867" s="326">
        <f>H806</f>
        <v>-976.44333333333327</v>
      </c>
      <c r="F867" s="326">
        <f>E867-D867</f>
        <v>-976.44333333333327</v>
      </c>
      <c r="G867" s="287"/>
      <c r="H867" s="284"/>
      <c r="I867" s="288"/>
      <c r="J867" s="286"/>
      <c r="K867" s="286"/>
      <c r="L867" s="289"/>
      <c r="M867" s="290"/>
      <c r="N867" s="288"/>
      <c r="O867" s="286"/>
      <c r="P867" s="286"/>
      <c r="Q867" s="287"/>
      <c r="S867" s="288"/>
      <c r="T867" s="286"/>
      <c r="U867" s="286"/>
      <c r="V867" s="287"/>
      <c r="X867" s="288"/>
      <c r="Y867" s="286"/>
      <c r="Z867" s="286"/>
      <c r="AA867" s="287"/>
      <c r="AC867" s="288"/>
      <c r="AD867" s="286"/>
      <c r="AE867" s="286"/>
      <c r="AF867" s="287"/>
      <c r="AH867" s="288"/>
      <c r="AI867" s="286"/>
      <c r="AJ867" s="286"/>
      <c r="AK867" s="287"/>
      <c r="AM867" s="288"/>
      <c r="AN867" s="286"/>
      <c r="AO867" s="286"/>
      <c r="AP867" s="287"/>
      <c r="AR867" s="288"/>
      <c r="AS867" s="286"/>
      <c r="AT867" s="286"/>
      <c r="AU867" s="287"/>
      <c r="AW867" s="288"/>
      <c r="AX867" s="286"/>
      <c r="AY867" s="286"/>
      <c r="AZ867" s="287"/>
      <c r="BB867" s="288"/>
      <c r="BC867" s="286"/>
      <c r="BD867" s="286"/>
      <c r="BE867" s="287"/>
      <c r="BG867" s="288"/>
      <c r="BH867" s="286"/>
      <c r="BI867" s="286"/>
      <c r="BJ867" s="287"/>
      <c r="BL867" s="288"/>
      <c r="BM867" s="286"/>
      <c r="BN867" s="286"/>
      <c r="BO867" s="289"/>
    </row>
    <row r="868" spans="2:67" s="339" customFormat="1">
      <c r="D868" s="330"/>
      <c r="E868" s="326"/>
      <c r="F868" s="326"/>
      <c r="G868" s="287"/>
      <c r="H868" s="284"/>
      <c r="I868" s="288"/>
      <c r="J868" s="286"/>
      <c r="K868" s="286"/>
      <c r="L868" s="289"/>
      <c r="M868" s="290"/>
      <c r="N868" s="288"/>
      <c r="O868" s="286"/>
      <c r="P868" s="286"/>
      <c r="Q868" s="287"/>
      <c r="S868" s="288"/>
      <c r="T868" s="286"/>
      <c r="U868" s="286"/>
      <c r="V868" s="287"/>
      <c r="X868" s="288"/>
      <c r="Y868" s="286"/>
      <c r="Z868" s="286"/>
      <c r="AA868" s="287"/>
      <c r="AC868" s="288"/>
      <c r="AD868" s="286"/>
      <c r="AE868" s="286"/>
      <c r="AF868" s="287"/>
      <c r="AH868" s="288"/>
      <c r="AI868" s="286"/>
      <c r="AJ868" s="286"/>
      <c r="AK868" s="287"/>
      <c r="AM868" s="288"/>
      <c r="AN868" s="286"/>
      <c r="AO868" s="286"/>
      <c r="AP868" s="287"/>
      <c r="AR868" s="288"/>
      <c r="AS868" s="286"/>
      <c r="AT868" s="286"/>
      <c r="AU868" s="287"/>
      <c r="AW868" s="288"/>
      <c r="AX868" s="286"/>
      <c r="AY868" s="286"/>
      <c r="AZ868" s="287"/>
      <c r="BB868" s="288"/>
      <c r="BC868" s="286"/>
      <c r="BD868" s="286"/>
      <c r="BE868" s="287"/>
      <c r="BG868" s="288"/>
      <c r="BH868" s="286"/>
      <c r="BI868" s="286"/>
      <c r="BJ868" s="287"/>
      <c r="BL868" s="288"/>
      <c r="BM868" s="286"/>
      <c r="BN868" s="286"/>
      <c r="BO868" s="289"/>
    </row>
    <row r="869" spans="2:67" s="339" customFormat="1">
      <c r="B869" s="365" t="s">
        <v>407</v>
      </c>
      <c r="C869" s="339" t="s">
        <v>390</v>
      </c>
      <c r="D869" s="330">
        <f>G809</f>
        <v>6877.3521070481638</v>
      </c>
      <c r="E869" s="326">
        <f>H809</f>
        <v>9821.7066666666669</v>
      </c>
      <c r="F869" s="326">
        <f>E869-D869</f>
        <v>2944.3545596185031</v>
      </c>
      <c r="G869" s="287"/>
      <c r="H869" s="284"/>
      <c r="I869" s="288"/>
      <c r="J869" s="286"/>
      <c r="K869" s="286"/>
      <c r="L869" s="289"/>
      <c r="M869" s="290"/>
      <c r="N869" s="288"/>
      <c r="O869" s="286"/>
      <c r="P869" s="286"/>
      <c r="Q869" s="287"/>
      <c r="S869" s="288"/>
      <c r="T869" s="286"/>
      <c r="U869" s="286"/>
      <c r="V869" s="287"/>
      <c r="X869" s="288"/>
      <c r="Y869" s="286"/>
      <c r="Z869" s="286"/>
      <c r="AA869" s="287"/>
      <c r="AC869" s="288"/>
      <c r="AD869" s="286"/>
      <c r="AE869" s="286"/>
      <c r="AF869" s="287"/>
      <c r="AH869" s="288"/>
      <c r="AI869" s="286"/>
      <c r="AJ869" s="286"/>
      <c r="AK869" s="287"/>
      <c r="AM869" s="288"/>
      <c r="AN869" s="286"/>
      <c r="AO869" s="286"/>
      <c r="AP869" s="287"/>
      <c r="AR869" s="288"/>
      <c r="AS869" s="286"/>
      <c r="AT869" s="286"/>
      <c r="AU869" s="287"/>
      <c r="AW869" s="288"/>
      <c r="AX869" s="286"/>
      <c r="AY869" s="286"/>
      <c r="AZ869" s="287"/>
      <c r="BB869" s="288"/>
      <c r="BC869" s="286"/>
      <c r="BD869" s="286"/>
      <c r="BE869" s="287"/>
      <c r="BG869" s="288"/>
      <c r="BH869" s="286"/>
      <c r="BI869" s="286"/>
      <c r="BJ869" s="287"/>
      <c r="BL869" s="288"/>
      <c r="BM869" s="286"/>
      <c r="BN869" s="286"/>
      <c r="BO869" s="289"/>
    </row>
    <row r="870" spans="2:67" s="339" customFormat="1">
      <c r="B870" s="339" t="s">
        <v>396</v>
      </c>
      <c r="D870" s="330"/>
      <c r="E870" s="326"/>
      <c r="F870" s="326"/>
      <c r="G870" s="287"/>
      <c r="H870" s="284"/>
      <c r="I870" s="288"/>
      <c r="J870" s="286"/>
      <c r="K870" s="286"/>
      <c r="L870" s="289"/>
      <c r="M870" s="290"/>
      <c r="N870" s="288"/>
      <c r="O870" s="286"/>
      <c r="P870" s="286"/>
      <c r="Q870" s="287"/>
      <c r="S870" s="288"/>
      <c r="T870" s="286"/>
      <c r="U870" s="286"/>
      <c r="V870" s="287"/>
      <c r="X870" s="288"/>
      <c r="Y870" s="286"/>
      <c r="Z870" s="286"/>
      <c r="AA870" s="287"/>
      <c r="AC870" s="288"/>
      <c r="AD870" s="286"/>
      <c r="AE870" s="286"/>
      <c r="AF870" s="287"/>
      <c r="AH870" s="288"/>
      <c r="AI870" s="286"/>
      <c r="AJ870" s="286"/>
      <c r="AK870" s="287"/>
      <c r="AM870" s="288"/>
      <c r="AN870" s="286"/>
      <c r="AO870" s="286"/>
      <c r="AP870" s="287"/>
      <c r="AR870" s="288"/>
      <c r="AS870" s="286"/>
      <c r="AT870" s="286"/>
      <c r="AU870" s="287"/>
      <c r="AW870" s="288"/>
      <c r="AX870" s="286"/>
      <c r="AY870" s="286"/>
      <c r="AZ870" s="287"/>
      <c r="BB870" s="288"/>
      <c r="BC870" s="286"/>
      <c r="BD870" s="286"/>
      <c r="BE870" s="287"/>
      <c r="BG870" s="288"/>
      <c r="BH870" s="286"/>
      <c r="BI870" s="286"/>
      <c r="BJ870" s="287"/>
      <c r="BL870" s="288"/>
      <c r="BM870" s="286"/>
      <c r="BN870" s="286"/>
      <c r="BO870" s="289"/>
    </row>
    <row r="871" spans="2:67" s="339" customFormat="1">
      <c r="B871" s="339" t="s">
        <v>408</v>
      </c>
      <c r="D871" s="330">
        <f>SUM(D863:D869)</f>
        <v>81742.970022396257</v>
      </c>
      <c r="E871" s="326">
        <f>SUM(E863:E869)</f>
        <v>59396.156666666669</v>
      </c>
      <c r="F871" s="326">
        <f>E871-D871</f>
        <v>-22346.813355729588</v>
      </c>
      <c r="G871" s="287"/>
      <c r="H871" s="284"/>
      <c r="I871" s="288"/>
      <c r="J871" s="286"/>
      <c r="K871" s="286"/>
      <c r="L871" s="289"/>
      <c r="M871" s="290"/>
      <c r="N871" s="288"/>
      <c r="O871" s="286"/>
      <c r="P871" s="286"/>
      <c r="Q871" s="287"/>
      <c r="S871" s="288"/>
      <c r="T871" s="286"/>
      <c r="U871" s="286"/>
      <c r="V871" s="287"/>
      <c r="X871" s="288"/>
      <c r="Y871" s="286"/>
      <c r="Z871" s="286"/>
      <c r="AA871" s="287"/>
      <c r="AC871" s="288"/>
      <c r="AD871" s="286"/>
      <c r="AE871" s="286"/>
      <c r="AF871" s="287"/>
      <c r="AH871" s="288"/>
      <c r="AI871" s="286"/>
      <c r="AJ871" s="286"/>
      <c r="AK871" s="287"/>
      <c r="AM871" s="288"/>
      <c r="AN871" s="286"/>
      <c r="AO871" s="286"/>
      <c r="AP871" s="287"/>
      <c r="AR871" s="288"/>
      <c r="AS871" s="286"/>
      <c r="AT871" s="286"/>
      <c r="AU871" s="287"/>
      <c r="AW871" s="288"/>
      <c r="AX871" s="286"/>
      <c r="AY871" s="286"/>
      <c r="AZ871" s="287"/>
      <c r="BB871" s="288"/>
      <c r="BC871" s="286"/>
      <c r="BD871" s="286"/>
      <c r="BE871" s="287"/>
      <c r="BG871" s="288"/>
      <c r="BH871" s="286"/>
      <c r="BI871" s="286"/>
      <c r="BJ871" s="287"/>
      <c r="BL871" s="288"/>
      <c r="BM871" s="286"/>
      <c r="BN871" s="286"/>
      <c r="BO871" s="289"/>
    </row>
    <row r="872" spans="2:67" s="339" customFormat="1">
      <c r="B872" s="339" t="s">
        <v>396</v>
      </c>
      <c r="D872" s="330"/>
      <c r="E872" s="326"/>
      <c r="F872" s="326"/>
      <c r="G872" s="287"/>
      <c r="H872" s="284"/>
      <c r="I872" s="288"/>
      <c r="J872" s="286"/>
      <c r="K872" s="286"/>
      <c r="L872" s="289"/>
      <c r="M872" s="290"/>
      <c r="N872" s="288"/>
      <c r="O872" s="286"/>
      <c r="P872" s="286"/>
      <c r="Q872" s="287"/>
      <c r="S872" s="288"/>
      <c r="T872" s="286"/>
      <c r="U872" s="286"/>
      <c r="V872" s="287"/>
      <c r="X872" s="288"/>
      <c r="Y872" s="286"/>
      <c r="Z872" s="286"/>
      <c r="AA872" s="287"/>
      <c r="AC872" s="288"/>
      <c r="AD872" s="286"/>
      <c r="AE872" s="286"/>
      <c r="AF872" s="287"/>
      <c r="AH872" s="288"/>
      <c r="AI872" s="286"/>
      <c r="AJ872" s="286"/>
      <c r="AK872" s="287"/>
      <c r="AM872" s="288"/>
      <c r="AN872" s="286"/>
      <c r="AO872" s="286"/>
      <c r="AP872" s="287"/>
      <c r="AR872" s="288"/>
      <c r="AS872" s="286"/>
      <c r="AT872" s="286"/>
      <c r="AU872" s="287"/>
      <c r="AW872" s="288"/>
      <c r="AX872" s="286"/>
      <c r="AY872" s="286"/>
      <c r="AZ872" s="287"/>
      <c r="BB872" s="288"/>
      <c r="BC872" s="286"/>
      <c r="BD872" s="286"/>
      <c r="BE872" s="287"/>
      <c r="BG872" s="288"/>
      <c r="BH872" s="286"/>
      <c r="BI872" s="286"/>
      <c r="BJ872" s="287"/>
      <c r="BL872" s="288"/>
      <c r="BM872" s="286"/>
      <c r="BN872" s="286"/>
      <c r="BO872" s="289"/>
    </row>
    <row r="873" spans="2:67" s="339" customFormat="1">
      <c r="D873" s="330"/>
      <c r="E873" s="326"/>
      <c r="F873" s="326"/>
      <c r="G873" s="287"/>
      <c r="H873" s="284"/>
      <c r="I873" s="288"/>
      <c r="J873" s="286"/>
      <c r="K873" s="286"/>
      <c r="L873" s="289"/>
      <c r="M873" s="290"/>
      <c r="N873" s="288"/>
      <c r="O873" s="286"/>
      <c r="P873" s="286"/>
      <c r="Q873" s="287"/>
      <c r="S873" s="288"/>
      <c r="T873" s="286"/>
      <c r="U873" s="286"/>
      <c r="V873" s="287"/>
      <c r="X873" s="288"/>
      <c r="Y873" s="286"/>
      <c r="Z873" s="286"/>
      <c r="AA873" s="287"/>
      <c r="AC873" s="288"/>
      <c r="AD873" s="286"/>
      <c r="AE873" s="286"/>
      <c r="AF873" s="287"/>
      <c r="AH873" s="288"/>
      <c r="AI873" s="286"/>
      <c r="AJ873" s="286"/>
      <c r="AK873" s="287"/>
      <c r="AM873" s="288"/>
      <c r="AN873" s="286"/>
      <c r="AO873" s="286"/>
      <c r="AP873" s="287"/>
      <c r="AR873" s="288"/>
      <c r="AS873" s="286"/>
      <c r="AT873" s="286"/>
      <c r="AU873" s="287"/>
      <c r="AW873" s="288"/>
      <c r="AX873" s="286"/>
      <c r="AY873" s="286"/>
      <c r="AZ873" s="287"/>
      <c r="BB873" s="288"/>
      <c r="BC873" s="286"/>
      <c r="BD873" s="286"/>
      <c r="BE873" s="287"/>
      <c r="BG873" s="288"/>
      <c r="BH873" s="286"/>
      <c r="BI873" s="286"/>
      <c r="BJ873" s="287"/>
      <c r="BL873" s="288"/>
      <c r="BM873" s="286"/>
      <c r="BN873" s="286"/>
      <c r="BO873" s="289"/>
    </row>
    <row r="874" spans="2:67" s="339" customFormat="1">
      <c r="B874" s="339" t="s">
        <v>409</v>
      </c>
      <c r="D874" s="330"/>
      <c r="E874" s="326"/>
      <c r="F874" s="326"/>
      <c r="G874" s="287"/>
      <c r="H874" s="284"/>
      <c r="I874" s="288"/>
      <c r="J874" s="286"/>
      <c r="K874" s="286"/>
      <c r="L874" s="289"/>
      <c r="M874" s="290"/>
      <c r="N874" s="288"/>
      <c r="O874" s="286"/>
      <c r="P874" s="286"/>
      <c r="Q874" s="287"/>
      <c r="S874" s="288"/>
      <c r="T874" s="286"/>
      <c r="U874" s="286"/>
      <c r="V874" s="287"/>
      <c r="X874" s="288"/>
      <c r="Y874" s="286"/>
      <c r="Z874" s="286"/>
      <c r="AA874" s="287"/>
      <c r="AC874" s="288"/>
      <c r="AD874" s="286"/>
      <c r="AE874" s="286"/>
      <c r="AF874" s="287"/>
      <c r="AH874" s="288"/>
      <c r="AI874" s="286"/>
      <c r="AJ874" s="286"/>
      <c r="AK874" s="287"/>
      <c r="AM874" s="288"/>
      <c r="AN874" s="286"/>
      <c r="AO874" s="286"/>
      <c r="AP874" s="287"/>
      <c r="AR874" s="288"/>
      <c r="AS874" s="286"/>
      <c r="AT874" s="286"/>
      <c r="AU874" s="287"/>
      <c r="AW874" s="288"/>
      <c r="AX874" s="286"/>
      <c r="AY874" s="286"/>
      <c r="AZ874" s="287"/>
      <c r="BB874" s="288"/>
      <c r="BC874" s="286"/>
      <c r="BD874" s="286"/>
      <c r="BE874" s="287"/>
      <c r="BG874" s="288"/>
      <c r="BH874" s="286"/>
      <c r="BI874" s="286"/>
      <c r="BJ874" s="287"/>
      <c r="BL874" s="288"/>
      <c r="BM874" s="286"/>
      <c r="BN874" s="286"/>
      <c r="BO874" s="289"/>
    </row>
    <row r="875" spans="2:67" s="339" customFormat="1">
      <c r="B875" s="365" t="s">
        <v>410</v>
      </c>
      <c r="C875" s="339" t="s">
        <v>395</v>
      </c>
      <c r="D875" s="330">
        <f>G802</f>
        <v>35948.74986124436</v>
      </c>
      <c r="E875" s="326">
        <f>H802</f>
        <v>34237.806666666671</v>
      </c>
      <c r="F875" s="326">
        <f>E875-D875</f>
        <v>-1710.9431945776887</v>
      </c>
      <c r="G875" s="287"/>
      <c r="H875" s="284"/>
      <c r="I875" s="288"/>
      <c r="J875" s="286"/>
      <c r="K875" s="286"/>
      <c r="L875" s="289"/>
      <c r="M875" s="290"/>
      <c r="N875" s="288"/>
      <c r="O875" s="286"/>
      <c r="P875" s="286"/>
      <c r="Q875" s="287"/>
      <c r="S875" s="288"/>
      <c r="T875" s="286"/>
      <c r="U875" s="286"/>
      <c r="V875" s="287"/>
      <c r="X875" s="288"/>
      <c r="Y875" s="286"/>
      <c r="Z875" s="286"/>
      <c r="AA875" s="287"/>
      <c r="AC875" s="288"/>
      <c r="AD875" s="286"/>
      <c r="AE875" s="286"/>
      <c r="AF875" s="287"/>
      <c r="AH875" s="288"/>
      <c r="AI875" s="286"/>
      <c r="AJ875" s="286"/>
      <c r="AK875" s="287"/>
      <c r="AM875" s="288"/>
      <c r="AN875" s="286"/>
      <c r="AO875" s="286"/>
      <c r="AP875" s="287"/>
      <c r="AR875" s="288"/>
      <c r="AS875" s="286"/>
      <c r="AT875" s="286"/>
      <c r="AU875" s="287"/>
      <c r="AW875" s="288"/>
      <c r="AX875" s="286"/>
      <c r="AY875" s="286"/>
      <c r="AZ875" s="287"/>
      <c r="BB875" s="288"/>
      <c r="BC875" s="286"/>
      <c r="BD875" s="286"/>
      <c r="BE875" s="287"/>
      <c r="BG875" s="288"/>
      <c r="BH875" s="286"/>
      <c r="BI875" s="286"/>
      <c r="BJ875" s="287"/>
      <c r="BL875" s="288"/>
      <c r="BM875" s="286"/>
      <c r="BN875" s="286"/>
      <c r="BO875" s="289"/>
    </row>
    <row r="876" spans="2:67" s="339" customFormat="1">
      <c r="B876" s="339" t="s">
        <v>396</v>
      </c>
      <c r="D876" s="330"/>
      <c r="E876" s="326"/>
      <c r="F876" s="326"/>
      <c r="G876" s="287"/>
      <c r="H876" s="284"/>
      <c r="I876" s="288"/>
      <c r="J876" s="286"/>
      <c r="K876" s="286"/>
      <c r="L876" s="289"/>
      <c r="M876" s="290"/>
      <c r="N876" s="288"/>
      <c r="O876" s="286"/>
      <c r="P876" s="286"/>
      <c r="Q876" s="287"/>
      <c r="S876" s="288"/>
      <c r="T876" s="286"/>
      <c r="U876" s="286"/>
      <c r="V876" s="287"/>
      <c r="X876" s="288"/>
      <c r="Y876" s="286"/>
      <c r="Z876" s="286"/>
      <c r="AA876" s="287"/>
      <c r="AC876" s="288"/>
      <c r="AD876" s="286"/>
      <c r="AE876" s="286"/>
      <c r="AF876" s="287"/>
      <c r="AH876" s="288"/>
      <c r="AI876" s="286"/>
      <c r="AJ876" s="286"/>
      <c r="AK876" s="287"/>
      <c r="AM876" s="288"/>
      <c r="AN876" s="286"/>
      <c r="AO876" s="286"/>
      <c r="AP876" s="287"/>
      <c r="AR876" s="288"/>
      <c r="AS876" s="286"/>
      <c r="AT876" s="286"/>
      <c r="AU876" s="287"/>
      <c r="AW876" s="288"/>
      <c r="AX876" s="286"/>
      <c r="AY876" s="286"/>
      <c r="AZ876" s="287"/>
      <c r="BB876" s="288"/>
      <c r="BC876" s="286"/>
      <c r="BD876" s="286"/>
      <c r="BE876" s="287"/>
      <c r="BG876" s="288"/>
      <c r="BH876" s="286"/>
      <c r="BI876" s="286"/>
      <c r="BJ876" s="287"/>
      <c r="BL876" s="288"/>
      <c r="BM876" s="286"/>
      <c r="BN876" s="286"/>
      <c r="BO876" s="289"/>
    </row>
    <row r="877" spans="2:67" s="339" customFormat="1">
      <c r="B877" s="339" t="s">
        <v>411</v>
      </c>
      <c r="D877" s="330">
        <f>D875</f>
        <v>35948.74986124436</v>
      </c>
      <c r="E877" s="326">
        <f>E875</f>
        <v>34237.806666666671</v>
      </c>
      <c r="F877" s="326">
        <f>E877-D877</f>
        <v>-1710.9431945776887</v>
      </c>
      <c r="G877" s="287"/>
      <c r="H877" s="284"/>
      <c r="I877" s="288"/>
      <c r="J877" s="286"/>
      <c r="K877" s="286"/>
      <c r="L877" s="289"/>
      <c r="M877" s="290"/>
      <c r="N877" s="288"/>
      <c r="O877" s="286"/>
      <c r="P877" s="286"/>
      <c r="Q877" s="287"/>
      <c r="S877" s="288"/>
      <c r="T877" s="286"/>
      <c r="U877" s="286"/>
      <c r="V877" s="287"/>
      <c r="X877" s="288"/>
      <c r="Y877" s="286"/>
      <c r="Z877" s="286"/>
      <c r="AA877" s="287"/>
      <c r="AC877" s="288"/>
      <c r="AD877" s="286"/>
      <c r="AE877" s="286"/>
      <c r="AF877" s="287"/>
      <c r="AH877" s="288"/>
      <c r="AI877" s="286"/>
      <c r="AJ877" s="286"/>
      <c r="AK877" s="287"/>
      <c r="AM877" s="288"/>
      <c r="AN877" s="286"/>
      <c r="AO877" s="286"/>
      <c r="AP877" s="287"/>
      <c r="AR877" s="288"/>
      <c r="AS877" s="286"/>
      <c r="AT877" s="286"/>
      <c r="AU877" s="287"/>
      <c r="AW877" s="288"/>
      <c r="AX877" s="286"/>
      <c r="AY877" s="286"/>
      <c r="AZ877" s="287"/>
      <c r="BB877" s="288"/>
      <c r="BC877" s="286"/>
      <c r="BD877" s="286"/>
      <c r="BE877" s="287"/>
      <c r="BG877" s="288"/>
      <c r="BH877" s="286"/>
      <c r="BI877" s="286"/>
      <c r="BJ877" s="287"/>
      <c r="BL877" s="288"/>
      <c r="BM877" s="286"/>
      <c r="BN877" s="286"/>
      <c r="BO877" s="289"/>
    </row>
    <row r="878" spans="2:67" s="339" customFormat="1">
      <c r="B878" s="339" t="s">
        <v>396</v>
      </c>
      <c r="D878" s="330"/>
      <c r="E878" s="326"/>
      <c r="F878" s="326"/>
      <c r="G878" s="287"/>
      <c r="H878" s="284"/>
      <c r="I878" s="288"/>
      <c r="J878" s="286"/>
      <c r="K878" s="286"/>
      <c r="L878" s="289"/>
      <c r="M878" s="290"/>
      <c r="N878" s="288"/>
      <c r="O878" s="286"/>
      <c r="P878" s="286"/>
      <c r="Q878" s="287"/>
      <c r="S878" s="288"/>
      <c r="T878" s="286"/>
      <c r="U878" s="286"/>
      <c r="V878" s="287"/>
      <c r="X878" s="288"/>
      <c r="Y878" s="286"/>
      <c r="Z878" s="286"/>
      <c r="AA878" s="287"/>
      <c r="AC878" s="288"/>
      <c r="AD878" s="286"/>
      <c r="AE878" s="286"/>
      <c r="AF878" s="287"/>
      <c r="AH878" s="288"/>
      <c r="AI878" s="286"/>
      <c r="AJ878" s="286"/>
      <c r="AK878" s="287"/>
      <c r="AM878" s="288"/>
      <c r="AN878" s="286"/>
      <c r="AO878" s="286"/>
      <c r="AP878" s="287"/>
      <c r="AR878" s="288"/>
      <c r="AS878" s="286"/>
      <c r="AT878" s="286"/>
      <c r="AU878" s="287"/>
      <c r="AW878" s="288"/>
      <c r="AX878" s="286"/>
      <c r="AY878" s="286"/>
      <c r="AZ878" s="287"/>
      <c r="BB878" s="288"/>
      <c r="BC878" s="286"/>
      <c r="BD878" s="286"/>
      <c r="BE878" s="287"/>
      <c r="BG878" s="288"/>
      <c r="BH878" s="286"/>
      <c r="BI878" s="286"/>
      <c r="BJ878" s="287"/>
      <c r="BL878" s="288"/>
      <c r="BM878" s="286"/>
      <c r="BN878" s="286"/>
      <c r="BO878" s="289"/>
    </row>
    <row r="879" spans="2:67" s="339" customFormat="1">
      <c r="B879" s="339" t="s">
        <v>454</v>
      </c>
      <c r="C879" s="339" t="s">
        <v>402</v>
      </c>
      <c r="D879" s="330">
        <f>G813</f>
        <v>1950.4299999999998</v>
      </c>
      <c r="E879" s="326">
        <f>H813</f>
        <v>1950.4299999999998</v>
      </c>
      <c r="F879" s="326">
        <f>E879-D879</f>
        <v>0</v>
      </c>
      <c r="G879" s="287"/>
      <c r="H879" s="284"/>
      <c r="I879" s="288"/>
      <c r="J879" s="286"/>
      <c r="K879" s="286"/>
      <c r="L879" s="289"/>
      <c r="M879" s="290"/>
      <c r="N879" s="288"/>
      <c r="O879" s="286"/>
      <c r="P879" s="286"/>
      <c r="Q879" s="287"/>
      <c r="S879" s="288"/>
      <c r="T879" s="286"/>
      <c r="U879" s="286"/>
      <c r="V879" s="287"/>
      <c r="X879" s="288"/>
      <c r="Y879" s="286"/>
      <c r="Z879" s="286"/>
      <c r="AA879" s="287"/>
      <c r="AC879" s="288"/>
      <c r="AD879" s="286"/>
      <c r="AE879" s="286"/>
      <c r="AF879" s="287"/>
      <c r="AH879" s="288"/>
      <c r="AI879" s="286"/>
      <c r="AJ879" s="286"/>
      <c r="AK879" s="287"/>
      <c r="AM879" s="288"/>
      <c r="AN879" s="286"/>
      <c r="AO879" s="286"/>
      <c r="AP879" s="287"/>
      <c r="AR879" s="288"/>
      <c r="AS879" s="286"/>
      <c r="AT879" s="286"/>
      <c r="AU879" s="287"/>
      <c r="AW879" s="288"/>
      <c r="AX879" s="286"/>
      <c r="AY879" s="286"/>
      <c r="AZ879" s="287"/>
      <c r="BB879" s="288"/>
      <c r="BC879" s="286"/>
      <c r="BD879" s="286"/>
      <c r="BE879" s="287"/>
      <c r="BG879" s="288"/>
      <c r="BH879" s="286"/>
      <c r="BI879" s="286"/>
      <c r="BJ879" s="287"/>
      <c r="BL879" s="288"/>
      <c r="BM879" s="286"/>
      <c r="BN879" s="286"/>
      <c r="BO879" s="289"/>
    </row>
    <row r="880" spans="2:67" s="339" customFormat="1">
      <c r="B880" s="339" t="s">
        <v>396</v>
      </c>
      <c r="D880" s="330"/>
      <c r="E880" s="326"/>
      <c r="F880" s="326"/>
      <c r="G880" s="287"/>
      <c r="H880" s="284"/>
      <c r="I880" s="288"/>
      <c r="J880" s="286"/>
      <c r="K880" s="286"/>
      <c r="L880" s="289"/>
      <c r="M880" s="290"/>
      <c r="N880" s="288"/>
      <c r="O880" s="286"/>
      <c r="P880" s="286"/>
      <c r="Q880" s="287"/>
      <c r="S880" s="288"/>
      <c r="T880" s="286"/>
      <c r="U880" s="286"/>
      <c r="V880" s="287"/>
      <c r="X880" s="288"/>
      <c r="Y880" s="286"/>
      <c r="Z880" s="286"/>
      <c r="AA880" s="287"/>
      <c r="AC880" s="288"/>
      <c r="AD880" s="286"/>
      <c r="AE880" s="286"/>
      <c r="AF880" s="287"/>
      <c r="AH880" s="288"/>
      <c r="AI880" s="286"/>
      <c r="AJ880" s="286"/>
      <c r="AK880" s="287"/>
      <c r="AM880" s="288"/>
      <c r="AN880" s="286"/>
      <c r="AO880" s="286"/>
      <c r="AP880" s="287"/>
      <c r="AR880" s="288"/>
      <c r="AS880" s="286"/>
      <c r="AT880" s="286"/>
      <c r="AU880" s="287"/>
      <c r="AW880" s="288"/>
      <c r="AX880" s="286"/>
      <c r="AY880" s="286"/>
      <c r="AZ880" s="287"/>
      <c r="BB880" s="288"/>
      <c r="BC880" s="286"/>
      <c r="BD880" s="286"/>
      <c r="BE880" s="287"/>
      <c r="BG880" s="288"/>
      <c r="BH880" s="286"/>
      <c r="BI880" s="286"/>
      <c r="BJ880" s="287"/>
      <c r="BL880" s="288"/>
      <c r="BM880" s="286"/>
      <c r="BN880" s="286"/>
      <c r="BO880" s="289"/>
    </row>
    <row r="881" spans="2:67" s="339" customFormat="1">
      <c r="B881" s="339" t="s">
        <v>413</v>
      </c>
      <c r="D881" s="330">
        <f>G814</f>
        <v>1753.01</v>
      </c>
      <c r="E881" s="326">
        <f>H814</f>
        <v>1753.01</v>
      </c>
      <c r="F881" s="326">
        <f>E881-D881</f>
        <v>0</v>
      </c>
      <c r="G881" s="287"/>
      <c r="H881" s="284"/>
      <c r="I881" s="288"/>
      <c r="J881" s="286"/>
      <c r="K881" s="286"/>
      <c r="L881" s="289"/>
      <c r="M881" s="290"/>
      <c r="N881" s="288"/>
      <c r="O881" s="286"/>
      <c r="P881" s="286"/>
      <c r="Q881" s="287"/>
      <c r="S881" s="288"/>
      <c r="T881" s="286"/>
      <c r="U881" s="286"/>
      <c r="V881" s="287"/>
      <c r="X881" s="288"/>
      <c r="Y881" s="286"/>
      <c r="Z881" s="286"/>
      <c r="AA881" s="287"/>
      <c r="AC881" s="288"/>
      <c r="AD881" s="286"/>
      <c r="AE881" s="286"/>
      <c r="AF881" s="287"/>
      <c r="AH881" s="288"/>
      <c r="AI881" s="286"/>
      <c r="AJ881" s="286"/>
      <c r="AK881" s="287"/>
      <c r="AM881" s="288"/>
      <c r="AN881" s="286"/>
      <c r="AO881" s="286"/>
      <c r="AP881" s="287"/>
      <c r="AR881" s="288"/>
      <c r="AS881" s="286"/>
      <c r="AT881" s="286"/>
      <c r="AU881" s="287"/>
      <c r="AW881" s="288"/>
      <c r="AX881" s="286"/>
      <c r="AY881" s="286"/>
      <c r="AZ881" s="287"/>
      <c r="BB881" s="288"/>
      <c r="BC881" s="286"/>
      <c r="BD881" s="286"/>
      <c r="BE881" s="287"/>
      <c r="BG881" s="288"/>
      <c r="BH881" s="286"/>
      <c r="BI881" s="286"/>
      <c r="BJ881" s="287"/>
      <c r="BL881" s="288"/>
      <c r="BM881" s="286"/>
      <c r="BN881" s="286"/>
      <c r="BO881" s="289"/>
    </row>
    <row r="882" spans="2:67" s="339" customFormat="1">
      <c r="B882" s="339" t="s">
        <v>396</v>
      </c>
      <c r="D882" s="330"/>
      <c r="E882" s="326"/>
      <c r="F882" s="326"/>
      <c r="G882" s="287"/>
      <c r="H882" s="284"/>
      <c r="I882" s="288"/>
      <c r="J882" s="286"/>
      <c r="K882" s="286"/>
      <c r="L882" s="289"/>
      <c r="M882" s="290"/>
      <c r="N882" s="288"/>
      <c r="O882" s="286"/>
      <c r="P882" s="286"/>
      <c r="Q882" s="287"/>
      <c r="S882" s="288"/>
      <c r="T882" s="286"/>
      <c r="U882" s="286"/>
      <c r="V882" s="287"/>
      <c r="X882" s="288"/>
      <c r="Y882" s="286"/>
      <c r="Z882" s="286"/>
      <c r="AA882" s="287"/>
      <c r="AC882" s="288"/>
      <c r="AD882" s="286"/>
      <c r="AE882" s="286"/>
      <c r="AF882" s="287"/>
      <c r="AH882" s="288"/>
      <c r="AI882" s="286"/>
      <c r="AJ882" s="286"/>
      <c r="AK882" s="287"/>
      <c r="AM882" s="288"/>
      <c r="AN882" s="286"/>
      <c r="AO882" s="286"/>
      <c r="AP882" s="287"/>
      <c r="AR882" s="288"/>
      <c r="AS882" s="286"/>
      <c r="AT882" s="286"/>
      <c r="AU882" s="287"/>
      <c r="AW882" s="288"/>
      <c r="AX882" s="286"/>
      <c r="AY882" s="286"/>
      <c r="AZ882" s="287"/>
      <c r="BB882" s="288"/>
      <c r="BC882" s="286"/>
      <c r="BD882" s="286"/>
      <c r="BE882" s="287"/>
      <c r="BG882" s="288"/>
      <c r="BH882" s="286"/>
      <c r="BI882" s="286"/>
      <c r="BJ882" s="287"/>
      <c r="BL882" s="288"/>
      <c r="BM882" s="286"/>
      <c r="BN882" s="286"/>
      <c r="BO882" s="289"/>
    </row>
    <row r="883" spans="2:67" s="339" customFormat="1">
      <c r="B883" s="339" t="s">
        <v>455</v>
      </c>
      <c r="C883" s="339" t="s">
        <v>402</v>
      </c>
      <c r="D883" s="330">
        <f>G803</f>
        <v>2584.450904440866</v>
      </c>
      <c r="E883" s="326">
        <f>H803</f>
        <v>2515.4066666666668</v>
      </c>
      <c r="F883" s="326">
        <f>E883-D883</f>
        <v>-69.044237774199246</v>
      </c>
      <c r="G883" s="287"/>
      <c r="H883" s="284"/>
      <c r="I883" s="288"/>
      <c r="J883" s="286"/>
      <c r="K883" s="286"/>
      <c r="L883" s="289"/>
      <c r="M883" s="290"/>
      <c r="N883" s="288"/>
      <c r="O883" s="286"/>
      <c r="P883" s="286"/>
      <c r="Q883" s="287"/>
      <c r="S883" s="288"/>
      <c r="T883" s="286"/>
      <c r="U883" s="286"/>
      <c r="V883" s="287"/>
      <c r="X883" s="288"/>
      <c r="Y883" s="286"/>
      <c r="Z883" s="286"/>
      <c r="AA883" s="287"/>
      <c r="AC883" s="288"/>
      <c r="AD883" s="286"/>
      <c r="AE883" s="286"/>
      <c r="AF883" s="287"/>
      <c r="AH883" s="288"/>
      <c r="AI883" s="286"/>
      <c r="AJ883" s="286"/>
      <c r="AK883" s="287"/>
      <c r="AM883" s="288"/>
      <c r="AN883" s="286"/>
      <c r="AO883" s="286"/>
      <c r="AP883" s="287"/>
      <c r="AR883" s="288"/>
      <c r="AS883" s="286"/>
      <c r="AT883" s="286"/>
      <c r="AU883" s="287"/>
      <c r="AW883" s="288"/>
      <c r="AX883" s="286"/>
      <c r="AY883" s="286"/>
      <c r="AZ883" s="287"/>
      <c r="BB883" s="288"/>
      <c r="BC883" s="286"/>
      <c r="BD883" s="286"/>
      <c r="BE883" s="287"/>
      <c r="BG883" s="288"/>
      <c r="BH883" s="286"/>
      <c r="BI883" s="286"/>
      <c r="BJ883" s="287"/>
      <c r="BL883" s="288"/>
      <c r="BM883" s="286"/>
      <c r="BN883" s="286"/>
      <c r="BO883" s="289"/>
    </row>
    <row r="884" spans="2:67" s="339" customFormat="1">
      <c r="B884" s="365" t="s">
        <v>416</v>
      </c>
      <c r="C884" s="339" t="s">
        <v>402</v>
      </c>
      <c r="D884" s="330">
        <f>G804</f>
        <v>8942.8518079999994</v>
      </c>
      <c r="E884" s="326">
        <f>H804</f>
        <v>5770.8</v>
      </c>
      <c r="F884" s="326">
        <f>E884-D884</f>
        <v>-3172.0518079999993</v>
      </c>
      <c r="G884" s="287"/>
      <c r="H884" s="284"/>
      <c r="I884" s="288"/>
      <c r="J884" s="286"/>
      <c r="K884" s="286"/>
      <c r="L884" s="289"/>
      <c r="M884" s="290"/>
      <c r="N884" s="288"/>
      <c r="O884" s="286"/>
      <c r="P884" s="286"/>
      <c r="Q884" s="287"/>
      <c r="S884" s="288"/>
      <c r="T884" s="286"/>
      <c r="U884" s="286"/>
      <c r="V884" s="287"/>
      <c r="X884" s="288"/>
      <c r="Y884" s="286"/>
      <c r="Z884" s="286"/>
      <c r="AA884" s="287"/>
      <c r="AC884" s="288"/>
      <c r="AD884" s="286"/>
      <c r="AE884" s="286"/>
      <c r="AF884" s="287"/>
      <c r="AH884" s="288"/>
      <c r="AI884" s="286"/>
      <c r="AJ884" s="286"/>
      <c r="AK884" s="287"/>
      <c r="AM884" s="288"/>
      <c r="AN884" s="286"/>
      <c r="AO884" s="286"/>
      <c r="AP884" s="287"/>
      <c r="AR884" s="288"/>
      <c r="AS884" s="286"/>
      <c r="AT884" s="286"/>
      <c r="AU884" s="287"/>
      <c r="AW884" s="288"/>
      <c r="AX884" s="286"/>
      <c r="AY884" s="286"/>
      <c r="AZ884" s="287"/>
      <c r="BB884" s="288"/>
      <c r="BC884" s="286"/>
      <c r="BD884" s="286"/>
      <c r="BE884" s="287"/>
      <c r="BG884" s="288"/>
      <c r="BH884" s="286"/>
      <c r="BI884" s="286"/>
      <c r="BJ884" s="287"/>
      <c r="BL884" s="288"/>
      <c r="BM884" s="286"/>
      <c r="BN884" s="286"/>
      <c r="BO884" s="289"/>
    </row>
    <row r="885" spans="2:67" s="339" customFormat="1">
      <c r="B885" s="365" t="s">
        <v>417</v>
      </c>
      <c r="C885" s="339" t="s">
        <v>402</v>
      </c>
      <c r="D885" s="330">
        <f>G810</f>
        <v>14728.508545876084</v>
      </c>
      <c r="E885" s="326">
        <f>H810</f>
        <v>13441.580000000002</v>
      </c>
      <c r="F885" s="326">
        <f>E885-D885</f>
        <v>-1286.9285458760824</v>
      </c>
      <c r="G885" s="287"/>
      <c r="H885" s="284"/>
      <c r="I885" s="288"/>
      <c r="J885" s="286"/>
      <c r="K885" s="286"/>
      <c r="L885" s="289"/>
      <c r="M885" s="290"/>
      <c r="N885" s="288"/>
      <c r="O885" s="286"/>
      <c r="P885" s="286"/>
      <c r="Q885" s="287"/>
      <c r="S885" s="288"/>
      <c r="T885" s="286"/>
      <c r="U885" s="286"/>
      <c r="V885" s="287"/>
      <c r="X885" s="288"/>
      <c r="Y885" s="286"/>
      <c r="Z885" s="286"/>
      <c r="AA885" s="287"/>
      <c r="AC885" s="288"/>
      <c r="AD885" s="286"/>
      <c r="AE885" s="286"/>
      <c r="AF885" s="287"/>
      <c r="AH885" s="288"/>
      <c r="AI885" s="286"/>
      <c r="AJ885" s="286"/>
      <c r="AK885" s="287"/>
      <c r="AM885" s="288"/>
      <c r="AN885" s="286"/>
      <c r="AO885" s="286"/>
      <c r="AP885" s="287"/>
      <c r="AR885" s="288"/>
      <c r="AS885" s="286"/>
      <c r="AT885" s="286"/>
      <c r="AU885" s="287"/>
      <c r="AW885" s="288"/>
      <c r="AX885" s="286"/>
      <c r="AY885" s="286"/>
      <c r="AZ885" s="287"/>
      <c r="BB885" s="288"/>
      <c r="BC885" s="286"/>
      <c r="BD885" s="286"/>
      <c r="BE885" s="287"/>
      <c r="BG885" s="288"/>
      <c r="BH885" s="286"/>
      <c r="BI885" s="286"/>
      <c r="BJ885" s="287"/>
      <c r="BL885" s="288"/>
      <c r="BM885" s="286"/>
      <c r="BN885" s="286"/>
      <c r="BO885" s="289"/>
    </row>
    <row r="886" spans="2:67" s="339" customFormat="1">
      <c r="B886" s="339" t="s">
        <v>396</v>
      </c>
      <c r="D886" s="330"/>
      <c r="E886" s="326"/>
      <c r="F886" s="326"/>
      <c r="G886" s="287"/>
      <c r="H886" s="284"/>
      <c r="I886" s="288"/>
      <c r="J886" s="286"/>
      <c r="K886" s="286"/>
      <c r="L886" s="289"/>
      <c r="M886" s="290"/>
      <c r="N886" s="288"/>
      <c r="O886" s="286"/>
      <c r="P886" s="286"/>
      <c r="Q886" s="287"/>
      <c r="S886" s="288"/>
      <c r="T886" s="286"/>
      <c r="U886" s="286"/>
      <c r="V886" s="287"/>
      <c r="X886" s="288"/>
      <c r="Y886" s="286"/>
      <c r="Z886" s="286"/>
      <c r="AA886" s="287"/>
      <c r="AC886" s="288"/>
      <c r="AD886" s="286"/>
      <c r="AE886" s="286"/>
      <c r="AF886" s="287"/>
      <c r="AH886" s="288"/>
      <c r="AI886" s="286"/>
      <c r="AJ886" s="286"/>
      <c r="AK886" s="287"/>
      <c r="AM886" s="288"/>
      <c r="AN886" s="286"/>
      <c r="AO886" s="286"/>
      <c r="AP886" s="287"/>
      <c r="AR886" s="288"/>
      <c r="AS886" s="286"/>
      <c r="AT886" s="286"/>
      <c r="AU886" s="287"/>
      <c r="AW886" s="288"/>
      <c r="AX886" s="286"/>
      <c r="AY886" s="286"/>
      <c r="AZ886" s="287"/>
      <c r="BB886" s="288"/>
      <c r="BC886" s="286"/>
      <c r="BD886" s="286"/>
      <c r="BE886" s="287"/>
      <c r="BG886" s="288"/>
      <c r="BH886" s="286"/>
      <c r="BI886" s="286"/>
      <c r="BJ886" s="287"/>
      <c r="BL886" s="288"/>
      <c r="BM886" s="286"/>
      <c r="BN886" s="286"/>
      <c r="BO886" s="289"/>
    </row>
    <row r="887" spans="2:67" s="339" customFormat="1">
      <c r="B887" s="339" t="s">
        <v>418</v>
      </c>
      <c r="D887" s="330">
        <f>SUM(D883:D885)</f>
        <v>26255.81125831695</v>
      </c>
      <c r="E887" s="326">
        <f>SUM(E883:E885)</f>
        <v>21727.786666666667</v>
      </c>
      <c r="F887" s="326">
        <f>E887-D887</f>
        <v>-4528.0245916502827</v>
      </c>
      <c r="G887" s="287"/>
      <c r="H887" s="284"/>
      <c r="I887" s="288"/>
      <c r="J887" s="286"/>
      <c r="K887" s="286"/>
      <c r="L887" s="289"/>
      <c r="M887" s="290"/>
      <c r="N887" s="288"/>
      <c r="O887" s="286"/>
      <c r="P887" s="286"/>
      <c r="Q887" s="287"/>
      <c r="S887" s="288"/>
      <c r="T887" s="286"/>
      <c r="U887" s="286"/>
      <c r="V887" s="287"/>
      <c r="X887" s="288"/>
      <c r="Y887" s="286"/>
      <c r="Z887" s="286"/>
      <c r="AA887" s="287"/>
      <c r="AC887" s="288"/>
      <c r="AD887" s="286"/>
      <c r="AE887" s="286"/>
      <c r="AF887" s="287"/>
      <c r="AH887" s="288"/>
      <c r="AI887" s="286"/>
      <c r="AJ887" s="286"/>
      <c r="AK887" s="287"/>
      <c r="AM887" s="288"/>
      <c r="AN887" s="286"/>
      <c r="AO887" s="286"/>
      <c r="AP887" s="287"/>
      <c r="AR887" s="288"/>
      <c r="AS887" s="286"/>
      <c r="AT887" s="286"/>
      <c r="AU887" s="287"/>
      <c r="AW887" s="288"/>
      <c r="AX887" s="286"/>
      <c r="AY887" s="286"/>
      <c r="AZ887" s="287"/>
      <c r="BB887" s="288"/>
      <c r="BC887" s="286"/>
      <c r="BD887" s="286"/>
      <c r="BE887" s="287"/>
      <c r="BG887" s="288"/>
      <c r="BH887" s="286"/>
      <c r="BI887" s="286"/>
      <c r="BJ887" s="287"/>
      <c r="BL887" s="288"/>
      <c r="BM887" s="286"/>
      <c r="BN887" s="286"/>
      <c r="BO887" s="289"/>
    </row>
    <row r="888" spans="2:67" s="339" customFormat="1">
      <c r="B888" s="339" t="s">
        <v>396</v>
      </c>
      <c r="D888" s="330"/>
      <c r="E888" s="326"/>
      <c r="F888" s="326"/>
      <c r="G888" s="287"/>
      <c r="H888" s="284"/>
      <c r="I888" s="288"/>
      <c r="J888" s="286"/>
      <c r="K888" s="286"/>
      <c r="L888" s="289"/>
      <c r="M888" s="290"/>
      <c r="N888" s="288"/>
      <c r="O888" s="286"/>
      <c r="P888" s="286"/>
      <c r="Q888" s="287"/>
      <c r="S888" s="288"/>
      <c r="T888" s="286"/>
      <c r="U888" s="286"/>
      <c r="V888" s="287"/>
      <c r="X888" s="288"/>
      <c r="Y888" s="286"/>
      <c r="Z888" s="286"/>
      <c r="AA888" s="287"/>
      <c r="AC888" s="288"/>
      <c r="AD888" s="286"/>
      <c r="AE888" s="286"/>
      <c r="AF888" s="287"/>
      <c r="AH888" s="288"/>
      <c r="AI888" s="286"/>
      <c r="AJ888" s="286"/>
      <c r="AK888" s="287"/>
      <c r="AM888" s="288"/>
      <c r="AN888" s="286"/>
      <c r="AO888" s="286"/>
      <c r="AP888" s="287"/>
      <c r="AR888" s="288"/>
      <c r="AS888" s="286"/>
      <c r="AT888" s="286"/>
      <c r="AU888" s="287"/>
      <c r="AW888" s="288"/>
      <c r="AX888" s="286"/>
      <c r="AY888" s="286"/>
      <c r="AZ888" s="287"/>
      <c r="BB888" s="288"/>
      <c r="BC888" s="286"/>
      <c r="BD888" s="286"/>
      <c r="BE888" s="287"/>
      <c r="BG888" s="288"/>
      <c r="BH888" s="286"/>
      <c r="BI888" s="286"/>
      <c r="BJ888" s="287"/>
      <c r="BL888" s="288"/>
      <c r="BM888" s="286"/>
      <c r="BN888" s="286"/>
      <c r="BO888" s="289"/>
    </row>
    <row r="889" spans="2:67" s="339" customFormat="1">
      <c r="D889" s="305" t="s">
        <v>230</v>
      </c>
      <c r="E889" s="306" t="s">
        <v>218</v>
      </c>
      <c r="F889" s="306" t="s">
        <v>371</v>
      </c>
      <c r="G889" s="287"/>
      <c r="H889" s="284"/>
      <c r="I889" s="288"/>
      <c r="J889" s="286"/>
      <c r="K889" s="286"/>
      <c r="L889" s="289"/>
      <c r="M889" s="290"/>
      <c r="N889" s="288"/>
      <c r="O889" s="286"/>
      <c r="P889" s="286"/>
      <c r="Q889" s="287"/>
      <c r="S889" s="288"/>
      <c r="T889" s="286"/>
      <c r="U889" s="286"/>
      <c r="V889" s="287"/>
      <c r="X889" s="288"/>
      <c r="Y889" s="286"/>
      <c r="Z889" s="286"/>
      <c r="AA889" s="287"/>
      <c r="AC889" s="288"/>
      <c r="AD889" s="286"/>
      <c r="AE889" s="286"/>
      <c r="AF889" s="287"/>
      <c r="AH889" s="288"/>
      <c r="AI889" s="286"/>
      <c r="AJ889" s="286"/>
      <c r="AK889" s="287"/>
      <c r="AM889" s="288"/>
      <c r="AN889" s="286"/>
      <c r="AO889" s="286"/>
      <c r="AP889" s="287"/>
      <c r="AR889" s="288"/>
      <c r="AS889" s="286"/>
      <c r="AT889" s="286"/>
      <c r="AU889" s="287"/>
      <c r="AW889" s="288"/>
      <c r="AX889" s="286"/>
      <c r="AY889" s="286"/>
      <c r="AZ889" s="287"/>
      <c r="BB889" s="288"/>
      <c r="BC889" s="286"/>
      <c r="BD889" s="286"/>
      <c r="BE889" s="287"/>
      <c r="BG889" s="288"/>
      <c r="BH889" s="286"/>
      <c r="BI889" s="286"/>
      <c r="BJ889" s="287"/>
      <c r="BL889" s="288"/>
      <c r="BM889" s="286"/>
      <c r="BN889" s="286"/>
      <c r="BO889" s="289"/>
    </row>
    <row r="890" spans="2:67" s="339" customFormat="1">
      <c r="B890" s="339" t="s">
        <v>419</v>
      </c>
      <c r="D890" s="330">
        <f>SUM(D887+D879+D877+D871+D861+D853+D881)</f>
        <v>384913.01239217632</v>
      </c>
      <c r="E890" s="326">
        <f>SUM(E887+E879+E877+E871+E861+E853+E881)</f>
        <v>362829.2533333333</v>
      </c>
      <c r="F890" s="326">
        <f>SUM(F887+F879+F877+F871+F861+F853+F881)</f>
        <v>-22083.759058842996</v>
      </c>
      <c r="G890" s="287"/>
      <c r="H890" s="284"/>
      <c r="I890" s="288"/>
      <c r="J890" s="286"/>
      <c r="K890" s="286"/>
      <c r="L890" s="289"/>
      <c r="M890" s="290"/>
      <c r="N890" s="288"/>
      <c r="O890" s="286"/>
      <c r="P890" s="286"/>
      <c r="Q890" s="287"/>
      <c r="S890" s="288"/>
      <c r="T890" s="286"/>
      <c r="U890" s="286"/>
      <c r="V890" s="287"/>
      <c r="X890" s="288"/>
      <c r="Y890" s="286"/>
      <c r="Z890" s="286"/>
      <c r="AA890" s="287"/>
      <c r="AC890" s="288"/>
      <c r="AD890" s="286"/>
      <c r="AE890" s="286"/>
      <c r="AF890" s="287"/>
      <c r="AH890" s="288"/>
      <c r="AI890" s="286"/>
      <c r="AJ890" s="286"/>
      <c r="AK890" s="287"/>
      <c r="AM890" s="288"/>
      <c r="AN890" s="286"/>
      <c r="AO890" s="286"/>
      <c r="AP890" s="287"/>
      <c r="AR890" s="288"/>
      <c r="AS890" s="286"/>
      <c r="AT890" s="286"/>
      <c r="AU890" s="287"/>
      <c r="AW890" s="288"/>
      <c r="AX890" s="286"/>
      <c r="AY890" s="286"/>
      <c r="AZ890" s="287"/>
      <c r="BB890" s="288"/>
      <c r="BC890" s="286"/>
      <c r="BD890" s="286"/>
      <c r="BE890" s="287"/>
      <c r="BG890" s="288"/>
      <c r="BH890" s="286"/>
      <c r="BI890" s="286"/>
      <c r="BJ890" s="287"/>
      <c r="BL890" s="288"/>
      <c r="BM890" s="286"/>
      <c r="BN890" s="286"/>
      <c r="BO890" s="289"/>
    </row>
    <row r="891" spans="2:67" s="339" customFormat="1">
      <c r="B891" s="339" t="s">
        <v>396</v>
      </c>
      <c r="D891" s="288"/>
      <c r="E891" s="286"/>
      <c r="F891" s="286"/>
      <c r="G891" s="287"/>
      <c r="H891" s="284"/>
      <c r="I891" s="288"/>
      <c r="J891" s="286"/>
      <c r="K891" s="286"/>
      <c r="L891" s="289"/>
      <c r="M891" s="290"/>
      <c r="N891" s="288"/>
      <c r="O891" s="286"/>
      <c r="P891" s="286"/>
      <c r="Q891" s="287"/>
      <c r="S891" s="288"/>
      <c r="T891" s="286"/>
      <c r="U891" s="286"/>
      <c r="V891" s="287"/>
      <c r="X891" s="288"/>
      <c r="Y891" s="286"/>
      <c r="Z891" s="286"/>
      <c r="AA891" s="287"/>
      <c r="AC891" s="288"/>
      <c r="AD891" s="286"/>
      <c r="AE891" s="286"/>
      <c r="AF891" s="287"/>
      <c r="AH891" s="288"/>
      <c r="AI891" s="286"/>
      <c r="AJ891" s="286"/>
      <c r="AK891" s="287"/>
      <c r="AM891" s="288"/>
      <c r="AN891" s="286"/>
      <c r="AO891" s="286"/>
      <c r="AP891" s="287"/>
      <c r="AR891" s="288"/>
      <c r="AS891" s="286"/>
      <c r="AT891" s="286"/>
      <c r="AU891" s="287"/>
      <c r="AW891" s="288"/>
      <c r="AX891" s="286"/>
      <c r="AY891" s="286"/>
      <c r="AZ891" s="287"/>
      <c r="BB891" s="288"/>
      <c r="BC891" s="286"/>
      <c r="BD891" s="286"/>
      <c r="BE891" s="287"/>
      <c r="BG891" s="288"/>
      <c r="BH891" s="286"/>
      <c r="BI891" s="286"/>
      <c r="BJ891" s="287"/>
      <c r="BL891" s="288"/>
      <c r="BM891" s="286"/>
      <c r="BN891" s="286"/>
      <c r="BO891" s="289"/>
    </row>
    <row r="892" spans="2:67" s="339" customFormat="1">
      <c r="D892" s="288"/>
      <c r="E892" s="286"/>
      <c r="F892" s="286"/>
      <c r="G892" s="287"/>
      <c r="H892" s="284"/>
      <c r="I892" s="288"/>
      <c r="J892" s="286"/>
      <c r="K892" s="286"/>
      <c r="L892" s="289"/>
      <c r="M892" s="290"/>
      <c r="N892" s="288"/>
      <c r="O892" s="286"/>
      <c r="P892" s="286"/>
      <c r="Q892" s="287"/>
      <c r="S892" s="288"/>
      <c r="T892" s="286"/>
      <c r="U892" s="286"/>
      <c r="V892" s="287"/>
      <c r="X892" s="288"/>
      <c r="Y892" s="286"/>
      <c r="Z892" s="286"/>
      <c r="AA892" s="287"/>
      <c r="AC892" s="288"/>
      <c r="AD892" s="286"/>
      <c r="AE892" s="286"/>
      <c r="AF892" s="287"/>
      <c r="AH892" s="288"/>
      <c r="AI892" s="286"/>
      <c r="AJ892" s="286"/>
      <c r="AK892" s="287"/>
      <c r="AM892" s="288"/>
      <c r="AN892" s="286"/>
      <c r="AO892" s="286"/>
      <c r="AP892" s="287"/>
      <c r="AR892" s="288"/>
      <c r="AS892" s="286"/>
      <c r="AT892" s="286"/>
      <c r="AU892" s="287"/>
      <c r="AW892" s="288"/>
      <c r="AX892" s="286"/>
      <c r="AY892" s="286"/>
      <c r="AZ892" s="287"/>
      <c r="BB892" s="288"/>
      <c r="BC892" s="286"/>
      <c r="BD892" s="286"/>
      <c r="BE892" s="287"/>
      <c r="BG892" s="288"/>
      <c r="BH892" s="286"/>
      <c r="BI892" s="286"/>
      <c r="BJ892" s="287"/>
      <c r="BL892" s="288"/>
      <c r="BM892" s="286"/>
      <c r="BN892" s="286"/>
      <c r="BO892" s="289"/>
    </row>
    <row r="893" spans="2:67" s="339" customFormat="1">
      <c r="B893" s="339" t="s">
        <v>90</v>
      </c>
      <c r="D893" s="288"/>
      <c r="E893" s="286"/>
      <c r="F893" s="286"/>
      <c r="G893" s="287"/>
      <c r="H893" s="284"/>
      <c r="I893" s="288"/>
      <c r="J893" s="286"/>
      <c r="K893" s="286"/>
      <c r="L893" s="289"/>
      <c r="M893" s="290"/>
      <c r="N893" s="288"/>
      <c r="O893" s="286"/>
      <c r="P893" s="286"/>
      <c r="Q893" s="287"/>
      <c r="S893" s="288"/>
      <c r="T893" s="286"/>
      <c r="U893" s="286"/>
      <c r="V893" s="287"/>
      <c r="X893" s="288"/>
      <c r="Y893" s="286"/>
      <c r="Z893" s="286"/>
      <c r="AA893" s="287"/>
      <c r="AC893" s="288"/>
      <c r="AD893" s="286"/>
      <c r="AE893" s="286"/>
      <c r="AF893" s="287"/>
      <c r="AH893" s="288"/>
      <c r="AI893" s="286"/>
      <c r="AJ893" s="286"/>
      <c r="AK893" s="287"/>
      <c r="AM893" s="288"/>
      <c r="AN893" s="286"/>
      <c r="AO893" s="286"/>
      <c r="AP893" s="287"/>
      <c r="AR893" s="288"/>
      <c r="AS893" s="286"/>
      <c r="AT893" s="286"/>
      <c r="AU893" s="287"/>
      <c r="AW893" s="288"/>
      <c r="AX893" s="286"/>
      <c r="AY893" s="286"/>
      <c r="AZ893" s="287"/>
      <c r="BB893" s="288"/>
      <c r="BC893" s="286"/>
      <c r="BD893" s="286"/>
      <c r="BE893" s="287"/>
      <c r="BG893" s="288"/>
      <c r="BH893" s="286"/>
      <c r="BI893" s="286"/>
      <c r="BJ893" s="287"/>
      <c r="BL893" s="288"/>
      <c r="BM893" s="286"/>
      <c r="BN893" s="286"/>
      <c r="BO893" s="289"/>
    </row>
    <row r="894" spans="2:67" s="339" customFormat="1">
      <c r="B894" s="339" t="s">
        <v>456</v>
      </c>
      <c r="D894" s="288"/>
      <c r="E894" s="286"/>
      <c r="F894" s="286"/>
      <c r="G894" s="287"/>
      <c r="H894" s="284"/>
      <c r="I894" s="288"/>
      <c r="J894" s="286"/>
      <c r="K894" s="286"/>
      <c r="L894" s="289"/>
      <c r="M894" s="290"/>
      <c r="N894" s="288"/>
      <c r="O894" s="286"/>
      <c r="P894" s="286"/>
      <c r="Q894" s="287"/>
      <c r="S894" s="288"/>
      <c r="T894" s="286"/>
      <c r="U894" s="286"/>
      <c r="V894" s="287"/>
      <c r="X894" s="288"/>
      <c r="Y894" s="286"/>
      <c r="Z894" s="286"/>
      <c r="AA894" s="287"/>
      <c r="AC894" s="288"/>
      <c r="AD894" s="286"/>
      <c r="AE894" s="286"/>
      <c r="AF894" s="287"/>
      <c r="AH894" s="288"/>
      <c r="AI894" s="286"/>
      <c r="AJ894" s="286"/>
      <c r="AK894" s="287"/>
      <c r="AM894" s="288"/>
      <c r="AN894" s="286"/>
      <c r="AO894" s="286"/>
      <c r="AP894" s="287"/>
      <c r="AR894" s="288"/>
      <c r="AS894" s="286"/>
      <c r="AT894" s="286"/>
      <c r="AU894" s="287"/>
      <c r="AW894" s="288"/>
      <c r="AX894" s="286"/>
      <c r="AY894" s="286"/>
      <c r="AZ894" s="287"/>
      <c r="BB894" s="288"/>
      <c r="BC894" s="286"/>
      <c r="BD894" s="286"/>
      <c r="BE894" s="287"/>
      <c r="BG894" s="288"/>
      <c r="BH894" s="286"/>
      <c r="BI894" s="286"/>
      <c r="BJ894" s="287"/>
      <c r="BL894" s="288"/>
      <c r="BM894" s="286"/>
      <c r="BN894" s="286"/>
      <c r="BO894" s="289"/>
    </row>
    <row r="895" spans="2:67" s="339" customFormat="1">
      <c r="B895" s="339" t="str">
        <f>D3</f>
        <v>3-year averages</v>
      </c>
      <c r="D895" s="288"/>
      <c r="E895" s="286"/>
      <c r="F895" s="286"/>
      <c r="G895" s="287"/>
      <c r="H895" s="284"/>
      <c r="I895" s="288"/>
      <c r="J895" s="286"/>
      <c r="K895" s="286"/>
      <c r="L895" s="289"/>
      <c r="M895" s="290"/>
      <c r="N895" s="288"/>
      <c r="O895" s="286"/>
      <c r="P895" s="286"/>
      <c r="Q895" s="287"/>
      <c r="S895" s="288"/>
      <c r="T895" s="286"/>
      <c r="U895" s="286"/>
      <c r="V895" s="287"/>
      <c r="X895" s="288"/>
      <c r="Y895" s="286"/>
      <c r="Z895" s="286"/>
      <c r="AA895" s="287"/>
      <c r="AC895" s="288"/>
      <c r="AD895" s="286"/>
      <c r="AE895" s="286"/>
      <c r="AF895" s="287"/>
      <c r="AH895" s="288"/>
      <c r="AI895" s="286"/>
      <c r="AJ895" s="286"/>
      <c r="AK895" s="287"/>
      <c r="AM895" s="288"/>
      <c r="AN895" s="286"/>
      <c r="AO895" s="286"/>
      <c r="AP895" s="287"/>
      <c r="AR895" s="288"/>
      <c r="AS895" s="286"/>
      <c r="AT895" s="286"/>
      <c r="AU895" s="287"/>
      <c r="AW895" s="288"/>
      <c r="AX895" s="286"/>
      <c r="AY895" s="286"/>
      <c r="AZ895" s="287"/>
      <c r="BB895" s="288"/>
      <c r="BC895" s="286"/>
      <c r="BD895" s="286"/>
      <c r="BE895" s="287"/>
      <c r="BG895" s="288"/>
      <c r="BH895" s="286"/>
      <c r="BI895" s="286"/>
      <c r="BJ895" s="287"/>
      <c r="BL895" s="288"/>
      <c r="BM895" s="286"/>
      <c r="BN895" s="286"/>
      <c r="BO895" s="289"/>
    </row>
    <row r="896" spans="2:67" s="339" customFormat="1">
      <c r="B896" s="339" t="s">
        <v>370</v>
      </c>
      <c r="D896" s="288"/>
      <c r="E896" s="286"/>
      <c r="F896" s="286" t="s">
        <v>371</v>
      </c>
      <c r="G896" s="287" t="s">
        <v>372</v>
      </c>
      <c r="H896" s="358">
        <f>SUM(H918-G918)</f>
        <v>-25581.131949277828</v>
      </c>
      <c r="I896" s="288"/>
      <c r="J896" s="286"/>
      <c r="K896" s="286"/>
      <c r="L896" s="289"/>
      <c r="M896" s="290"/>
      <c r="N896" s="288"/>
      <c r="O896" s="286"/>
      <c r="P896" s="286"/>
      <c r="Q896" s="287"/>
      <c r="S896" s="288"/>
      <c r="T896" s="286"/>
      <c r="U896" s="286"/>
      <c r="V896" s="287"/>
      <c r="X896" s="288"/>
      <c r="Y896" s="286"/>
      <c r="Z896" s="286"/>
      <c r="AA896" s="287"/>
      <c r="AC896" s="288"/>
      <c r="AD896" s="286"/>
      <c r="AE896" s="286"/>
      <c r="AF896" s="287"/>
      <c r="AH896" s="288"/>
      <c r="AI896" s="286"/>
      <c r="AJ896" s="286"/>
      <c r="AK896" s="287"/>
      <c r="AM896" s="288"/>
      <c r="AN896" s="286"/>
      <c r="AO896" s="286"/>
      <c r="AP896" s="287"/>
      <c r="AR896" s="288"/>
      <c r="AS896" s="286"/>
      <c r="AT896" s="286"/>
      <c r="AU896" s="287"/>
      <c r="AW896" s="288"/>
      <c r="AX896" s="286"/>
      <c r="AY896" s="286"/>
      <c r="AZ896" s="287"/>
      <c r="BB896" s="288"/>
      <c r="BC896" s="286"/>
      <c r="BD896" s="286"/>
      <c r="BE896" s="287"/>
      <c r="BG896" s="288"/>
      <c r="BH896" s="286"/>
      <c r="BI896" s="286"/>
      <c r="BJ896" s="287"/>
      <c r="BL896" s="288"/>
      <c r="BM896" s="286"/>
      <c r="BN896" s="286"/>
      <c r="BO896" s="289"/>
    </row>
    <row r="897" spans="2:67" s="339" customFormat="1">
      <c r="D897" s="288"/>
      <c r="E897" s="286"/>
      <c r="F897" s="286"/>
      <c r="G897" s="287"/>
      <c r="H897" s="284"/>
      <c r="I897" s="288"/>
      <c r="J897" s="286"/>
      <c r="K897" s="286"/>
      <c r="L897" s="289"/>
      <c r="M897" s="290"/>
      <c r="N897" s="288"/>
      <c r="O897" s="286"/>
      <c r="P897" s="286"/>
      <c r="Q897" s="287"/>
      <c r="S897" s="288"/>
      <c r="T897" s="286"/>
      <c r="U897" s="286"/>
      <c r="V897" s="287"/>
      <c r="X897" s="288"/>
      <c r="Y897" s="286"/>
      <c r="Z897" s="286"/>
      <c r="AA897" s="287"/>
      <c r="AC897" s="288"/>
      <c r="AD897" s="286"/>
      <c r="AE897" s="286"/>
      <c r="AF897" s="287"/>
      <c r="AH897" s="288"/>
      <c r="AI897" s="286"/>
      <c r="AJ897" s="286"/>
      <c r="AK897" s="287"/>
      <c r="AM897" s="288"/>
      <c r="AN897" s="286"/>
      <c r="AO897" s="286"/>
      <c r="AP897" s="287"/>
      <c r="AR897" s="288"/>
      <c r="AS897" s="286"/>
      <c r="AT897" s="286"/>
      <c r="AU897" s="287"/>
      <c r="AW897" s="288"/>
      <c r="AX897" s="286"/>
      <c r="AY897" s="286"/>
      <c r="AZ897" s="287"/>
      <c r="BB897" s="288"/>
      <c r="BC897" s="286"/>
      <c r="BD897" s="286"/>
      <c r="BE897" s="287"/>
      <c r="BG897" s="288"/>
      <c r="BH897" s="286"/>
      <c r="BI897" s="286"/>
      <c r="BJ897" s="287"/>
      <c r="BL897" s="288"/>
      <c r="BM897" s="286"/>
      <c r="BN897" s="286"/>
      <c r="BO897" s="289"/>
    </row>
    <row r="898" spans="2:67">
      <c r="C898" s="284" t="s">
        <v>216</v>
      </c>
      <c r="E898" s="286" t="s">
        <v>374</v>
      </c>
      <c r="G898" s="287" t="s">
        <v>345</v>
      </c>
      <c r="I898" s="305" t="s">
        <v>218</v>
      </c>
    </row>
    <row r="899" spans="2:67">
      <c r="C899" s="304" t="s">
        <v>230</v>
      </c>
      <c r="D899" s="305" t="s">
        <v>218</v>
      </c>
      <c r="E899" s="306" t="s">
        <v>230</v>
      </c>
      <c r="F899" s="306" t="s">
        <v>218</v>
      </c>
      <c r="G899" s="303" t="s">
        <v>230</v>
      </c>
      <c r="H899" s="304" t="s">
        <v>218</v>
      </c>
      <c r="I899" s="305" t="s">
        <v>55</v>
      </c>
    </row>
    <row r="900" spans="2:67">
      <c r="B900" s="283" t="s">
        <v>242</v>
      </c>
      <c r="C900" s="284">
        <f t="shared" ref="C900:C915" si="96">R78+W78+AB78</f>
        <v>1049434.2888063465</v>
      </c>
      <c r="D900" s="288">
        <f t="shared" ref="D900:D915" si="97">S78+X78+AC78</f>
        <v>1216361.3333333335</v>
      </c>
      <c r="E900" s="326">
        <f t="shared" ref="E900:E918" si="98">IF(C900=0,0,+G900/C900)</f>
        <v>0.1448446069286963</v>
      </c>
      <c r="F900" s="326">
        <f t="shared" ref="F900:F918" si="99">IF(D900=0,0,+H900/D900)</f>
        <v>0.14696872146544174</v>
      </c>
      <c r="G900" s="327">
        <f t="shared" ref="G900:G915" si="100">T78+Y78+AD78</f>
        <v>152004.89705965121</v>
      </c>
      <c r="H900" s="358">
        <f t="shared" ref="H900:H915" si="101">U78+Z78+AE78</f>
        <v>178767.07</v>
      </c>
      <c r="I900" s="330">
        <f t="shared" ref="I900:I918" si="102">D900/F$924</f>
        <v>325.45051874673135</v>
      </c>
    </row>
    <row r="901" spans="2:67">
      <c r="B901" s="283" t="s">
        <v>127</v>
      </c>
      <c r="C901" s="284">
        <f t="shared" si="96"/>
        <v>0</v>
      </c>
      <c r="D901" s="288">
        <f t="shared" si="97"/>
        <v>0</v>
      </c>
      <c r="E901" s="326">
        <f t="shared" si="98"/>
        <v>0</v>
      </c>
      <c r="F901" s="326">
        <f t="shared" si="99"/>
        <v>0</v>
      </c>
      <c r="G901" s="327">
        <f t="shared" si="100"/>
        <v>0</v>
      </c>
      <c r="H901" s="358">
        <f t="shared" si="101"/>
        <v>0</v>
      </c>
      <c r="I901" s="330">
        <f t="shared" si="102"/>
        <v>0</v>
      </c>
    </row>
    <row r="902" spans="2:67">
      <c r="B902" s="283" t="s">
        <v>245</v>
      </c>
      <c r="C902" s="284">
        <f t="shared" si="96"/>
        <v>0</v>
      </c>
      <c r="D902" s="288">
        <f t="shared" si="97"/>
        <v>0</v>
      </c>
      <c r="E902" s="326">
        <f t="shared" si="98"/>
        <v>0</v>
      </c>
      <c r="F902" s="326">
        <f t="shared" si="99"/>
        <v>0</v>
      </c>
      <c r="G902" s="327">
        <f t="shared" si="100"/>
        <v>0</v>
      </c>
      <c r="H902" s="358">
        <f t="shared" si="101"/>
        <v>0</v>
      </c>
      <c r="I902" s="330">
        <f t="shared" si="102"/>
        <v>0</v>
      </c>
    </row>
    <row r="903" spans="2:67">
      <c r="B903" s="283" t="s">
        <v>61</v>
      </c>
      <c r="C903" s="284">
        <f t="shared" si="96"/>
        <v>219476.65827917564</v>
      </c>
      <c r="D903" s="288">
        <f t="shared" si="97"/>
        <v>214153.33333333334</v>
      </c>
      <c r="E903" s="326">
        <f t="shared" si="98"/>
        <v>0.22575601492440941</v>
      </c>
      <c r="F903" s="326">
        <f t="shared" si="99"/>
        <v>0.21036399153254673</v>
      </c>
      <c r="G903" s="327">
        <f t="shared" si="100"/>
        <v>49548.175742033083</v>
      </c>
      <c r="H903" s="358">
        <f t="shared" si="101"/>
        <v>45050.149999999994</v>
      </c>
      <c r="I903" s="330">
        <f t="shared" si="102"/>
        <v>57.299020870449951</v>
      </c>
    </row>
    <row r="904" spans="2:67">
      <c r="B904" s="283" t="s">
        <v>66</v>
      </c>
      <c r="C904" s="284">
        <f t="shared" si="96"/>
        <v>152065.50164833144</v>
      </c>
      <c r="D904" s="288">
        <f t="shared" si="97"/>
        <v>158692.87666666668</v>
      </c>
      <c r="E904" s="326">
        <f t="shared" si="98"/>
        <v>0.27701781144900317</v>
      </c>
      <c r="F904" s="326">
        <f t="shared" si="99"/>
        <v>0.2800732517651548</v>
      </c>
      <c r="G904" s="327">
        <f t="shared" si="100"/>
        <v>42124.852463515563</v>
      </c>
      <c r="H904" s="358">
        <f t="shared" si="101"/>
        <v>44445.63</v>
      </c>
      <c r="I904" s="330">
        <f t="shared" si="102"/>
        <v>42.459980942541513</v>
      </c>
    </row>
    <row r="905" spans="2:67">
      <c r="B905" s="283" t="s">
        <v>60</v>
      </c>
      <c r="C905" s="284">
        <f t="shared" si="96"/>
        <v>5828.9223487853114</v>
      </c>
      <c r="D905" s="288">
        <f t="shared" si="97"/>
        <v>2369</v>
      </c>
      <c r="E905" s="326">
        <f t="shared" si="98"/>
        <v>0.76899174512714674</v>
      </c>
      <c r="F905" s="326">
        <f t="shared" si="99"/>
        <v>0.80581539327423668</v>
      </c>
      <c r="G905" s="327">
        <f t="shared" si="100"/>
        <v>4482.3931692030437</v>
      </c>
      <c r="H905" s="358">
        <f t="shared" si="101"/>
        <v>1908.9766666666667</v>
      </c>
      <c r="I905" s="330">
        <f t="shared" si="102"/>
        <v>0.63385135467778198</v>
      </c>
    </row>
    <row r="906" spans="2:67">
      <c r="B906" s="283" t="s">
        <v>62</v>
      </c>
      <c r="C906" s="284">
        <f t="shared" si="96"/>
        <v>6928.9006666666673</v>
      </c>
      <c r="D906" s="288">
        <f t="shared" si="97"/>
        <v>5800</v>
      </c>
      <c r="E906" s="326">
        <f t="shared" si="98"/>
        <v>1.3980294470955514</v>
      </c>
      <c r="F906" s="326">
        <f t="shared" si="99"/>
        <v>1.4762793103448275</v>
      </c>
      <c r="G906" s="327">
        <f t="shared" si="100"/>
        <v>9686.8071679999994</v>
      </c>
      <c r="H906" s="358">
        <f t="shared" si="101"/>
        <v>8562.42</v>
      </c>
      <c r="I906" s="330">
        <f t="shared" si="102"/>
        <v>1.5518521980291833</v>
      </c>
    </row>
    <row r="907" spans="2:67">
      <c r="B907" s="283" t="s">
        <v>262</v>
      </c>
      <c r="C907" s="284">
        <f t="shared" si="96"/>
        <v>74172.441700952142</v>
      </c>
      <c r="D907" s="288">
        <f t="shared" si="97"/>
        <v>70628</v>
      </c>
      <c r="E907" s="326">
        <f t="shared" si="98"/>
        <v>0.34081769501983505</v>
      </c>
      <c r="F907" s="326">
        <f t="shared" si="99"/>
        <v>0.28328113496063889</v>
      </c>
      <c r="G907" s="327">
        <f t="shared" si="100"/>
        <v>25279.280614511605</v>
      </c>
      <c r="H907" s="358">
        <f t="shared" si="101"/>
        <v>20007.580000000002</v>
      </c>
      <c r="I907" s="330">
        <f t="shared" si="102"/>
        <v>18.897278800414682</v>
      </c>
    </row>
    <row r="908" spans="2:67">
      <c r="B908" s="283" t="s">
        <v>326</v>
      </c>
      <c r="C908" s="284">
        <f t="shared" si="96"/>
        <v>0</v>
      </c>
      <c r="D908" s="288">
        <f t="shared" si="97"/>
        <v>-8.6</v>
      </c>
      <c r="E908" s="326">
        <f t="shared" si="98"/>
        <v>0</v>
      </c>
      <c r="F908" s="326">
        <f t="shared" si="99"/>
        <v>-3.6825581395348839</v>
      </c>
      <c r="G908" s="327">
        <f t="shared" si="100"/>
        <v>0</v>
      </c>
      <c r="H908" s="358">
        <f t="shared" si="101"/>
        <v>31.67</v>
      </c>
      <c r="I908" s="330">
        <f t="shared" si="102"/>
        <v>-2.3010222246639613E-3</v>
      </c>
    </row>
    <row r="909" spans="2:67">
      <c r="B909" s="283" t="s">
        <v>72</v>
      </c>
      <c r="C909" s="284">
        <f t="shared" si="96"/>
        <v>15316.905641402635</v>
      </c>
      <c r="D909" s="288">
        <f t="shared" si="97"/>
        <v>12098.666666666666</v>
      </c>
      <c r="E909" s="326">
        <f t="shared" si="98"/>
        <v>0.16464377863828</v>
      </c>
      <c r="F909" s="326">
        <f t="shared" si="99"/>
        <v>0.16352463081331278</v>
      </c>
      <c r="G909" s="327">
        <f t="shared" si="100"/>
        <v>2521.8332218465175</v>
      </c>
      <c r="H909" s="358">
        <f t="shared" si="101"/>
        <v>1978.43</v>
      </c>
      <c r="I909" s="330">
        <f t="shared" si="102"/>
        <v>3.2371280103257032</v>
      </c>
    </row>
    <row r="910" spans="2:67">
      <c r="B910" s="283" t="s">
        <v>54</v>
      </c>
      <c r="C910" s="284">
        <f t="shared" si="96"/>
        <v>31632.357937852037</v>
      </c>
      <c r="D910" s="288">
        <f t="shared" si="97"/>
        <v>28180.333333333332</v>
      </c>
      <c r="E910" s="326">
        <f t="shared" si="98"/>
        <v>0.71850476565405119</v>
      </c>
      <c r="F910" s="326">
        <f t="shared" si="99"/>
        <v>0.46490353792834244</v>
      </c>
      <c r="G910" s="327">
        <f t="shared" si="100"/>
        <v>22727.999927221445</v>
      </c>
      <c r="H910" s="358">
        <f t="shared" si="101"/>
        <v>13101.136666666665</v>
      </c>
      <c r="I910" s="330">
        <f t="shared" si="102"/>
        <v>7.5399503835393782</v>
      </c>
    </row>
    <row r="911" spans="2:67">
      <c r="B911" s="283" t="s">
        <v>269</v>
      </c>
      <c r="C911" s="284">
        <f t="shared" si="96"/>
        <v>94909.047390420776</v>
      </c>
      <c r="D911" s="288">
        <f t="shared" si="97"/>
        <v>100195.66666666667</v>
      </c>
      <c r="E911" s="326">
        <f t="shared" si="98"/>
        <v>0.22342023415857429</v>
      </c>
      <c r="F911" s="326">
        <f t="shared" si="99"/>
        <v>0.19832501072900688</v>
      </c>
      <c r="G911" s="327">
        <f t="shared" si="100"/>
        <v>21204.601591735034</v>
      </c>
      <c r="H911" s="358">
        <f t="shared" si="101"/>
        <v>19871.306666666664</v>
      </c>
      <c r="I911" s="330">
        <f t="shared" si="102"/>
        <v>26.808425094770008</v>
      </c>
    </row>
    <row r="912" spans="2:67">
      <c r="B912" s="283" t="s">
        <v>274</v>
      </c>
      <c r="C912" s="284">
        <f t="shared" si="96"/>
        <v>4526.8896238162806</v>
      </c>
      <c r="D912" s="288">
        <f t="shared" si="97"/>
        <v>3787</v>
      </c>
      <c r="E912" s="326">
        <f t="shared" si="98"/>
        <v>3.0655673134022017</v>
      </c>
      <c r="F912" s="326">
        <f t="shared" si="99"/>
        <v>2.2319945427339145</v>
      </c>
      <c r="G912" s="327">
        <f t="shared" si="100"/>
        <v>13877.484862150779</v>
      </c>
      <c r="H912" s="358">
        <f t="shared" si="101"/>
        <v>8452.5633333333335</v>
      </c>
      <c r="I912" s="330">
        <f t="shared" si="102"/>
        <v>1.0132524610235374</v>
      </c>
    </row>
    <row r="913" spans="1:67">
      <c r="B913" s="283" t="s">
        <v>279</v>
      </c>
      <c r="C913" s="284">
        <f t="shared" si="96"/>
        <v>4151.715470733754</v>
      </c>
      <c r="D913" s="288">
        <f t="shared" si="97"/>
        <v>2092.3333333333335</v>
      </c>
      <c r="E913" s="326">
        <f t="shared" si="98"/>
        <v>1.1947484531654455</v>
      </c>
      <c r="F913" s="326">
        <f t="shared" si="99"/>
        <v>0.93697148319260781</v>
      </c>
      <c r="G913" s="327">
        <f t="shared" si="100"/>
        <v>4960.2556366422023</v>
      </c>
      <c r="H913" s="358">
        <f t="shared" si="101"/>
        <v>1960.4566666666665</v>
      </c>
      <c r="I913" s="330">
        <f t="shared" si="102"/>
        <v>0.55982622109363134</v>
      </c>
    </row>
    <row r="914" spans="1:67">
      <c r="B914" s="283" t="s">
        <v>65</v>
      </c>
      <c r="C914" s="284">
        <f t="shared" si="96"/>
        <v>21488.408335158325</v>
      </c>
      <c r="D914" s="288">
        <f t="shared" si="97"/>
        <v>30823.666666666664</v>
      </c>
      <c r="E914" s="326">
        <f t="shared" si="98"/>
        <v>0.16866399999999995</v>
      </c>
      <c r="F914" s="326">
        <f t="shared" si="99"/>
        <v>0.10619675357679706</v>
      </c>
      <c r="G914" s="327">
        <f t="shared" si="100"/>
        <v>3624.3209034411429</v>
      </c>
      <c r="H914" s="358">
        <f t="shared" si="101"/>
        <v>3273.3733333333334</v>
      </c>
      <c r="I914" s="330">
        <f t="shared" si="102"/>
        <v>8.2472025634457822</v>
      </c>
    </row>
    <row r="915" spans="1:67">
      <c r="B915" s="283" t="s">
        <v>280</v>
      </c>
      <c r="C915" s="284">
        <f t="shared" si="96"/>
        <v>715</v>
      </c>
      <c r="D915" s="288">
        <f t="shared" si="97"/>
        <v>715</v>
      </c>
      <c r="E915" s="326">
        <f t="shared" si="98"/>
        <v>2.290797202797203</v>
      </c>
      <c r="F915" s="326">
        <f t="shared" si="99"/>
        <v>2.290797202797203</v>
      </c>
      <c r="G915" s="327">
        <f t="shared" si="100"/>
        <v>1637.92</v>
      </c>
      <c r="H915" s="358">
        <f t="shared" si="101"/>
        <v>1637.92</v>
      </c>
      <c r="I915" s="330">
        <f t="shared" si="102"/>
        <v>0.19130591751566656</v>
      </c>
    </row>
    <row r="916" spans="1:67">
      <c r="B916" s="283" t="s">
        <v>283</v>
      </c>
      <c r="C916" s="284">
        <f>R77+W77+AB77</f>
        <v>4455</v>
      </c>
      <c r="D916" s="288">
        <f>S77+X77+AC77</f>
        <v>4455</v>
      </c>
      <c r="E916" s="326">
        <f t="shared" si="98"/>
        <v>0.36142312008978672</v>
      </c>
      <c r="F916" s="326">
        <f t="shared" si="99"/>
        <v>0.36142312008978672</v>
      </c>
      <c r="G916" s="327">
        <f>T77+Y77+AD77</f>
        <v>1610.1399999999999</v>
      </c>
      <c r="H916" s="358">
        <f>U77+Z77+AE77</f>
        <v>1610.1399999999999</v>
      </c>
      <c r="I916" s="330">
        <f t="shared" si="102"/>
        <v>1.1919830245206917</v>
      </c>
    </row>
    <row r="917" spans="1:67">
      <c r="B917" s="283" t="s">
        <v>63</v>
      </c>
      <c r="C917" s="284">
        <f>R94+W94+AB94</f>
        <v>113756.32130268916</v>
      </c>
      <c r="D917" s="288">
        <f>S94+X94+AC94</f>
        <v>107559</v>
      </c>
      <c r="E917" s="326">
        <f t="shared" si="98"/>
        <v>0.78562151007731962</v>
      </c>
      <c r="F917" s="326">
        <f t="shared" si="99"/>
        <v>0.63611989698677007</v>
      </c>
      <c r="G917" s="327">
        <f>T94+Y94+AD94</f>
        <v>89369.412922659423</v>
      </c>
      <c r="H917" s="358">
        <f>U94+Z94+AE94</f>
        <v>68420.42</v>
      </c>
      <c r="I917" s="330">
        <f t="shared" si="102"/>
        <v>28.778563891003607</v>
      </c>
    </row>
    <row r="918" spans="1:67">
      <c r="B918" s="283" t="s">
        <v>13</v>
      </c>
      <c r="C918" s="284">
        <f>SUM(C900:C917)</f>
        <v>1798858.3591523306</v>
      </c>
      <c r="D918" s="288">
        <f>SUM(D900:D917)</f>
        <v>1957902.61</v>
      </c>
      <c r="E918" s="326">
        <f t="shared" si="98"/>
        <v>0.24719032102791394</v>
      </c>
      <c r="F918" s="326">
        <f t="shared" si="99"/>
        <v>0.21404498936406918</v>
      </c>
      <c r="G918" s="327">
        <f>SUM(G900:G917)</f>
        <v>444660.37528261112</v>
      </c>
      <c r="H918" s="358">
        <f>SUM(H900:H917)</f>
        <v>419079.24333333329</v>
      </c>
      <c r="I918" s="330">
        <f t="shared" si="102"/>
        <v>523.85783945785772</v>
      </c>
    </row>
    <row r="920" spans="1:67">
      <c r="D920" s="288" t="s">
        <v>230</v>
      </c>
      <c r="F920" s="286" t="s">
        <v>218</v>
      </c>
      <c r="H920" s="284" t="s">
        <v>231</v>
      </c>
    </row>
    <row r="921" spans="1:67" s="339" customFormat="1">
      <c r="B921" s="339" t="s">
        <v>243</v>
      </c>
      <c r="D921" s="330">
        <f>BX14</f>
        <v>61102</v>
      </c>
      <c r="E921" s="286"/>
      <c r="F921" s="326">
        <f>BY14</f>
        <v>60055.856666666667</v>
      </c>
      <c r="G921" s="327"/>
      <c r="H921" s="358">
        <f>BZ14</f>
        <v>59920.253333333327</v>
      </c>
      <c r="I921" s="330"/>
      <c r="J921" s="326"/>
      <c r="K921" s="286"/>
      <c r="L921" s="289"/>
      <c r="M921" s="290"/>
      <c r="N921" s="288"/>
      <c r="O921" s="286"/>
      <c r="P921" s="286"/>
      <c r="Q921" s="287"/>
      <c r="S921" s="288"/>
      <c r="T921" s="286"/>
      <c r="U921" s="286"/>
      <c r="V921" s="287"/>
      <c r="X921" s="288"/>
      <c r="Y921" s="286"/>
      <c r="Z921" s="286"/>
      <c r="AA921" s="287"/>
      <c r="AC921" s="288"/>
      <c r="AD921" s="286"/>
      <c r="AE921" s="286"/>
      <c r="AF921" s="287"/>
      <c r="AH921" s="288"/>
      <c r="AI921" s="286"/>
      <c r="AJ921" s="286"/>
      <c r="AK921" s="287"/>
      <c r="AM921" s="288"/>
      <c r="AN921" s="286"/>
      <c r="AO921" s="286"/>
      <c r="AP921" s="287"/>
      <c r="AR921" s="288"/>
      <c r="AS921" s="286"/>
      <c r="AT921" s="286"/>
      <c r="AU921" s="287"/>
      <c r="AW921" s="288"/>
      <c r="AX921" s="286"/>
      <c r="AY921" s="286"/>
      <c r="AZ921" s="287"/>
      <c r="BB921" s="288"/>
      <c r="BC921" s="286"/>
      <c r="BD921" s="286"/>
      <c r="BE921" s="287"/>
      <c r="BG921" s="288"/>
      <c r="BH921" s="286"/>
      <c r="BI921" s="286"/>
      <c r="BJ921" s="287"/>
      <c r="BL921" s="288"/>
      <c r="BM921" s="286"/>
      <c r="BN921" s="286"/>
      <c r="BO921" s="289"/>
    </row>
    <row r="923" spans="1:67">
      <c r="D923" s="288" t="s">
        <v>230</v>
      </c>
      <c r="F923" s="286" t="s">
        <v>218</v>
      </c>
      <c r="H923" s="284" t="s">
        <v>231</v>
      </c>
    </row>
    <row r="924" spans="1:67" s="284" customFormat="1">
      <c r="B924" s="284" t="s">
        <v>296</v>
      </c>
      <c r="D924" s="288">
        <f>BX15</f>
        <v>3921.8318788251136</v>
      </c>
      <c r="E924" s="286"/>
      <c r="F924" s="286">
        <f>BY15</f>
        <v>3737.4693333333335</v>
      </c>
      <c r="G924" s="332"/>
      <c r="H924" s="284">
        <f>BZ15</f>
        <v>3912.9391233333336</v>
      </c>
      <c r="I924" s="288"/>
      <c r="J924" s="286"/>
      <c r="K924" s="286"/>
      <c r="L924" s="289"/>
      <c r="M924" s="290"/>
      <c r="N924" s="288"/>
      <c r="O924" s="286"/>
      <c r="P924" s="286"/>
      <c r="Q924" s="287"/>
      <c r="S924" s="288"/>
      <c r="T924" s="286"/>
      <c r="U924" s="286"/>
      <c r="V924" s="287"/>
      <c r="X924" s="288"/>
      <c r="Y924" s="286"/>
      <c r="Z924" s="286"/>
      <c r="AA924" s="287"/>
      <c r="AC924" s="288"/>
      <c r="AD924" s="286"/>
      <c r="AE924" s="286"/>
      <c r="AF924" s="287"/>
      <c r="AH924" s="288"/>
      <c r="AI924" s="286"/>
      <c r="AJ924" s="286"/>
      <c r="AK924" s="287"/>
      <c r="AM924" s="288"/>
      <c r="AN924" s="286"/>
      <c r="AO924" s="286"/>
      <c r="AP924" s="287"/>
      <c r="AR924" s="288"/>
      <c r="AS924" s="286"/>
      <c r="AT924" s="286"/>
      <c r="AU924" s="287"/>
      <c r="AW924" s="288"/>
      <c r="AX924" s="286"/>
      <c r="AY924" s="286"/>
      <c r="AZ924" s="287"/>
      <c r="BB924" s="288"/>
      <c r="BC924" s="286"/>
      <c r="BD924" s="286"/>
      <c r="BE924" s="287"/>
      <c r="BG924" s="288"/>
      <c r="BH924" s="286"/>
      <c r="BI924" s="286"/>
      <c r="BJ924" s="287"/>
      <c r="BL924" s="288"/>
      <c r="BM924" s="286"/>
      <c r="BN924" s="286"/>
      <c r="BO924" s="289"/>
    </row>
    <row r="926" spans="1:67" s="339" customFormat="1">
      <c r="B926" s="339" t="s">
        <v>253</v>
      </c>
      <c r="D926" s="288">
        <f>BX17</f>
        <v>25421.193333333333</v>
      </c>
      <c r="E926" s="286"/>
      <c r="F926" s="286">
        <f>BY17</f>
        <v>23964.91</v>
      </c>
      <c r="G926" s="287"/>
      <c r="H926" s="284">
        <f>BZ17</f>
        <v>28685.82</v>
      </c>
      <c r="I926" s="288"/>
      <c r="J926" s="286"/>
      <c r="K926" s="286"/>
      <c r="L926" s="289"/>
      <c r="M926" s="290"/>
      <c r="N926" s="288"/>
      <c r="O926" s="286"/>
      <c r="P926" s="286"/>
      <c r="Q926" s="287"/>
      <c r="S926" s="288"/>
      <c r="T926" s="286"/>
      <c r="U926" s="286"/>
      <c r="V926" s="287"/>
      <c r="X926" s="288"/>
      <c r="Y926" s="286"/>
      <c r="Z926" s="286"/>
      <c r="AA926" s="287"/>
      <c r="AC926" s="288"/>
      <c r="AD926" s="286"/>
      <c r="AE926" s="286"/>
      <c r="AF926" s="287"/>
      <c r="AH926" s="288"/>
      <c r="AI926" s="286"/>
      <c r="AJ926" s="286"/>
      <c r="AK926" s="287"/>
      <c r="AM926" s="288"/>
      <c r="AN926" s="286"/>
      <c r="AO926" s="286"/>
      <c r="AP926" s="287"/>
      <c r="AR926" s="288"/>
      <c r="AS926" s="286"/>
      <c r="AT926" s="286"/>
      <c r="AU926" s="287"/>
      <c r="AW926" s="288"/>
      <c r="AX926" s="286"/>
      <c r="AY926" s="286"/>
      <c r="AZ926" s="287"/>
      <c r="BB926" s="288"/>
      <c r="BC926" s="286"/>
      <c r="BD926" s="286"/>
      <c r="BE926" s="287"/>
      <c r="BG926" s="288"/>
      <c r="BH926" s="286"/>
      <c r="BI926" s="286"/>
      <c r="BJ926" s="287"/>
      <c r="BL926" s="288"/>
      <c r="BM926" s="286"/>
      <c r="BN926" s="286"/>
      <c r="BO926" s="289"/>
    </row>
    <row r="927" spans="1:67">
      <c r="A927" s="339"/>
      <c r="B927" s="339"/>
      <c r="C927" s="339"/>
    </row>
    <row r="928" spans="1:67">
      <c r="A928" s="339"/>
      <c r="B928" s="339" t="s">
        <v>252</v>
      </c>
      <c r="C928" s="339"/>
      <c r="D928" s="330">
        <f>BX16</f>
        <v>113.3807845469961</v>
      </c>
      <c r="E928" s="326"/>
      <c r="F928" s="326">
        <f>BY16</f>
        <v>112.12914567504141</v>
      </c>
      <c r="G928" s="332"/>
      <c r="H928" s="358">
        <f>BZ16</f>
        <v>93.333333333333329</v>
      </c>
    </row>
    <row r="929" spans="1:67">
      <c r="A929" s="339"/>
      <c r="B929" s="339"/>
      <c r="C929" s="339"/>
    </row>
    <row r="930" spans="1:67">
      <c r="A930" s="341" t="s">
        <v>192</v>
      </c>
      <c r="B930" s="339" t="s">
        <v>378</v>
      </c>
      <c r="C930" s="339"/>
    </row>
    <row r="931" spans="1:67">
      <c r="A931" s="341" t="s">
        <v>192</v>
      </c>
      <c r="B931" s="339" t="s">
        <v>379</v>
      </c>
      <c r="C931" s="339"/>
      <c r="G931" s="327">
        <f>(F924-D924)*(C918/D924)*E918</f>
        <v>-20903.17004893929</v>
      </c>
    </row>
    <row r="932" spans="1:67">
      <c r="A932" s="341" t="s">
        <v>192</v>
      </c>
      <c r="B932" s="339" t="s">
        <v>380</v>
      </c>
      <c r="C932" s="339"/>
      <c r="G932" s="327">
        <f>(D918/F924-C918/D924)*(F924*E918)</f>
        <v>60217.369473618739</v>
      </c>
    </row>
    <row r="933" spans="1:67">
      <c r="A933" s="341" t="s">
        <v>192</v>
      </c>
      <c r="B933" s="339" t="s">
        <v>381</v>
      </c>
      <c r="C933" s="339"/>
      <c r="G933" s="327">
        <f>(F918-E918)*D918</f>
        <v>-64895.331373957299</v>
      </c>
    </row>
    <row r="934" spans="1:67">
      <c r="A934" s="341" t="s">
        <v>192</v>
      </c>
      <c r="B934" s="339" t="s">
        <v>382</v>
      </c>
      <c r="C934" s="339"/>
      <c r="G934" s="327">
        <f>SUM(G931:G933)</f>
        <v>-25581.131949277849</v>
      </c>
    </row>
    <row r="935" spans="1:67">
      <c r="A935" s="339"/>
      <c r="B935" s="339"/>
      <c r="C935" s="339"/>
    </row>
    <row r="940" spans="1:67">
      <c r="B940" s="323" t="s">
        <v>327</v>
      </c>
    </row>
    <row r="941" spans="1:67">
      <c r="A941" s="339"/>
      <c r="B941" s="339" t="s">
        <v>456</v>
      </c>
      <c r="C941" s="339"/>
    </row>
    <row r="942" spans="1:67">
      <c r="A942" s="339"/>
      <c r="B942" s="339" t="str">
        <f>D3</f>
        <v>3-year averages</v>
      </c>
      <c r="C942" s="339"/>
    </row>
    <row r="943" spans="1:67" s="339" customFormat="1">
      <c r="B943" s="339" t="s">
        <v>383</v>
      </c>
      <c r="D943" s="288"/>
      <c r="E943" s="286"/>
      <c r="F943" s="286"/>
      <c r="G943" s="287"/>
      <c r="H943" s="284"/>
      <c r="I943" s="288"/>
      <c r="J943" s="286"/>
      <c r="K943" s="286"/>
      <c r="L943" s="289"/>
      <c r="M943" s="290"/>
      <c r="N943" s="288"/>
      <c r="O943" s="286"/>
      <c r="P943" s="286"/>
      <c r="Q943" s="287"/>
      <c r="S943" s="288"/>
      <c r="T943" s="286"/>
      <c r="U943" s="286"/>
      <c r="V943" s="287"/>
      <c r="X943" s="288"/>
      <c r="Y943" s="286"/>
      <c r="Z943" s="286"/>
      <c r="AA943" s="287"/>
      <c r="AC943" s="288"/>
      <c r="AD943" s="286"/>
      <c r="AE943" s="286"/>
      <c r="AF943" s="287"/>
      <c r="AH943" s="288"/>
      <c r="AI943" s="286"/>
      <c r="AJ943" s="286"/>
      <c r="AK943" s="287"/>
      <c r="AM943" s="288"/>
      <c r="AN943" s="286"/>
      <c r="AO943" s="286"/>
      <c r="AP943" s="287"/>
      <c r="AR943" s="288"/>
      <c r="AS943" s="286"/>
      <c r="AT943" s="286"/>
      <c r="AU943" s="287"/>
      <c r="AW943" s="288"/>
      <c r="AX943" s="286"/>
      <c r="AY943" s="286"/>
      <c r="AZ943" s="287"/>
      <c r="BB943" s="288"/>
      <c r="BC943" s="286"/>
      <c r="BD943" s="286"/>
      <c r="BE943" s="287"/>
      <c r="BG943" s="288"/>
      <c r="BH943" s="286"/>
      <c r="BI943" s="286"/>
      <c r="BJ943" s="287"/>
      <c r="BL943" s="288"/>
      <c r="BM943" s="286"/>
      <c r="BN943" s="286"/>
      <c r="BO943" s="289"/>
    </row>
    <row r="944" spans="1:67" s="339" customFormat="1">
      <c r="B944" s="339" t="s">
        <v>384</v>
      </c>
      <c r="D944" s="288"/>
      <c r="E944" s="286" t="s">
        <v>385</v>
      </c>
      <c r="F944" s="326">
        <f>F992</f>
        <v>-25581.131949277689</v>
      </c>
      <c r="G944" s="287"/>
      <c r="H944" s="284"/>
      <c r="I944" s="288"/>
      <c r="J944" s="286"/>
      <c r="K944" s="286"/>
      <c r="L944" s="289"/>
      <c r="M944" s="290"/>
      <c r="N944" s="288"/>
      <c r="O944" s="286"/>
      <c r="P944" s="286"/>
      <c r="Q944" s="287"/>
      <c r="S944" s="288"/>
      <c r="T944" s="286"/>
      <c r="U944" s="286"/>
      <c r="V944" s="287"/>
      <c r="X944" s="288"/>
      <c r="Y944" s="286"/>
      <c r="Z944" s="286"/>
      <c r="AA944" s="287"/>
      <c r="AC944" s="288"/>
      <c r="AD944" s="286"/>
      <c r="AE944" s="286"/>
      <c r="AF944" s="287"/>
      <c r="AH944" s="288"/>
      <c r="AI944" s="286"/>
      <c r="AJ944" s="286"/>
      <c r="AK944" s="287"/>
      <c r="AM944" s="288"/>
      <c r="AN944" s="286"/>
      <c r="AO944" s="286"/>
      <c r="AP944" s="287"/>
      <c r="AR944" s="288"/>
      <c r="AS944" s="286"/>
      <c r="AT944" s="286"/>
      <c r="AU944" s="287"/>
      <c r="AW944" s="288"/>
      <c r="AX944" s="286"/>
      <c r="AY944" s="286"/>
      <c r="AZ944" s="287"/>
      <c r="BB944" s="288"/>
      <c r="BC944" s="286"/>
      <c r="BD944" s="286"/>
      <c r="BE944" s="287"/>
      <c r="BG944" s="288"/>
      <c r="BH944" s="286"/>
      <c r="BI944" s="286"/>
      <c r="BJ944" s="287"/>
      <c r="BL944" s="288"/>
      <c r="BM944" s="286"/>
      <c r="BN944" s="286"/>
      <c r="BO944" s="289"/>
    </row>
    <row r="945" spans="2:67" s="339" customFormat="1">
      <c r="D945" s="288"/>
      <c r="E945" s="286"/>
      <c r="F945" s="286"/>
      <c r="G945" s="287"/>
      <c r="H945" s="284"/>
      <c r="I945" s="288"/>
      <c r="J945" s="286"/>
      <c r="K945" s="286"/>
      <c r="L945" s="289"/>
      <c r="M945" s="290"/>
      <c r="N945" s="288"/>
      <c r="O945" s="286"/>
      <c r="P945" s="286"/>
      <c r="Q945" s="287"/>
      <c r="S945" s="288"/>
      <c r="T945" s="286"/>
      <c r="U945" s="286"/>
      <c r="V945" s="287"/>
      <c r="X945" s="288"/>
      <c r="Y945" s="286"/>
      <c r="Z945" s="286"/>
      <c r="AA945" s="287"/>
      <c r="AC945" s="288"/>
      <c r="AD945" s="286"/>
      <c r="AE945" s="286"/>
      <c r="AF945" s="287"/>
      <c r="AH945" s="288"/>
      <c r="AI945" s="286"/>
      <c r="AJ945" s="286"/>
      <c r="AK945" s="287"/>
      <c r="AM945" s="288"/>
      <c r="AN945" s="286"/>
      <c r="AO945" s="286"/>
      <c r="AP945" s="287"/>
      <c r="AR945" s="288"/>
      <c r="AS945" s="286"/>
      <c r="AT945" s="286"/>
      <c r="AU945" s="287"/>
      <c r="AW945" s="288"/>
      <c r="AX945" s="286"/>
      <c r="AY945" s="286"/>
      <c r="AZ945" s="287"/>
      <c r="BB945" s="288"/>
      <c r="BC945" s="286"/>
      <c r="BD945" s="286"/>
      <c r="BE945" s="287"/>
      <c r="BG945" s="288"/>
      <c r="BH945" s="286"/>
      <c r="BI945" s="286"/>
      <c r="BJ945" s="287"/>
      <c r="BL945" s="288"/>
      <c r="BM945" s="286"/>
      <c r="BN945" s="286"/>
      <c r="BO945" s="289"/>
    </row>
    <row r="946" spans="2:67" s="339" customFormat="1">
      <c r="D946" s="305" t="s">
        <v>386</v>
      </c>
      <c r="E946" s="306" t="s">
        <v>387</v>
      </c>
      <c r="F946" s="306" t="s">
        <v>388</v>
      </c>
      <c r="G946" s="287"/>
      <c r="H946" s="284"/>
      <c r="I946" s="288"/>
      <c r="J946" s="286"/>
      <c r="K946" s="286"/>
      <c r="L946" s="289"/>
      <c r="M946" s="290"/>
      <c r="N946" s="288"/>
      <c r="O946" s="286"/>
      <c r="P946" s="286"/>
      <c r="Q946" s="287"/>
      <c r="S946" s="288"/>
      <c r="T946" s="286"/>
      <c r="U946" s="286"/>
      <c r="V946" s="287"/>
      <c r="X946" s="288"/>
      <c r="Y946" s="286"/>
      <c r="Z946" s="286"/>
      <c r="AA946" s="287"/>
      <c r="AC946" s="288"/>
      <c r="AD946" s="286"/>
      <c r="AE946" s="286"/>
      <c r="AF946" s="287"/>
      <c r="AH946" s="288"/>
      <c r="AI946" s="286"/>
      <c r="AJ946" s="286"/>
      <c r="AK946" s="287"/>
      <c r="AM946" s="288"/>
      <c r="AN946" s="286"/>
      <c r="AO946" s="286"/>
      <c r="AP946" s="287"/>
      <c r="AR946" s="288"/>
      <c r="AS946" s="286"/>
      <c r="AT946" s="286"/>
      <c r="AU946" s="287"/>
      <c r="AW946" s="288"/>
      <c r="AX946" s="286"/>
      <c r="AY946" s="286"/>
      <c r="AZ946" s="287"/>
      <c r="BB946" s="288"/>
      <c r="BC946" s="286"/>
      <c r="BD946" s="286"/>
      <c r="BE946" s="287"/>
      <c r="BG946" s="288"/>
      <c r="BH946" s="286"/>
      <c r="BI946" s="286"/>
      <c r="BJ946" s="287"/>
      <c r="BL946" s="288"/>
      <c r="BM946" s="286"/>
      <c r="BN946" s="286"/>
      <c r="BO946" s="289"/>
    </row>
    <row r="947" spans="2:67" s="339" customFormat="1">
      <c r="D947" s="288"/>
      <c r="E947" s="286"/>
      <c r="F947" s="286"/>
      <c r="G947" s="287"/>
      <c r="H947" s="284"/>
      <c r="I947" s="288"/>
      <c r="J947" s="286"/>
      <c r="K947" s="286"/>
      <c r="L947" s="289"/>
      <c r="M947" s="290"/>
      <c r="N947" s="288"/>
      <c r="O947" s="286"/>
      <c r="P947" s="286"/>
      <c r="Q947" s="287"/>
      <c r="S947" s="288"/>
      <c r="T947" s="286"/>
      <c r="U947" s="286"/>
      <c r="V947" s="287"/>
      <c r="X947" s="288"/>
      <c r="Y947" s="286"/>
      <c r="Z947" s="286"/>
      <c r="AA947" s="287"/>
      <c r="AC947" s="288"/>
      <c r="AD947" s="286"/>
      <c r="AE947" s="286"/>
      <c r="AF947" s="287"/>
      <c r="AH947" s="288"/>
      <c r="AI947" s="286"/>
      <c r="AJ947" s="286"/>
      <c r="AK947" s="287"/>
      <c r="AM947" s="288"/>
      <c r="AN947" s="286"/>
      <c r="AO947" s="286"/>
      <c r="AP947" s="287"/>
      <c r="AR947" s="288"/>
      <c r="AS947" s="286"/>
      <c r="AT947" s="286"/>
      <c r="AU947" s="287"/>
      <c r="AW947" s="288"/>
      <c r="AX947" s="286"/>
      <c r="AY947" s="286"/>
      <c r="AZ947" s="287"/>
      <c r="BB947" s="288"/>
      <c r="BC947" s="286"/>
      <c r="BD947" s="286"/>
      <c r="BE947" s="287"/>
      <c r="BG947" s="288"/>
      <c r="BH947" s="286"/>
      <c r="BI947" s="286"/>
      <c r="BJ947" s="287"/>
      <c r="BL947" s="288"/>
      <c r="BM947" s="286"/>
      <c r="BN947" s="286"/>
      <c r="BO947" s="289"/>
    </row>
    <row r="948" spans="2:67" s="339" customFormat="1">
      <c r="B948" s="339" t="s">
        <v>389</v>
      </c>
      <c r="D948" s="288"/>
      <c r="E948" s="286"/>
      <c r="F948" s="286"/>
      <c r="G948" s="287"/>
      <c r="H948" s="284"/>
      <c r="I948" s="288"/>
      <c r="J948" s="286"/>
      <c r="K948" s="286"/>
      <c r="L948" s="289"/>
      <c r="M948" s="290"/>
      <c r="N948" s="288"/>
      <c r="O948" s="286"/>
      <c r="P948" s="286"/>
      <c r="Q948" s="287"/>
      <c r="S948" s="288"/>
      <c r="T948" s="286"/>
      <c r="U948" s="286"/>
      <c r="V948" s="287"/>
      <c r="X948" s="288"/>
      <c r="Y948" s="286"/>
      <c r="Z948" s="286"/>
      <c r="AA948" s="287"/>
      <c r="AC948" s="288"/>
      <c r="AD948" s="286"/>
      <c r="AE948" s="286"/>
      <c r="AF948" s="287"/>
      <c r="AH948" s="288"/>
      <c r="AI948" s="286"/>
      <c r="AJ948" s="286"/>
      <c r="AK948" s="287"/>
      <c r="AM948" s="288"/>
      <c r="AN948" s="286"/>
      <c r="AO948" s="286"/>
      <c r="AP948" s="287"/>
      <c r="AR948" s="288"/>
      <c r="AS948" s="286"/>
      <c r="AT948" s="286"/>
      <c r="AU948" s="287"/>
      <c r="AW948" s="288"/>
      <c r="AX948" s="286"/>
      <c r="AY948" s="286"/>
      <c r="AZ948" s="287"/>
      <c r="BB948" s="288"/>
      <c r="BC948" s="286"/>
      <c r="BD948" s="286"/>
      <c r="BE948" s="287"/>
      <c r="BG948" s="288"/>
      <c r="BH948" s="286"/>
      <c r="BI948" s="286"/>
      <c r="BJ948" s="287"/>
      <c r="BL948" s="288"/>
      <c r="BM948" s="286"/>
      <c r="BN948" s="286"/>
      <c r="BO948" s="289"/>
    </row>
    <row r="949" spans="2:67" s="339" customFormat="1">
      <c r="B949" s="365" t="s">
        <v>424</v>
      </c>
      <c r="C949" s="339" t="s">
        <v>390</v>
      </c>
      <c r="D949" s="330">
        <f>G901</f>
        <v>0</v>
      </c>
      <c r="E949" s="326">
        <f>H901</f>
        <v>0</v>
      </c>
      <c r="F949" s="326">
        <f>E949-D949</f>
        <v>0</v>
      </c>
      <c r="G949" s="287"/>
      <c r="H949" s="284"/>
      <c r="I949" s="288"/>
      <c r="J949" s="286"/>
      <c r="K949" s="286"/>
      <c r="L949" s="289"/>
      <c r="M949" s="290"/>
      <c r="N949" s="288"/>
      <c r="O949" s="286"/>
      <c r="P949" s="286"/>
      <c r="Q949" s="287"/>
      <c r="S949" s="288"/>
      <c r="T949" s="286"/>
      <c r="U949" s="286"/>
      <c r="V949" s="287"/>
      <c r="X949" s="288"/>
      <c r="Y949" s="286"/>
      <c r="Z949" s="286"/>
      <c r="AA949" s="287"/>
      <c r="AC949" s="288"/>
      <c r="AD949" s="286"/>
      <c r="AE949" s="286"/>
      <c r="AF949" s="287"/>
      <c r="AH949" s="288"/>
      <c r="AI949" s="286"/>
      <c r="AJ949" s="286"/>
      <c r="AK949" s="287"/>
      <c r="AM949" s="288"/>
      <c r="AN949" s="286"/>
      <c r="AO949" s="286"/>
      <c r="AP949" s="287"/>
      <c r="AR949" s="288"/>
      <c r="AS949" s="286"/>
      <c r="AT949" s="286"/>
      <c r="AU949" s="287"/>
      <c r="AW949" s="288"/>
      <c r="AX949" s="286"/>
      <c r="AY949" s="286"/>
      <c r="AZ949" s="287"/>
      <c r="BB949" s="288"/>
      <c r="BC949" s="286"/>
      <c r="BD949" s="286"/>
      <c r="BE949" s="287"/>
      <c r="BG949" s="288"/>
      <c r="BH949" s="286"/>
      <c r="BI949" s="286"/>
      <c r="BJ949" s="287"/>
      <c r="BL949" s="288"/>
      <c r="BM949" s="286"/>
      <c r="BN949" s="286"/>
      <c r="BO949" s="289"/>
    </row>
    <row r="950" spans="2:67" s="339" customFormat="1">
      <c r="B950" s="365" t="s">
        <v>391</v>
      </c>
      <c r="C950" s="339" t="s">
        <v>390</v>
      </c>
      <c r="D950" s="330">
        <f>G914</f>
        <v>3624.3209034411429</v>
      </c>
      <c r="E950" s="326">
        <f>H914</f>
        <v>3273.3733333333334</v>
      </c>
      <c r="F950" s="326">
        <f>E950-D950</f>
        <v>-350.9475701078095</v>
      </c>
      <c r="G950" s="287"/>
      <c r="H950" s="284"/>
      <c r="I950" s="288"/>
      <c r="J950" s="286"/>
      <c r="K950" s="286"/>
      <c r="L950" s="289"/>
      <c r="M950" s="290"/>
      <c r="N950" s="288"/>
      <c r="O950" s="286"/>
      <c r="P950" s="286"/>
      <c r="Q950" s="287"/>
      <c r="S950" s="288"/>
      <c r="T950" s="286"/>
      <c r="U950" s="286"/>
      <c r="V950" s="287"/>
      <c r="X950" s="288"/>
      <c r="Y950" s="286"/>
      <c r="Z950" s="286"/>
      <c r="AA950" s="287"/>
      <c r="AC950" s="288"/>
      <c r="AD950" s="286"/>
      <c r="AE950" s="286"/>
      <c r="AF950" s="287"/>
      <c r="AH950" s="288"/>
      <c r="AI950" s="286"/>
      <c r="AJ950" s="286"/>
      <c r="AK950" s="287"/>
      <c r="AM950" s="288"/>
      <c r="AN950" s="286"/>
      <c r="AO950" s="286"/>
      <c r="AP950" s="287"/>
      <c r="AR950" s="288"/>
      <c r="AS950" s="286"/>
      <c r="AT950" s="286"/>
      <c r="AU950" s="287"/>
      <c r="AW950" s="288"/>
      <c r="AX950" s="286"/>
      <c r="AY950" s="286"/>
      <c r="AZ950" s="287"/>
      <c r="BB950" s="288"/>
      <c r="BC950" s="286"/>
      <c r="BD950" s="286"/>
      <c r="BE950" s="287"/>
      <c r="BG950" s="288"/>
      <c r="BH950" s="286"/>
      <c r="BI950" s="286"/>
      <c r="BJ950" s="287"/>
      <c r="BL950" s="288"/>
      <c r="BM950" s="286"/>
      <c r="BN950" s="286"/>
      <c r="BO950" s="289"/>
    </row>
    <row r="951" spans="2:67" s="339" customFormat="1">
      <c r="B951" s="365" t="s">
        <v>392</v>
      </c>
      <c r="C951" s="339" t="s">
        <v>393</v>
      </c>
      <c r="D951" s="330">
        <f>G907</f>
        <v>25279.280614511605</v>
      </c>
      <c r="E951" s="326">
        <f>H907</f>
        <v>20007.580000000002</v>
      </c>
      <c r="F951" s="326">
        <f>E951-D951</f>
        <v>-5271.7006145116029</v>
      </c>
      <c r="G951" s="287"/>
      <c r="H951" s="284"/>
      <c r="I951" s="288"/>
      <c r="J951" s="286"/>
      <c r="K951" s="286"/>
      <c r="L951" s="289"/>
      <c r="M951" s="290"/>
      <c r="N951" s="288"/>
      <c r="O951" s="286"/>
      <c r="P951" s="286"/>
      <c r="Q951" s="287"/>
      <c r="S951" s="288"/>
      <c r="T951" s="286"/>
      <c r="U951" s="286"/>
      <c r="V951" s="287"/>
      <c r="X951" s="288"/>
      <c r="Y951" s="286"/>
      <c r="Z951" s="286"/>
      <c r="AA951" s="287"/>
      <c r="AC951" s="288"/>
      <c r="AD951" s="286"/>
      <c r="AE951" s="286"/>
      <c r="AF951" s="287"/>
      <c r="AH951" s="288"/>
      <c r="AI951" s="286"/>
      <c r="AJ951" s="286"/>
      <c r="AK951" s="287"/>
      <c r="AM951" s="288"/>
      <c r="AN951" s="286"/>
      <c r="AO951" s="286"/>
      <c r="AP951" s="287"/>
      <c r="AR951" s="288"/>
      <c r="AS951" s="286"/>
      <c r="AT951" s="286"/>
      <c r="AU951" s="287"/>
      <c r="AW951" s="288"/>
      <c r="AX951" s="286"/>
      <c r="AY951" s="286"/>
      <c r="AZ951" s="287"/>
      <c r="BB951" s="288"/>
      <c r="BC951" s="286"/>
      <c r="BD951" s="286"/>
      <c r="BE951" s="287"/>
      <c r="BG951" s="288"/>
      <c r="BH951" s="286"/>
      <c r="BI951" s="286"/>
      <c r="BJ951" s="287"/>
      <c r="BL951" s="288"/>
      <c r="BM951" s="286"/>
      <c r="BN951" s="286"/>
      <c r="BO951" s="289"/>
    </row>
    <row r="952" spans="2:67" s="339" customFormat="1">
      <c r="B952" s="365" t="s">
        <v>425</v>
      </c>
      <c r="C952" s="339" t="s">
        <v>393</v>
      </c>
      <c r="D952" s="330">
        <f>G900</f>
        <v>152004.89705965121</v>
      </c>
      <c r="E952" s="326">
        <f>H900</f>
        <v>178767.07</v>
      </c>
      <c r="F952" s="326">
        <f>E952-D952</f>
        <v>26762.172940348799</v>
      </c>
      <c r="G952" s="287"/>
      <c r="H952" s="284"/>
      <c r="I952" s="288"/>
      <c r="J952" s="286"/>
      <c r="K952" s="286"/>
      <c r="L952" s="289"/>
      <c r="M952" s="290"/>
      <c r="N952" s="288"/>
      <c r="O952" s="286"/>
      <c r="P952" s="286"/>
      <c r="Q952" s="287"/>
      <c r="S952" s="288"/>
      <c r="T952" s="286"/>
      <c r="U952" s="286"/>
      <c r="V952" s="287"/>
      <c r="X952" s="288"/>
      <c r="Y952" s="286"/>
      <c r="Z952" s="286"/>
      <c r="AA952" s="287"/>
      <c r="AC952" s="288"/>
      <c r="AD952" s="286"/>
      <c r="AE952" s="286"/>
      <c r="AF952" s="287"/>
      <c r="AH952" s="288"/>
      <c r="AI952" s="286"/>
      <c r="AJ952" s="286"/>
      <c r="AK952" s="287"/>
      <c r="AM952" s="288"/>
      <c r="AN952" s="286"/>
      <c r="AO952" s="286"/>
      <c r="AP952" s="287"/>
      <c r="AR952" s="288"/>
      <c r="AS952" s="286"/>
      <c r="AT952" s="286"/>
      <c r="AU952" s="287"/>
      <c r="AW952" s="288"/>
      <c r="AX952" s="286"/>
      <c r="AY952" s="286"/>
      <c r="AZ952" s="287"/>
      <c r="BB952" s="288"/>
      <c r="BC952" s="286"/>
      <c r="BD952" s="286"/>
      <c r="BE952" s="287"/>
      <c r="BG952" s="288"/>
      <c r="BH952" s="286"/>
      <c r="BI952" s="286"/>
      <c r="BJ952" s="287"/>
      <c r="BL952" s="288"/>
      <c r="BM952" s="286"/>
      <c r="BN952" s="286"/>
      <c r="BO952" s="289"/>
    </row>
    <row r="953" spans="2:67" s="339" customFormat="1">
      <c r="B953" s="365" t="s">
        <v>394</v>
      </c>
      <c r="C953" s="339" t="s">
        <v>395</v>
      </c>
      <c r="D953" s="330">
        <f>G913</f>
        <v>4960.2556366422023</v>
      </c>
      <c r="E953" s="326">
        <f>H913</f>
        <v>1960.4566666666665</v>
      </c>
      <c r="F953" s="326">
        <f>E953-D953</f>
        <v>-2999.7989699755358</v>
      </c>
      <c r="G953" s="287"/>
      <c r="H953" s="284"/>
      <c r="I953" s="288"/>
      <c r="J953" s="286"/>
      <c r="K953" s="286"/>
      <c r="L953" s="289"/>
      <c r="M953" s="290"/>
      <c r="N953" s="288"/>
      <c r="O953" s="286"/>
      <c r="P953" s="286"/>
      <c r="Q953" s="287"/>
      <c r="S953" s="288"/>
      <c r="T953" s="286"/>
      <c r="U953" s="286"/>
      <c r="V953" s="287"/>
      <c r="X953" s="288"/>
      <c r="Y953" s="286"/>
      <c r="Z953" s="286"/>
      <c r="AA953" s="287"/>
      <c r="AC953" s="288"/>
      <c r="AD953" s="286"/>
      <c r="AE953" s="286"/>
      <c r="AF953" s="287"/>
      <c r="AH953" s="288"/>
      <c r="AI953" s="286"/>
      <c r="AJ953" s="286"/>
      <c r="AK953" s="287"/>
      <c r="AM953" s="288"/>
      <c r="AN953" s="286"/>
      <c r="AO953" s="286"/>
      <c r="AP953" s="287"/>
      <c r="AR953" s="288"/>
      <c r="AS953" s="286"/>
      <c r="AT953" s="286"/>
      <c r="AU953" s="287"/>
      <c r="AW953" s="288"/>
      <c r="AX953" s="286"/>
      <c r="AY953" s="286"/>
      <c r="AZ953" s="287"/>
      <c r="BB953" s="288"/>
      <c r="BC953" s="286"/>
      <c r="BD953" s="286"/>
      <c r="BE953" s="287"/>
      <c r="BG953" s="288"/>
      <c r="BH953" s="286"/>
      <c r="BI953" s="286"/>
      <c r="BJ953" s="287"/>
      <c r="BL953" s="288"/>
      <c r="BM953" s="286"/>
      <c r="BN953" s="286"/>
      <c r="BO953" s="289"/>
    </row>
    <row r="954" spans="2:67" s="339" customFormat="1">
      <c r="B954" s="339" t="s">
        <v>396</v>
      </c>
      <c r="D954" s="330"/>
      <c r="E954" s="326"/>
      <c r="F954" s="326"/>
      <c r="G954" s="287"/>
      <c r="H954" s="284"/>
      <c r="I954" s="288"/>
      <c r="J954" s="286"/>
      <c r="K954" s="286"/>
      <c r="L954" s="289"/>
      <c r="M954" s="290"/>
      <c r="N954" s="288"/>
      <c r="O954" s="286"/>
      <c r="P954" s="286"/>
      <c r="Q954" s="287"/>
      <c r="S954" s="288"/>
      <c r="T954" s="286"/>
      <c r="U954" s="286"/>
      <c r="V954" s="287"/>
      <c r="X954" s="288"/>
      <c r="Y954" s="286"/>
      <c r="Z954" s="286"/>
      <c r="AA954" s="287"/>
      <c r="AC954" s="288"/>
      <c r="AD954" s="286"/>
      <c r="AE954" s="286"/>
      <c r="AF954" s="287"/>
      <c r="AH954" s="288"/>
      <c r="AI954" s="286"/>
      <c r="AJ954" s="286"/>
      <c r="AK954" s="287"/>
      <c r="AM954" s="288"/>
      <c r="AN954" s="286"/>
      <c r="AO954" s="286"/>
      <c r="AP954" s="287"/>
      <c r="AR954" s="288"/>
      <c r="AS954" s="286"/>
      <c r="AT954" s="286"/>
      <c r="AU954" s="287"/>
      <c r="AW954" s="288"/>
      <c r="AX954" s="286"/>
      <c r="AY954" s="286"/>
      <c r="AZ954" s="287"/>
      <c r="BB954" s="288"/>
      <c r="BC954" s="286"/>
      <c r="BD954" s="286"/>
      <c r="BE954" s="287"/>
      <c r="BG954" s="288"/>
      <c r="BH954" s="286"/>
      <c r="BI954" s="286"/>
      <c r="BJ954" s="287"/>
      <c r="BL954" s="288"/>
      <c r="BM954" s="286"/>
      <c r="BN954" s="286"/>
      <c r="BO954" s="289"/>
    </row>
    <row r="955" spans="2:67" s="339" customFormat="1">
      <c r="B955" s="339" t="s">
        <v>397</v>
      </c>
      <c r="D955" s="330">
        <f>SUM(D949:D953)</f>
        <v>185868.75421424615</v>
      </c>
      <c r="E955" s="326">
        <f>SUM(E949:E953)</f>
        <v>204008.48</v>
      </c>
      <c r="F955" s="326">
        <f>E955-D955</f>
        <v>18139.725785753864</v>
      </c>
      <c r="G955" s="287"/>
      <c r="H955" s="284"/>
      <c r="I955" s="288"/>
      <c r="J955" s="286"/>
      <c r="K955" s="286"/>
      <c r="L955" s="289"/>
      <c r="M955" s="290"/>
      <c r="N955" s="288"/>
      <c r="O955" s="286"/>
      <c r="P955" s="286"/>
      <c r="Q955" s="287"/>
      <c r="S955" s="288"/>
      <c r="T955" s="286"/>
      <c r="U955" s="286"/>
      <c r="V955" s="287"/>
      <c r="X955" s="288"/>
      <c r="Y955" s="286"/>
      <c r="Z955" s="286"/>
      <c r="AA955" s="287"/>
      <c r="AC955" s="288"/>
      <c r="AD955" s="286"/>
      <c r="AE955" s="286"/>
      <c r="AF955" s="287"/>
      <c r="AH955" s="288"/>
      <c r="AI955" s="286"/>
      <c r="AJ955" s="286"/>
      <c r="AK955" s="287"/>
      <c r="AM955" s="288"/>
      <c r="AN955" s="286"/>
      <c r="AO955" s="286"/>
      <c r="AP955" s="287"/>
      <c r="AR955" s="288"/>
      <c r="AS955" s="286"/>
      <c r="AT955" s="286"/>
      <c r="AU955" s="287"/>
      <c r="AW955" s="288"/>
      <c r="AX955" s="286"/>
      <c r="AY955" s="286"/>
      <c r="AZ955" s="287"/>
      <c r="BB955" s="288"/>
      <c r="BC955" s="286"/>
      <c r="BD955" s="286"/>
      <c r="BE955" s="287"/>
      <c r="BG955" s="288"/>
      <c r="BH955" s="286"/>
      <c r="BI955" s="286"/>
      <c r="BJ955" s="287"/>
      <c r="BL955" s="288"/>
      <c r="BM955" s="286"/>
      <c r="BN955" s="286"/>
      <c r="BO955" s="289"/>
    </row>
    <row r="956" spans="2:67" s="339" customFormat="1">
      <c r="B956" s="339" t="s">
        <v>396</v>
      </c>
      <c r="D956" s="330"/>
      <c r="E956" s="326"/>
      <c r="F956" s="326"/>
      <c r="G956" s="287"/>
      <c r="H956" s="284"/>
      <c r="I956" s="288"/>
      <c r="J956" s="286"/>
      <c r="K956" s="286"/>
      <c r="L956" s="289"/>
      <c r="M956" s="290"/>
      <c r="N956" s="288"/>
      <c r="O956" s="286"/>
      <c r="P956" s="286"/>
      <c r="Q956" s="287"/>
      <c r="S956" s="288"/>
      <c r="T956" s="286"/>
      <c r="U956" s="286"/>
      <c r="V956" s="287"/>
      <c r="X956" s="288"/>
      <c r="Y956" s="286"/>
      <c r="Z956" s="286"/>
      <c r="AA956" s="287"/>
      <c r="AC956" s="288"/>
      <c r="AD956" s="286"/>
      <c r="AE956" s="286"/>
      <c r="AF956" s="287"/>
      <c r="AH956" s="288"/>
      <c r="AI956" s="286"/>
      <c r="AJ956" s="286"/>
      <c r="AK956" s="287"/>
      <c r="AM956" s="288"/>
      <c r="AN956" s="286"/>
      <c r="AO956" s="286"/>
      <c r="AP956" s="287"/>
      <c r="AR956" s="288"/>
      <c r="AS956" s="286"/>
      <c r="AT956" s="286"/>
      <c r="AU956" s="287"/>
      <c r="AW956" s="288"/>
      <c r="AX956" s="286"/>
      <c r="AY956" s="286"/>
      <c r="AZ956" s="287"/>
      <c r="BB956" s="288"/>
      <c r="BC956" s="286"/>
      <c r="BD956" s="286"/>
      <c r="BE956" s="287"/>
      <c r="BG956" s="288"/>
      <c r="BH956" s="286"/>
      <c r="BI956" s="286"/>
      <c r="BJ956" s="287"/>
      <c r="BL956" s="288"/>
      <c r="BM956" s="286"/>
      <c r="BN956" s="286"/>
      <c r="BO956" s="289"/>
    </row>
    <row r="957" spans="2:67" s="339" customFormat="1">
      <c r="D957" s="330"/>
      <c r="E957" s="326"/>
      <c r="F957" s="326"/>
      <c r="G957" s="287"/>
      <c r="H957" s="284"/>
      <c r="I957" s="288"/>
      <c r="J957" s="286"/>
      <c r="K957" s="286"/>
      <c r="L957" s="289"/>
      <c r="M957" s="290"/>
      <c r="N957" s="288"/>
      <c r="O957" s="286"/>
      <c r="P957" s="286"/>
      <c r="Q957" s="287"/>
      <c r="S957" s="288"/>
      <c r="T957" s="286"/>
      <c r="U957" s="286"/>
      <c r="V957" s="287"/>
      <c r="X957" s="288"/>
      <c r="Y957" s="286"/>
      <c r="Z957" s="286"/>
      <c r="AA957" s="287"/>
      <c r="AC957" s="288"/>
      <c r="AD957" s="286"/>
      <c r="AE957" s="286"/>
      <c r="AF957" s="287"/>
      <c r="AH957" s="288"/>
      <c r="AI957" s="286"/>
      <c r="AJ957" s="286"/>
      <c r="AK957" s="287"/>
      <c r="AM957" s="288"/>
      <c r="AN957" s="286"/>
      <c r="AO957" s="286"/>
      <c r="AP957" s="287"/>
      <c r="AR957" s="288"/>
      <c r="AS957" s="286"/>
      <c r="AT957" s="286"/>
      <c r="AU957" s="287"/>
      <c r="AW957" s="288"/>
      <c r="AX957" s="286"/>
      <c r="AY957" s="286"/>
      <c r="AZ957" s="287"/>
      <c r="BB957" s="288"/>
      <c r="BC957" s="286"/>
      <c r="BD957" s="286"/>
      <c r="BE957" s="287"/>
      <c r="BG957" s="288"/>
      <c r="BH957" s="286"/>
      <c r="BI957" s="286"/>
      <c r="BJ957" s="287"/>
      <c r="BL957" s="288"/>
      <c r="BM957" s="286"/>
      <c r="BN957" s="286"/>
      <c r="BO957" s="289"/>
    </row>
    <row r="958" spans="2:67" s="339" customFormat="1">
      <c r="B958" s="339" t="s">
        <v>398</v>
      </c>
      <c r="D958" s="330"/>
      <c r="E958" s="326"/>
      <c r="F958" s="326"/>
      <c r="G958" s="287"/>
      <c r="H958" s="284"/>
      <c r="I958" s="288"/>
      <c r="J958" s="286"/>
      <c r="K958" s="286"/>
      <c r="L958" s="289"/>
      <c r="M958" s="290"/>
      <c r="N958" s="288"/>
      <c r="O958" s="286"/>
      <c r="P958" s="286"/>
      <c r="Q958" s="287"/>
      <c r="S958" s="288"/>
      <c r="T958" s="286"/>
      <c r="U958" s="286"/>
      <c r="V958" s="287"/>
      <c r="X958" s="288"/>
      <c r="Y958" s="286"/>
      <c r="Z958" s="286"/>
      <c r="AA958" s="287"/>
      <c r="AC958" s="288"/>
      <c r="AD958" s="286"/>
      <c r="AE958" s="286"/>
      <c r="AF958" s="287"/>
      <c r="AH958" s="288"/>
      <c r="AI958" s="286"/>
      <c r="AJ958" s="286"/>
      <c r="AK958" s="287"/>
      <c r="AM958" s="288"/>
      <c r="AN958" s="286"/>
      <c r="AO958" s="286"/>
      <c r="AP958" s="287"/>
      <c r="AR958" s="288"/>
      <c r="AS958" s="286"/>
      <c r="AT958" s="286"/>
      <c r="AU958" s="287"/>
      <c r="AW958" s="288"/>
      <c r="AX958" s="286"/>
      <c r="AY958" s="286"/>
      <c r="AZ958" s="287"/>
      <c r="BB958" s="288"/>
      <c r="BC958" s="286"/>
      <c r="BD958" s="286"/>
      <c r="BE958" s="287"/>
      <c r="BG958" s="288"/>
      <c r="BH958" s="286"/>
      <c r="BI958" s="286"/>
      <c r="BJ958" s="287"/>
      <c r="BL958" s="288"/>
      <c r="BM958" s="286"/>
      <c r="BN958" s="286"/>
      <c r="BO958" s="289"/>
    </row>
    <row r="959" spans="2:67" s="339" customFormat="1">
      <c r="B959" s="365" t="s">
        <v>399</v>
      </c>
      <c r="C959" s="339" t="s">
        <v>393</v>
      </c>
      <c r="D959" s="330">
        <f>G903</f>
        <v>49548.175742033083</v>
      </c>
      <c r="E959" s="326">
        <f>H903</f>
        <v>45050.149999999994</v>
      </c>
      <c r="F959" s="326">
        <f>E959-D959</f>
        <v>-4498.025742033089</v>
      </c>
      <c r="G959" s="287"/>
      <c r="H959" s="284"/>
      <c r="I959" s="288"/>
      <c r="J959" s="286"/>
      <c r="K959" s="286"/>
      <c r="L959" s="289"/>
      <c r="M959" s="290"/>
      <c r="N959" s="288"/>
      <c r="O959" s="286"/>
      <c r="P959" s="286"/>
      <c r="Q959" s="287"/>
      <c r="S959" s="288"/>
      <c r="T959" s="286"/>
      <c r="U959" s="286"/>
      <c r="V959" s="287"/>
      <c r="X959" s="288"/>
      <c r="Y959" s="286"/>
      <c r="Z959" s="286"/>
      <c r="AA959" s="287"/>
      <c r="AC959" s="288"/>
      <c r="AD959" s="286"/>
      <c r="AE959" s="286"/>
      <c r="AF959" s="287"/>
      <c r="AH959" s="288"/>
      <c r="AI959" s="286"/>
      <c r="AJ959" s="286"/>
      <c r="AK959" s="287"/>
      <c r="AM959" s="288"/>
      <c r="AN959" s="286"/>
      <c r="AO959" s="286"/>
      <c r="AP959" s="287"/>
      <c r="AR959" s="288"/>
      <c r="AS959" s="286"/>
      <c r="AT959" s="286"/>
      <c r="AU959" s="287"/>
      <c r="AW959" s="288"/>
      <c r="AX959" s="286"/>
      <c r="AY959" s="286"/>
      <c r="AZ959" s="287"/>
      <c r="BB959" s="288"/>
      <c r="BC959" s="286"/>
      <c r="BD959" s="286"/>
      <c r="BE959" s="287"/>
      <c r="BG959" s="288"/>
      <c r="BH959" s="286"/>
      <c r="BI959" s="286"/>
      <c r="BJ959" s="287"/>
      <c r="BL959" s="288"/>
      <c r="BM959" s="286"/>
      <c r="BN959" s="286"/>
      <c r="BO959" s="289"/>
    </row>
    <row r="960" spans="2:67" s="339" customFormat="1">
      <c r="B960" s="365" t="s">
        <v>400</v>
      </c>
      <c r="C960" s="339" t="s">
        <v>393</v>
      </c>
      <c r="D960" s="330">
        <f>G910</f>
        <v>22727.999927221445</v>
      </c>
      <c r="E960" s="326">
        <f>H910</f>
        <v>13101.136666666665</v>
      </c>
      <c r="F960" s="326">
        <f>E960-D960</f>
        <v>-9626.8632605547791</v>
      </c>
      <c r="G960" s="287"/>
      <c r="H960" s="284"/>
      <c r="I960" s="288"/>
      <c r="J960" s="286"/>
      <c r="K960" s="286"/>
      <c r="L960" s="289"/>
      <c r="M960" s="290"/>
      <c r="N960" s="288"/>
      <c r="O960" s="286"/>
      <c r="P960" s="286"/>
      <c r="Q960" s="287"/>
      <c r="S960" s="288"/>
      <c r="T960" s="286"/>
      <c r="U960" s="286"/>
      <c r="V960" s="287"/>
      <c r="X960" s="288"/>
      <c r="Y960" s="286"/>
      <c r="Z960" s="286"/>
      <c r="AA960" s="287"/>
      <c r="AC960" s="288"/>
      <c r="AD960" s="286"/>
      <c r="AE960" s="286"/>
      <c r="AF960" s="287"/>
      <c r="AH960" s="288"/>
      <c r="AI960" s="286"/>
      <c r="AJ960" s="286"/>
      <c r="AK960" s="287"/>
      <c r="AM960" s="288"/>
      <c r="AN960" s="286"/>
      <c r="AO960" s="286"/>
      <c r="AP960" s="287"/>
      <c r="AR960" s="288"/>
      <c r="AS960" s="286"/>
      <c r="AT960" s="286"/>
      <c r="AU960" s="287"/>
      <c r="AW960" s="288"/>
      <c r="AX960" s="286"/>
      <c r="AY960" s="286"/>
      <c r="AZ960" s="287"/>
      <c r="BB960" s="288"/>
      <c r="BC960" s="286"/>
      <c r="BD960" s="286"/>
      <c r="BE960" s="287"/>
      <c r="BG960" s="288"/>
      <c r="BH960" s="286"/>
      <c r="BI960" s="286"/>
      <c r="BJ960" s="287"/>
      <c r="BL960" s="288"/>
      <c r="BM960" s="286"/>
      <c r="BN960" s="286"/>
      <c r="BO960" s="289"/>
    </row>
    <row r="961" spans="2:67" s="339" customFormat="1">
      <c r="B961" s="365" t="s">
        <v>401</v>
      </c>
      <c r="C961" s="339" t="s">
        <v>402</v>
      </c>
      <c r="D961" s="330">
        <f>G909</f>
        <v>2521.8332218465175</v>
      </c>
      <c r="E961" s="326">
        <f>H909</f>
        <v>1978.43</v>
      </c>
      <c r="F961" s="326">
        <f>E961-D961</f>
        <v>-543.40322184651745</v>
      </c>
      <c r="G961" s="287"/>
      <c r="H961" s="284"/>
      <c r="I961" s="288"/>
      <c r="J961" s="286"/>
      <c r="K961" s="286"/>
      <c r="L961" s="289"/>
      <c r="M961" s="290"/>
      <c r="N961" s="288"/>
      <c r="O961" s="286"/>
      <c r="P961" s="286"/>
      <c r="Q961" s="287"/>
      <c r="S961" s="288"/>
      <c r="T961" s="286"/>
      <c r="U961" s="286"/>
      <c r="V961" s="287"/>
      <c r="X961" s="288"/>
      <c r="Y961" s="286"/>
      <c r="Z961" s="286"/>
      <c r="AA961" s="287"/>
      <c r="AC961" s="288"/>
      <c r="AD961" s="286"/>
      <c r="AE961" s="286"/>
      <c r="AF961" s="287"/>
      <c r="AH961" s="288"/>
      <c r="AI961" s="286"/>
      <c r="AJ961" s="286"/>
      <c r="AK961" s="287"/>
      <c r="AM961" s="288"/>
      <c r="AN961" s="286"/>
      <c r="AO961" s="286"/>
      <c r="AP961" s="287"/>
      <c r="AR961" s="288"/>
      <c r="AS961" s="286"/>
      <c r="AT961" s="286"/>
      <c r="AU961" s="287"/>
      <c r="AW961" s="288"/>
      <c r="AX961" s="286"/>
      <c r="AY961" s="286"/>
      <c r="AZ961" s="287"/>
      <c r="BB961" s="288"/>
      <c r="BC961" s="286"/>
      <c r="BD961" s="286"/>
      <c r="BE961" s="287"/>
      <c r="BG961" s="288"/>
      <c r="BH961" s="286"/>
      <c r="BI961" s="286"/>
      <c r="BJ961" s="287"/>
      <c r="BL961" s="288"/>
      <c r="BM961" s="286"/>
      <c r="BN961" s="286"/>
      <c r="BO961" s="289"/>
    </row>
    <row r="962" spans="2:67" s="339" customFormat="1">
      <c r="B962" s="339" t="s">
        <v>396</v>
      </c>
      <c r="D962" s="330"/>
      <c r="E962" s="326"/>
      <c r="F962" s="326"/>
      <c r="G962" s="287"/>
      <c r="H962" s="284"/>
      <c r="I962" s="288"/>
      <c r="J962" s="286"/>
      <c r="K962" s="286"/>
      <c r="L962" s="289"/>
      <c r="M962" s="290"/>
      <c r="N962" s="288"/>
      <c r="O962" s="286"/>
      <c r="P962" s="286"/>
      <c r="Q962" s="287"/>
      <c r="S962" s="288"/>
      <c r="T962" s="286"/>
      <c r="U962" s="286"/>
      <c r="V962" s="287"/>
      <c r="X962" s="288"/>
      <c r="Y962" s="286"/>
      <c r="Z962" s="286"/>
      <c r="AA962" s="287"/>
      <c r="AC962" s="288"/>
      <c r="AD962" s="286"/>
      <c r="AE962" s="286"/>
      <c r="AF962" s="287"/>
      <c r="AH962" s="288"/>
      <c r="AI962" s="286"/>
      <c r="AJ962" s="286"/>
      <c r="AK962" s="287"/>
      <c r="AM962" s="288"/>
      <c r="AN962" s="286"/>
      <c r="AO962" s="286"/>
      <c r="AP962" s="287"/>
      <c r="AR962" s="288"/>
      <c r="AS962" s="286"/>
      <c r="AT962" s="286"/>
      <c r="AU962" s="287"/>
      <c r="AW962" s="288"/>
      <c r="AX962" s="286"/>
      <c r="AY962" s="286"/>
      <c r="AZ962" s="287"/>
      <c r="BB962" s="288"/>
      <c r="BC962" s="286"/>
      <c r="BD962" s="286"/>
      <c r="BE962" s="287"/>
      <c r="BG962" s="288"/>
      <c r="BH962" s="286"/>
      <c r="BI962" s="286"/>
      <c r="BJ962" s="287"/>
      <c r="BL962" s="288"/>
      <c r="BM962" s="286"/>
      <c r="BN962" s="286"/>
      <c r="BO962" s="289"/>
    </row>
    <row r="963" spans="2:67" s="339" customFormat="1">
      <c r="B963" s="339" t="s">
        <v>403</v>
      </c>
      <c r="D963" s="330">
        <f>D959+D961+D960</f>
        <v>74798.008891101039</v>
      </c>
      <c r="E963" s="326">
        <f>E959+E961+E960</f>
        <v>60129.71666666666</v>
      </c>
      <c r="F963" s="326">
        <f>E963-D963</f>
        <v>-14668.292224434379</v>
      </c>
      <c r="G963" s="287"/>
      <c r="H963" s="284"/>
      <c r="I963" s="288"/>
      <c r="J963" s="286"/>
      <c r="K963" s="286"/>
      <c r="L963" s="289"/>
      <c r="M963" s="290"/>
      <c r="N963" s="288"/>
      <c r="O963" s="286"/>
      <c r="P963" s="286"/>
      <c r="Q963" s="287"/>
      <c r="S963" s="288"/>
      <c r="T963" s="286"/>
      <c r="U963" s="286"/>
      <c r="V963" s="287"/>
      <c r="X963" s="288"/>
      <c r="Y963" s="286"/>
      <c r="Z963" s="286"/>
      <c r="AA963" s="287"/>
      <c r="AC963" s="288"/>
      <c r="AD963" s="286"/>
      <c r="AE963" s="286"/>
      <c r="AF963" s="287"/>
      <c r="AH963" s="288"/>
      <c r="AI963" s="286"/>
      <c r="AJ963" s="286"/>
      <c r="AK963" s="287"/>
      <c r="AM963" s="288"/>
      <c r="AN963" s="286"/>
      <c r="AO963" s="286"/>
      <c r="AP963" s="287"/>
      <c r="AR963" s="288"/>
      <c r="AS963" s="286"/>
      <c r="AT963" s="286"/>
      <c r="AU963" s="287"/>
      <c r="AW963" s="288"/>
      <c r="AX963" s="286"/>
      <c r="AY963" s="286"/>
      <c r="AZ963" s="287"/>
      <c r="BB963" s="288"/>
      <c r="BC963" s="286"/>
      <c r="BD963" s="286"/>
      <c r="BE963" s="287"/>
      <c r="BG963" s="288"/>
      <c r="BH963" s="286"/>
      <c r="BI963" s="286"/>
      <c r="BJ963" s="287"/>
      <c r="BL963" s="288"/>
      <c r="BM963" s="286"/>
      <c r="BN963" s="286"/>
      <c r="BO963" s="289"/>
    </row>
    <row r="964" spans="2:67" s="339" customFormat="1">
      <c r="B964" s="339" t="s">
        <v>396</v>
      </c>
      <c r="D964" s="330"/>
      <c r="E964" s="326"/>
      <c r="F964" s="326"/>
      <c r="G964" s="287"/>
      <c r="H964" s="284"/>
      <c r="I964" s="288"/>
      <c r="J964" s="286"/>
      <c r="K964" s="286"/>
      <c r="L964" s="289"/>
      <c r="M964" s="290"/>
      <c r="N964" s="288"/>
      <c r="O964" s="286"/>
      <c r="P964" s="286"/>
      <c r="Q964" s="287"/>
      <c r="S964" s="288"/>
      <c r="T964" s="286"/>
      <c r="U964" s="286"/>
      <c r="V964" s="287"/>
      <c r="X964" s="288"/>
      <c r="Y964" s="286"/>
      <c r="Z964" s="286"/>
      <c r="AA964" s="287"/>
      <c r="AC964" s="288"/>
      <c r="AD964" s="286"/>
      <c r="AE964" s="286"/>
      <c r="AF964" s="287"/>
      <c r="AH964" s="288"/>
      <c r="AI964" s="286"/>
      <c r="AJ964" s="286"/>
      <c r="AK964" s="287"/>
      <c r="AM964" s="288"/>
      <c r="AN964" s="286"/>
      <c r="AO964" s="286"/>
      <c r="AP964" s="287"/>
      <c r="AR964" s="288"/>
      <c r="AS964" s="286"/>
      <c r="AT964" s="286"/>
      <c r="AU964" s="287"/>
      <c r="AW964" s="288"/>
      <c r="AX964" s="286"/>
      <c r="AY964" s="286"/>
      <c r="AZ964" s="287"/>
      <c r="BB964" s="288"/>
      <c r="BC964" s="286"/>
      <c r="BD964" s="286"/>
      <c r="BE964" s="287"/>
      <c r="BG964" s="288"/>
      <c r="BH964" s="286"/>
      <c r="BI964" s="286"/>
      <c r="BJ964" s="287"/>
      <c r="BL964" s="288"/>
      <c r="BM964" s="286"/>
      <c r="BN964" s="286"/>
      <c r="BO964" s="289"/>
    </row>
    <row r="965" spans="2:67" s="339" customFormat="1">
      <c r="B965" s="365" t="s">
        <v>406</v>
      </c>
      <c r="C965" s="339" t="s">
        <v>395</v>
      </c>
      <c r="D965" s="330">
        <f>G917</f>
        <v>89369.412922659423</v>
      </c>
      <c r="E965" s="326">
        <f>H917</f>
        <v>68420.42</v>
      </c>
      <c r="F965" s="326">
        <f>E965-D965</f>
        <v>-20948.992922659425</v>
      </c>
      <c r="G965" s="287"/>
      <c r="H965" s="284"/>
      <c r="I965" s="288"/>
      <c r="J965" s="286"/>
      <c r="K965" s="286"/>
      <c r="L965" s="289"/>
      <c r="M965" s="290"/>
      <c r="N965" s="288"/>
      <c r="O965" s="286"/>
      <c r="P965" s="286"/>
      <c r="Q965" s="287"/>
      <c r="S965" s="288"/>
      <c r="T965" s="286"/>
      <c r="U965" s="286"/>
      <c r="V965" s="287"/>
      <c r="X965" s="288"/>
      <c r="Y965" s="286"/>
      <c r="Z965" s="286"/>
      <c r="AA965" s="287"/>
      <c r="AC965" s="288"/>
      <c r="AD965" s="286"/>
      <c r="AE965" s="286"/>
      <c r="AF965" s="287"/>
      <c r="AH965" s="288"/>
      <c r="AI965" s="286"/>
      <c r="AJ965" s="286"/>
      <c r="AK965" s="287"/>
      <c r="AM965" s="288"/>
      <c r="AN965" s="286"/>
      <c r="AO965" s="286"/>
      <c r="AP965" s="287"/>
      <c r="AR965" s="288"/>
      <c r="AS965" s="286"/>
      <c r="AT965" s="286"/>
      <c r="AU965" s="287"/>
      <c r="AW965" s="288"/>
      <c r="AX965" s="286"/>
      <c r="AY965" s="286"/>
      <c r="AZ965" s="287"/>
      <c r="BB965" s="288"/>
      <c r="BC965" s="286"/>
      <c r="BD965" s="286"/>
      <c r="BE965" s="287"/>
      <c r="BG965" s="288"/>
      <c r="BH965" s="286"/>
      <c r="BI965" s="286"/>
      <c r="BJ965" s="287"/>
      <c r="BL965" s="288"/>
      <c r="BM965" s="286"/>
      <c r="BN965" s="286"/>
      <c r="BO965" s="289"/>
    </row>
    <row r="966" spans="2:67" s="339" customFormat="1">
      <c r="D966" s="330"/>
      <c r="E966" s="326"/>
      <c r="F966" s="326"/>
      <c r="G966" s="287"/>
      <c r="H966" s="284"/>
      <c r="I966" s="288"/>
      <c r="J966" s="286"/>
      <c r="K966" s="286"/>
      <c r="L966" s="289"/>
      <c r="M966" s="290"/>
      <c r="N966" s="288"/>
      <c r="O966" s="286"/>
      <c r="P966" s="286"/>
      <c r="Q966" s="287"/>
      <c r="S966" s="288"/>
      <c r="T966" s="286"/>
      <c r="U966" s="286"/>
      <c r="V966" s="287"/>
      <c r="X966" s="288"/>
      <c r="Y966" s="286"/>
      <c r="Z966" s="286"/>
      <c r="AA966" s="287"/>
      <c r="AC966" s="288"/>
      <c r="AD966" s="286"/>
      <c r="AE966" s="286"/>
      <c r="AF966" s="287"/>
      <c r="AH966" s="288"/>
      <c r="AI966" s="286"/>
      <c r="AJ966" s="286"/>
      <c r="AK966" s="287"/>
      <c r="AM966" s="288"/>
      <c r="AN966" s="286"/>
      <c r="AO966" s="286"/>
      <c r="AP966" s="287"/>
      <c r="AR966" s="288"/>
      <c r="AS966" s="286"/>
      <c r="AT966" s="286"/>
      <c r="AU966" s="287"/>
      <c r="AW966" s="288"/>
      <c r="AX966" s="286"/>
      <c r="AY966" s="286"/>
      <c r="AZ966" s="287"/>
      <c r="BB966" s="288"/>
      <c r="BC966" s="286"/>
      <c r="BD966" s="286"/>
      <c r="BE966" s="287"/>
      <c r="BG966" s="288"/>
      <c r="BH966" s="286"/>
      <c r="BI966" s="286"/>
      <c r="BJ966" s="287"/>
      <c r="BL966" s="288"/>
      <c r="BM966" s="286"/>
      <c r="BN966" s="286"/>
      <c r="BO966" s="289"/>
    </row>
    <row r="967" spans="2:67" s="339" customFormat="1">
      <c r="B967" s="365" t="s">
        <v>439</v>
      </c>
      <c r="C967" s="339" t="s">
        <v>432</v>
      </c>
      <c r="D967" s="330">
        <f>G902</f>
        <v>0</v>
      </c>
      <c r="E967" s="326">
        <f>H902</f>
        <v>0</v>
      </c>
      <c r="F967" s="326">
        <f>E967-D967</f>
        <v>0</v>
      </c>
      <c r="G967" s="287"/>
      <c r="H967" s="284"/>
      <c r="I967" s="288"/>
      <c r="J967" s="286"/>
      <c r="K967" s="286"/>
      <c r="L967" s="289"/>
      <c r="M967" s="290"/>
      <c r="N967" s="288"/>
      <c r="O967" s="286"/>
      <c r="P967" s="286"/>
      <c r="Q967" s="287"/>
      <c r="S967" s="288"/>
      <c r="T967" s="286"/>
      <c r="U967" s="286"/>
      <c r="V967" s="287"/>
      <c r="X967" s="288"/>
      <c r="Y967" s="286"/>
      <c r="Z967" s="286"/>
      <c r="AA967" s="287"/>
      <c r="AC967" s="288"/>
      <c r="AD967" s="286"/>
      <c r="AE967" s="286"/>
      <c r="AF967" s="287"/>
      <c r="AH967" s="288"/>
      <c r="AI967" s="286"/>
      <c r="AJ967" s="286"/>
      <c r="AK967" s="287"/>
      <c r="AM967" s="288"/>
      <c r="AN967" s="286"/>
      <c r="AO967" s="286"/>
      <c r="AP967" s="287"/>
      <c r="AR967" s="288"/>
      <c r="AS967" s="286"/>
      <c r="AT967" s="286"/>
      <c r="AU967" s="287"/>
      <c r="AW967" s="288"/>
      <c r="AX967" s="286"/>
      <c r="AY967" s="286"/>
      <c r="AZ967" s="287"/>
      <c r="BB967" s="288"/>
      <c r="BC967" s="286"/>
      <c r="BD967" s="286"/>
      <c r="BE967" s="287"/>
      <c r="BG967" s="288"/>
      <c r="BH967" s="286"/>
      <c r="BI967" s="286"/>
      <c r="BJ967" s="287"/>
      <c r="BL967" s="288"/>
      <c r="BM967" s="286"/>
      <c r="BN967" s="286"/>
      <c r="BO967" s="289"/>
    </row>
    <row r="968" spans="2:67" s="339" customFormat="1">
      <c r="B968" s="339" t="s">
        <v>442</v>
      </c>
      <c r="D968" s="330"/>
      <c r="E968" s="326"/>
      <c r="F968" s="326"/>
      <c r="G968" s="287"/>
      <c r="H968" s="284"/>
      <c r="I968" s="288"/>
      <c r="J968" s="286"/>
      <c r="K968" s="286"/>
      <c r="L968" s="289"/>
      <c r="M968" s="290"/>
      <c r="N968" s="288"/>
      <c r="O968" s="286"/>
      <c r="P968" s="286"/>
      <c r="Q968" s="287"/>
      <c r="S968" s="288"/>
      <c r="T968" s="286"/>
      <c r="U968" s="286"/>
      <c r="V968" s="287"/>
      <c r="X968" s="288"/>
      <c r="Y968" s="286"/>
      <c r="Z968" s="286"/>
      <c r="AA968" s="287"/>
      <c r="AC968" s="288"/>
      <c r="AD968" s="286"/>
      <c r="AE968" s="286"/>
      <c r="AF968" s="287"/>
      <c r="AH968" s="288"/>
      <c r="AI968" s="286"/>
      <c r="AJ968" s="286"/>
      <c r="AK968" s="287"/>
      <c r="AM968" s="288"/>
      <c r="AN968" s="286"/>
      <c r="AO968" s="286"/>
      <c r="AP968" s="287"/>
      <c r="AR968" s="288"/>
      <c r="AS968" s="286"/>
      <c r="AT968" s="286"/>
      <c r="AU968" s="287"/>
      <c r="AW968" s="288"/>
      <c r="AX968" s="286"/>
      <c r="AY968" s="286"/>
      <c r="AZ968" s="287"/>
      <c r="BB968" s="288"/>
      <c r="BC968" s="286"/>
      <c r="BD968" s="286"/>
      <c r="BE968" s="287"/>
      <c r="BG968" s="288"/>
      <c r="BH968" s="286"/>
      <c r="BI968" s="286"/>
      <c r="BJ968" s="287"/>
      <c r="BL968" s="288"/>
      <c r="BM968" s="286"/>
      <c r="BN968" s="286"/>
      <c r="BO968" s="289"/>
    </row>
    <row r="969" spans="2:67" s="339" customFormat="1">
      <c r="B969" s="365" t="s">
        <v>433</v>
      </c>
      <c r="C969" s="339" t="s">
        <v>390</v>
      </c>
      <c r="D969" s="330">
        <f>G908</f>
        <v>0</v>
      </c>
      <c r="E969" s="326">
        <f>H908</f>
        <v>31.67</v>
      </c>
      <c r="F969" s="326">
        <f>E969-D969</f>
        <v>31.67</v>
      </c>
      <c r="G969" s="287"/>
      <c r="H969" s="284"/>
      <c r="I969" s="288"/>
      <c r="J969" s="286"/>
      <c r="K969" s="286"/>
      <c r="L969" s="289"/>
      <c r="M969" s="290"/>
      <c r="N969" s="288"/>
      <c r="O969" s="286"/>
      <c r="P969" s="286"/>
      <c r="Q969" s="287"/>
      <c r="S969" s="288"/>
      <c r="T969" s="286"/>
      <c r="U969" s="286"/>
      <c r="V969" s="287"/>
      <c r="X969" s="288"/>
      <c r="Y969" s="286"/>
      <c r="Z969" s="286"/>
      <c r="AA969" s="287"/>
      <c r="AC969" s="288"/>
      <c r="AD969" s="286"/>
      <c r="AE969" s="286"/>
      <c r="AF969" s="287"/>
      <c r="AH969" s="288"/>
      <c r="AI969" s="286"/>
      <c r="AJ969" s="286"/>
      <c r="AK969" s="287"/>
      <c r="AM969" s="288"/>
      <c r="AN969" s="286"/>
      <c r="AO969" s="286"/>
      <c r="AP969" s="287"/>
      <c r="AR969" s="288"/>
      <c r="AS969" s="286"/>
      <c r="AT969" s="286"/>
      <c r="AU969" s="287"/>
      <c r="AW969" s="288"/>
      <c r="AX969" s="286"/>
      <c r="AY969" s="286"/>
      <c r="AZ969" s="287"/>
      <c r="BB969" s="288"/>
      <c r="BC969" s="286"/>
      <c r="BD969" s="286"/>
      <c r="BE969" s="287"/>
      <c r="BG969" s="288"/>
      <c r="BH969" s="286"/>
      <c r="BI969" s="286"/>
      <c r="BJ969" s="287"/>
      <c r="BL969" s="288"/>
      <c r="BM969" s="286"/>
      <c r="BN969" s="286"/>
      <c r="BO969" s="289"/>
    </row>
    <row r="970" spans="2:67" s="339" customFormat="1">
      <c r="D970" s="330"/>
      <c r="E970" s="326"/>
      <c r="F970" s="326"/>
      <c r="G970" s="287"/>
      <c r="H970" s="284"/>
      <c r="I970" s="288"/>
      <c r="J970" s="286"/>
      <c r="K970" s="286"/>
      <c r="L970" s="289"/>
      <c r="M970" s="290"/>
      <c r="N970" s="288"/>
      <c r="O970" s="286"/>
      <c r="P970" s="286"/>
      <c r="Q970" s="287"/>
      <c r="S970" s="288"/>
      <c r="T970" s="286"/>
      <c r="U970" s="286"/>
      <c r="V970" s="287"/>
      <c r="X970" s="288"/>
      <c r="Y970" s="286"/>
      <c r="Z970" s="286"/>
      <c r="AA970" s="287"/>
      <c r="AC970" s="288"/>
      <c r="AD970" s="286"/>
      <c r="AE970" s="286"/>
      <c r="AF970" s="287"/>
      <c r="AH970" s="288"/>
      <c r="AI970" s="286"/>
      <c r="AJ970" s="286"/>
      <c r="AK970" s="287"/>
      <c r="AM970" s="288"/>
      <c r="AN970" s="286"/>
      <c r="AO970" s="286"/>
      <c r="AP970" s="287"/>
      <c r="AR970" s="288"/>
      <c r="AS970" s="286"/>
      <c r="AT970" s="286"/>
      <c r="AU970" s="287"/>
      <c r="AW970" s="288"/>
      <c r="AX970" s="286"/>
      <c r="AY970" s="286"/>
      <c r="AZ970" s="287"/>
      <c r="BB970" s="288"/>
      <c r="BC970" s="286"/>
      <c r="BD970" s="286"/>
      <c r="BE970" s="287"/>
      <c r="BG970" s="288"/>
      <c r="BH970" s="286"/>
      <c r="BI970" s="286"/>
      <c r="BJ970" s="287"/>
      <c r="BL970" s="288"/>
      <c r="BM970" s="286"/>
      <c r="BN970" s="286"/>
      <c r="BO970" s="289"/>
    </row>
    <row r="971" spans="2:67" s="339" customFormat="1">
      <c r="B971" s="365" t="s">
        <v>407</v>
      </c>
      <c r="C971" s="339" t="s">
        <v>390</v>
      </c>
      <c r="D971" s="330">
        <f>G911</f>
        <v>21204.601591735034</v>
      </c>
      <c r="E971" s="326">
        <f>H911</f>
        <v>19871.306666666664</v>
      </c>
      <c r="F971" s="326">
        <f>E971-D971</f>
        <v>-1333.2949250683705</v>
      </c>
      <c r="G971" s="287"/>
      <c r="H971" s="284"/>
      <c r="I971" s="288"/>
      <c r="J971" s="286"/>
      <c r="K971" s="286"/>
      <c r="L971" s="289"/>
      <c r="M971" s="290"/>
      <c r="N971" s="288"/>
      <c r="O971" s="286"/>
      <c r="P971" s="286"/>
      <c r="Q971" s="287"/>
      <c r="S971" s="288"/>
      <c r="T971" s="286"/>
      <c r="U971" s="286"/>
      <c r="V971" s="287"/>
      <c r="X971" s="288"/>
      <c r="Y971" s="286"/>
      <c r="Z971" s="286"/>
      <c r="AA971" s="287"/>
      <c r="AC971" s="288"/>
      <c r="AD971" s="286"/>
      <c r="AE971" s="286"/>
      <c r="AF971" s="287"/>
      <c r="AH971" s="288"/>
      <c r="AI971" s="286"/>
      <c r="AJ971" s="286"/>
      <c r="AK971" s="287"/>
      <c r="AM971" s="288"/>
      <c r="AN971" s="286"/>
      <c r="AO971" s="286"/>
      <c r="AP971" s="287"/>
      <c r="AR971" s="288"/>
      <c r="AS971" s="286"/>
      <c r="AT971" s="286"/>
      <c r="AU971" s="287"/>
      <c r="AW971" s="288"/>
      <c r="AX971" s="286"/>
      <c r="AY971" s="286"/>
      <c r="AZ971" s="287"/>
      <c r="BB971" s="288"/>
      <c r="BC971" s="286"/>
      <c r="BD971" s="286"/>
      <c r="BE971" s="287"/>
      <c r="BG971" s="288"/>
      <c r="BH971" s="286"/>
      <c r="BI971" s="286"/>
      <c r="BJ971" s="287"/>
      <c r="BL971" s="288"/>
      <c r="BM971" s="286"/>
      <c r="BN971" s="286"/>
      <c r="BO971" s="289"/>
    </row>
    <row r="972" spans="2:67" s="339" customFormat="1">
      <c r="B972" s="339" t="s">
        <v>396</v>
      </c>
      <c r="D972" s="330"/>
      <c r="E972" s="326"/>
      <c r="F972" s="326"/>
      <c r="G972" s="287"/>
      <c r="H972" s="284"/>
      <c r="I972" s="288"/>
      <c r="J972" s="286"/>
      <c r="K972" s="286"/>
      <c r="L972" s="289"/>
      <c r="M972" s="290"/>
      <c r="N972" s="288"/>
      <c r="O972" s="286"/>
      <c r="P972" s="286"/>
      <c r="Q972" s="287"/>
      <c r="S972" s="288"/>
      <c r="T972" s="286"/>
      <c r="U972" s="286"/>
      <c r="V972" s="287"/>
      <c r="X972" s="288"/>
      <c r="Y972" s="286"/>
      <c r="Z972" s="286"/>
      <c r="AA972" s="287"/>
      <c r="AC972" s="288"/>
      <c r="AD972" s="286"/>
      <c r="AE972" s="286"/>
      <c r="AF972" s="287"/>
      <c r="AH972" s="288"/>
      <c r="AI972" s="286"/>
      <c r="AJ972" s="286"/>
      <c r="AK972" s="287"/>
      <c r="AM972" s="288"/>
      <c r="AN972" s="286"/>
      <c r="AO972" s="286"/>
      <c r="AP972" s="287"/>
      <c r="AR972" s="288"/>
      <c r="AS972" s="286"/>
      <c r="AT972" s="286"/>
      <c r="AU972" s="287"/>
      <c r="AW972" s="288"/>
      <c r="AX972" s="286"/>
      <c r="AY972" s="286"/>
      <c r="AZ972" s="287"/>
      <c r="BB972" s="288"/>
      <c r="BC972" s="286"/>
      <c r="BD972" s="286"/>
      <c r="BE972" s="287"/>
      <c r="BG972" s="288"/>
      <c r="BH972" s="286"/>
      <c r="BI972" s="286"/>
      <c r="BJ972" s="287"/>
      <c r="BL972" s="288"/>
      <c r="BM972" s="286"/>
      <c r="BN972" s="286"/>
      <c r="BO972" s="289"/>
    </row>
    <row r="973" spans="2:67" s="339" customFormat="1">
      <c r="B973" s="339" t="s">
        <v>408</v>
      </c>
      <c r="D973" s="330">
        <f>SUM(D965:D971)</f>
        <v>110574.01451439445</v>
      </c>
      <c r="E973" s="326">
        <f>SUM(E965:E971)</f>
        <v>88323.396666666667</v>
      </c>
      <c r="F973" s="326">
        <f>E973-D973</f>
        <v>-22250.617847727786</v>
      </c>
      <c r="G973" s="287"/>
      <c r="H973" s="284"/>
      <c r="I973" s="288"/>
      <c r="J973" s="286"/>
      <c r="K973" s="286"/>
      <c r="L973" s="289"/>
      <c r="M973" s="290"/>
      <c r="N973" s="288"/>
      <c r="O973" s="286"/>
      <c r="P973" s="286"/>
      <c r="Q973" s="287"/>
      <c r="S973" s="288"/>
      <c r="T973" s="286"/>
      <c r="U973" s="286"/>
      <c r="V973" s="287"/>
      <c r="X973" s="288"/>
      <c r="Y973" s="286"/>
      <c r="Z973" s="286"/>
      <c r="AA973" s="287"/>
      <c r="AC973" s="288"/>
      <c r="AD973" s="286"/>
      <c r="AE973" s="286"/>
      <c r="AF973" s="287"/>
      <c r="AH973" s="288"/>
      <c r="AI973" s="286"/>
      <c r="AJ973" s="286"/>
      <c r="AK973" s="287"/>
      <c r="AM973" s="288"/>
      <c r="AN973" s="286"/>
      <c r="AO973" s="286"/>
      <c r="AP973" s="287"/>
      <c r="AR973" s="288"/>
      <c r="AS973" s="286"/>
      <c r="AT973" s="286"/>
      <c r="AU973" s="287"/>
      <c r="AW973" s="288"/>
      <c r="AX973" s="286"/>
      <c r="AY973" s="286"/>
      <c r="AZ973" s="287"/>
      <c r="BB973" s="288"/>
      <c r="BC973" s="286"/>
      <c r="BD973" s="286"/>
      <c r="BE973" s="287"/>
      <c r="BG973" s="288"/>
      <c r="BH973" s="286"/>
      <c r="BI973" s="286"/>
      <c r="BJ973" s="287"/>
      <c r="BL973" s="288"/>
      <c r="BM973" s="286"/>
      <c r="BN973" s="286"/>
      <c r="BO973" s="289"/>
    </row>
    <row r="974" spans="2:67" s="339" customFormat="1">
      <c r="B974" s="339" t="s">
        <v>396</v>
      </c>
      <c r="D974" s="330"/>
      <c r="E974" s="326"/>
      <c r="F974" s="326"/>
      <c r="G974" s="287"/>
      <c r="H974" s="284"/>
      <c r="I974" s="288"/>
      <c r="J974" s="286"/>
      <c r="K974" s="286"/>
      <c r="L974" s="289"/>
      <c r="M974" s="290"/>
      <c r="N974" s="288"/>
      <c r="O974" s="286"/>
      <c r="P974" s="286"/>
      <c r="Q974" s="287"/>
      <c r="S974" s="288"/>
      <c r="T974" s="286"/>
      <c r="U974" s="286"/>
      <c r="V974" s="287"/>
      <c r="X974" s="288"/>
      <c r="Y974" s="286"/>
      <c r="Z974" s="286"/>
      <c r="AA974" s="287"/>
      <c r="AC974" s="288"/>
      <c r="AD974" s="286"/>
      <c r="AE974" s="286"/>
      <c r="AF974" s="287"/>
      <c r="AH974" s="288"/>
      <c r="AI974" s="286"/>
      <c r="AJ974" s="286"/>
      <c r="AK974" s="287"/>
      <c r="AM974" s="288"/>
      <c r="AN974" s="286"/>
      <c r="AO974" s="286"/>
      <c r="AP974" s="287"/>
      <c r="AR974" s="288"/>
      <c r="AS974" s="286"/>
      <c r="AT974" s="286"/>
      <c r="AU974" s="287"/>
      <c r="AW974" s="288"/>
      <c r="AX974" s="286"/>
      <c r="AY974" s="286"/>
      <c r="AZ974" s="287"/>
      <c r="BB974" s="288"/>
      <c r="BC974" s="286"/>
      <c r="BD974" s="286"/>
      <c r="BE974" s="287"/>
      <c r="BG974" s="288"/>
      <c r="BH974" s="286"/>
      <c r="BI974" s="286"/>
      <c r="BJ974" s="287"/>
      <c r="BL974" s="288"/>
      <c r="BM974" s="286"/>
      <c r="BN974" s="286"/>
      <c r="BO974" s="289"/>
    </row>
    <row r="975" spans="2:67" s="339" customFormat="1">
      <c r="D975" s="330"/>
      <c r="E975" s="326"/>
      <c r="F975" s="326"/>
      <c r="G975" s="287"/>
      <c r="H975" s="284"/>
      <c r="I975" s="288"/>
      <c r="J975" s="286"/>
      <c r="K975" s="286"/>
      <c r="L975" s="289"/>
      <c r="M975" s="290"/>
      <c r="N975" s="288"/>
      <c r="O975" s="286"/>
      <c r="P975" s="286"/>
      <c r="Q975" s="287"/>
      <c r="S975" s="288"/>
      <c r="T975" s="286"/>
      <c r="U975" s="286"/>
      <c r="V975" s="287"/>
      <c r="X975" s="288"/>
      <c r="Y975" s="286"/>
      <c r="Z975" s="286"/>
      <c r="AA975" s="287"/>
      <c r="AC975" s="288"/>
      <c r="AD975" s="286"/>
      <c r="AE975" s="286"/>
      <c r="AF975" s="287"/>
      <c r="AH975" s="288"/>
      <c r="AI975" s="286"/>
      <c r="AJ975" s="286"/>
      <c r="AK975" s="287"/>
      <c r="AM975" s="288"/>
      <c r="AN975" s="286"/>
      <c r="AO975" s="286"/>
      <c r="AP975" s="287"/>
      <c r="AR975" s="288"/>
      <c r="AS975" s="286"/>
      <c r="AT975" s="286"/>
      <c r="AU975" s="287"/>
      <c r="AW975" s="288"/>
      <c r="AX975" s="286"/>
      <c r="AY975" s="286"/>
      <c r="AZ975" s="287"/>
      <c r="BB975" s="288"/>
      <c r="BC975" s="286"/>
      <c r="BD975" s="286"/>
      <c r="BE975" s="287"/>
      <c r="BG975" s="288"/>
      <c r="BH975" s="286"/>
      <c r="BI975" s="286"/>
      <c r="BJ975" s="287"/>
      <c r="BL975" s="288"/>
      <c r="BM975" s="286"/>
      <c r="BN975" s="286"/>
      <c r="BO975" s="289"/>
    </row>
    <row r="976" spans="2:67" s="339" customFormat="1">
      <c r="B976" s="339" t="s">
        <v>409</v>
      </c>
      <c r="D976" s="330"/>
      <c r="E976" s="326"/>
      <c r="F976" s="326"/>
      <c r="G976" s="287"/>
      <c r="H976" s="284"/>
      <c r="I976" s="288"/>
      <c r="J976" s="286"/>
      <c r="K976" s="286"/>
      <c r="L976" s="289"/>
      <c r="M976" s="290"/>
      <c r="N976" s="288"/>
      <c r="O976" s="286"/>
      <c r="P976" s="286"/>
      <c r="Q976" s="287"/>
      <c r="S976" s="288"/>
      <c r="T976" s="286"/>
      <c r="U976" s="286"/>
      <c r="V976" s="287"/>
      <c r="X976" s="288"/>
      <c r="Y976" s="286"/>
      <c r="Z976" s="286"/>
      <c r="AA976" s="287"/>
      <c r="AC976" s="288"/>
      <c r="AD976" s="286"/>
      <c r="AE976" s="286"/>
      <c r="AF976" s="287"/>
      <c r="AH976" s="288"/>
      <c r="AI976" s="286"/>
      <c r="AJ976" s="286"/>
      <c r="AK976" s="287"/>
      <c r="AM976" s="288"/>
      <c r="AN976" s="286"/>
      <c r="AO976" s="286"/>
      <c r="AP976" s="287"/>
      <c r="AR976" s="288"/>
      <c r="AS976" s="286"/>
      <c r="AT976" s="286"/>
      <c r="AU976" s="287"/>
      <c r="AW976" s="288"/>
      <c r="AX976" s="286"/>
      <c r="AY976" s="286"/>
      <c r="AZ976" s="287"/>
      <c r="BB976" s="288"/>
      <c r="BC976" s="286"/>
      <c r="BD976" s="286"/>
      <c r="BE976" s="287"/>
      <c r="BG976" s="288"/>
      <c r="BH976" s="286"/>
      <c r="BI976" s="286"/>
      <c r="BJ976" s="287"/>
      <c r="BL976" s="288"/>
      <c r="BM976" s="286"/>
      <c r="BN976" s="286"/>
      <c r="BO976" s="289"/>
    </row>
    <row r="977" spans="2:67" s="339" customFormat="1">
      <c r="B977" s="365" t="s">
        <v>410</v>
      </c>
      <c r="C977" s="339" t="s">
        <v>395</v>
      </c>
      <c r="D977" s="330">
        <f>G904</f>
        <v>42124.852463515563</v>
      </c>
      <c r="E977" s="326">
        <f>H904</f>
        <v>44445.63</v>
      </c>
      <c r="F977" s="326">
        <f>E977-D977</f>
        <v>2320.7775364844347</v>
      </c>
      <c r="G977" s="287"/>
      <c r="H977" s="284"/>
      <c r="I977" s="288"/>
      <c r="J977" s="286"/>
      <c r="K977" s="286"/>
      <c r="L977" s="289"/>
      <c r="M977" s="290"/>
      <c r="N977" s="288"/>
      <c r="O977" s="286"/>
      <c r="P977" s="286"/>
      <c r="Q977" s="287"/>
      <c r="S977" s="288"/>
      <c r="T977" s="286"/>
      <c r="U977" s="286"/>
      <c r="V977" s="287"/>
      <c r="X977" s="288"/>
      <c r="Y977" s="286"/>
      <c r="Z977" s="286"/>
      <c r="AA977" s="287"/>
      <c r="AC977" s="288"/>
      <c r="AD977" s="286"/>
      <c r="AE977" s="286"/>
      <c r="AF977" s="287"/>
      <c r="AH977" s="288"/>
      <c r="AI977" s="286"/>
      <c r="AJ977" s="286"/>
      <c r="AK977" s="287"/>
      <c r="AM977" s="288"/>
      <c r="AN977" s="286"/>
      <c r="AO977" s="286"/>
      <c r="AP977" s="287"/>
      <c r="AR977" s="288"/>
      <c r="AS977" s="286"/>
      <c r="AT977" s="286"/>
      <c r="AU977" s="287"/>
      <c r="AW977" s="288"/>
      <c r="AX977" s="286"/>
      <c r="AY977" s="286"/>
      <c r="AZ977" s="287"/>
      <c r="BB977" s="288"/>
      <c r="BC977" s="286"/>
      <c r="BD977" s="286"/>
      <c r="BE977" s="287"/>
      <c r="BG977" s="288"/>
      <c r="BH977" s="286"/>
      <c r="BI977" s="286"/>
      <c r="BJ977" s="287"/>
      <c r="BL977" s="288"/>
      <c r="BM977" s="286"/>
      <c r="BN977" s="286"/>
      <c r="BO977" s="289"/>
    </row>
    <row r="978" spans="2:67" s="339" customFormat="1">
      <c r="B978" s="339" t="s">
        <v>396</v>
      </c>
      <c r="D978" s="330"/>
      <c r="E978" s="326"/>
      <c r="F978" s="326"/>
      <c r="G978" s="287"/>
      <c r="H978" s="284"/>
      <c r="I978" s="288"/>
      <c r="J978" s="286"/>
      <c r="K978" s="286"/>
      <c r="L978" s="289"/>
      <c r="M978" s="290"/>
      <c r="N978" s="288"/>
      <c r="O978" s="286"/>
      <c r="P978" s="286"/>
      <c r="Q978" s="287"/>
      <c r="S978" s="288"/>
      <c r="T978" s="286"/>
      <c r="U978" s="286"/>
      <c r="V978" s="287"/>
      <c r="X978" s="288"/>
      <c r="Y978" s="286"/>
      <c r="Z978" s="286"/>
      <c r="AA978" s="287"/>
      <c r="AC978" s="288"/>
      <c r="AD978" s="286"/>
      <c r="AE978" s="286"/>
      <c r="AF978" s="287"/>
      <c r="AH978" s="288"/>
      <c r="AI978" s="286"/>
      <c r="AJ978" s="286"/>
      <c r="AK978" s="287"/>
      <c r="AM978" s="288"/>
      <c r="AN978" s="286"/>
      <c r="AO978" s="286"/>
      <c r="AP978" s="287"/>
      <c r="AR978" s="288"/>
      <c r="AS978" s="286"/>
      <c r="AT978" s="286"/>
      <c r="AU978" s="287"/>
      <c r="AW978" s="288"/>
      <c r="AX978" s="286"/>
      <c r="AY978" s="286"/>
      <c r="AZ978" s="287"/>
      <c r="BB978" s="288"/>
      <c r="BC978" s="286"/>
      <c r="BD978" s="286"/>
      <c r="BE978" s="287"/>
      <c r="BG978" s="288"/>
      <c r="BH978" s="286"/>
      <c r="BI978" s="286"/>
      <c r="BJ978" s="287"/>
      <c r="BL978" s="288"/>
      <c r="BM978" s="286"/>
      <c r="BN978" s="286"/>
      <c r="BO978" s="289"/>
    </row>
    <row r="979" spans="2:67" s="339" customFormat="1">
      <c r="B979" s="339" t="s">
        <v>411</v>
      </c>
      <c r="D979" s="330">
        <f>D977</f>
        <v>42124.852463515563</v>
      </c>
      <c r="E979" s="326">
        <f>E977</f>
        <v>44445.63</v>
      </c>
      <c r="F979" s="326">
        <f>E979-D979</f>
        <v>2320.7775364844347</v>
      </c>
      <c r="G979" s="287"/>
      <c r="H979" s="284"/>
      <c r="I979" s="288"/>
      <c r="J979" s="286"/>
      <c r="K979" s="286"/>
      <c r="L979" s="289"/>
      <c r="M979" s="290"/>
      <c r="N979" s="288"/>
      <c r="O979" s="286"/>
      <c r="P979" s="286"/>
      <c r="Q979" s="287"/>
      <c r="S979" s="288"/>
      <c r="T979" s="286"/>
      <c r="U979" s="286"/>
      <c r="V979" s="287"/>
      <c r="X979" s="288"/>
      <c r="Y979" s="286"/>
      <c r="Z979" s="286"/>
      <c r="AA979" s="287"/>
      <c r="AC979" s="288"/>
      <c r="AD979" s="286"/>
      <c r="AE979" s="286"/>
      <c r="AF979" s="287"/>
      <c r="AH979" s="288"/>
      <c r="AI979" s="286"/>
      <c r="AJ979" s="286"/>
      <c r="AK979" s="287"/>
      <c r="AM979" s="288"/>
      <c r="AN979" s="286"/>
      <c r="AO979" s="286"/>
      <c r="AP979" s="287"/>
      <c r="AR979" s="288"/>
      <c r="AS979" s="286"/>
      <c r="AT979" s="286"/>
      <c r="AU979" s="287"/>
      <c r="AW979" s="288"/>
      <c r="AX979" s="286"/>
      <c r="AY979" s="286"/>
      <c r="AZ979" s="287"/>
      <c r="BB979" s="288"/>
      <c r="BC979" s="286"/>
      <c r="BD979" s="286"/>
      <c r="BE979" s="287"/>
      <c r="BG979" s="288"/>
      <c r="BH979" s="286"/>
      <c r="BI979" s="286"/>
      <c r="BJ979" s="287"/>
      <c r="BL979" s="288"/>
      <c r="BM979" s="286"/>
      <c r="BN979" s="286"/>
      <c r="BO979" s="289"/>
    </row>
    <row r="980" spans="2:67" s="339" customFormat="1">
      <c r="B980" s="339" t="s">
        <v>396</v>
      </c>
      <c r="D980" s="330"/>
      <c r="E980" s="326"/>
      <c r="F980" s="326"/>
      <c r="G980" s="287"/>
      <c r="H980" s="284"/>
      <c r="I980" s="288"/>
      <c r="J980" s="286"/>
      <c r="K980" s="286"/>
      <c r="L980" s="289"/>
      <c r="M980" s="290"/>
      <c r="N980" s="288"/>
      <c r="O980" s="286"/>
      <c r="P980" s="286"/>
      <c r="Q980" s="287"/>
      <c r="S980" s="288"/>
      <c r="T980" s="286"/>
      <c r="U980" s="286"/>
      <c r="V980" s="287"/>
      <c r="X980" s="288"/>
      <c r="Y980" s="286"/>
      <c r="Z980" s="286"/>
      <c r="AA980" s="287"/>
      <c r="AC980" s="288"/>
      <c r="AD980" s="286"/>
      <c r="AE980" s="286"/>
      <c r="AF980" s="287"/>
      <c r="AH980" s="288"/>
      <c r="AI980" s="286"/>
      <c r="AJ980" s="286"/>
      <c r="AK980" s="287"/>
      <c r="AM980" s="288"/>
      <c r="AN980" s="286"/>
      <c r="AO980" s="286"/>
      <c r="AP980" s="287"/>
      <c r="AR980" s="288"/>
      <c r="AS980" s="286"/>
      <c r="AT980" s="286"/>
      <c r="AU980" s="287"/>
      <c r="AW980" s="288"/>
      <c r="AX980" s="286"/>
      <c r="AY980" s="286"/>
      <c r="AZ980" s="287"/>
      <c r="BB980" s="288"/>
      <c r="BC980" s="286"/>
      <c r="BD980" s="286"/>
      <c r="BE980" s="287"/>
      <c r="BG980" s="288"/>
      <c r="BH980" s="286"/>
      <c r="BI980" s="286"/>
      <c r="BJ980" s="287"/>
      <c r="BL980" s="288"/>
      <c r="BM980" s="286"/>
      <c r="BN980" s="286"/>
      <c r="BO980" s="289"/>
    </row>
    <row r="981" spans="2:67" s="339" customFormat="1">
      <c r="B981" s="339" t="s">
        <v>457</v>
      </c>
      <c r="C981" s="339" t="s">
        <v>402</v>
      </c>
      <c r="D981" s="330">
        <f>G915</f>
        <v>1637.92</v>
      </c>
      <c r="E981" s="326">
        <f>H915</f>
        <v>1637.92</v>
      </c>
      <c r="F981" s="326">
        <f>E981-D981</f>
        <v>0</v>
      </c>
      <c r="G981" s="287"/>
      <c r="H981" s="284"/>
      <c r="I981" s="288"/>
      <c r="J981" s="286"/>
      <c r="K981" s="286"/>
      <c r="L981" s="289"/>
      <c r="M981" s="290"/>
      <c r="N981" s="288"/>
      <c r="O981" s="286"/>
      <c r="P981" s="286"/>
      <c r="Q981" s="287"/>
      <c r="S981" s="288"/>
      <c r="T981" s="286"/>
      <c r="U981" s="286"/>
      <c r="V981" s="287"/>
      <c r="X981" s="288"/>
      <c r="Y981" s="286"/>
      <c r="Z981" s="286"/>
      <c r="AA981" s="287"/>
      <c r="AC981" s="288"/>
      <c r="AD981" s="286"/>
      <c r="AE981" s="286"/>
      <c r="AF981" s="287"/>
      <c r="AH981" s="288"/>
      <c r="AI981" s="286"/>
      <c r="AJ981" s="286"/>
      <c r="AK981" s="287"/>
      <c r="AM981" s="288"/>
      <c r="AN981" s="286"/>
      <c r="AO981" s="286"/>
      <c r="AP981" s="287"/>
      <c r="AR981" s="288"/>
      <c r="AS981" s="286"/>
      <c r="AT981" s="286"/>
      <c r="AU981" s="287"/>
      <c r="AW981" s="288"/>
      <c r="AX981" s="286"/>
      <c r="AY981" s="286"/>
      <c r="AZ981" s="287"/>
      <c r="BB981" s="288"/>
      <c r="BC981" s="286"/>
      <c r="BD981" s="286"/>
      <c r="BE981" s="287"/>
      <c r="BG981" s="288"/>
      <c r="BH981" s="286"/>
      <c r="BI981" s="286"/>
      <c r="BJ981" s="287"/>
      <c r="BL981" s="288"/>
      <c r="BM981" s="286"/>
      <c r="BN981" s="286"/>
      <c r="BO981" s="289"/>
    </row>
    <row r="982" spans="2:67" s="339" customFormat="1">
      <c r="B982" s="339" t="s">
        <v>396</v>
      </c>
      <c r="D982" s="330"/>
      <c r="E982" s="326"/>
      <c r="F982" s="326"/>
      <c r="G982" s="287"/>
      <c r="H982" s="284"/>
      <c r="I982" s="288"/>
      <c r="J982" s="286"/>
      <c r="K982" s="286"/>
      <c r="L982" s="289"/>
      <c r="M982" s="290"/>
      <c r="N982" s="288"/>
      <c r="O982" s="286"/>
      <c r="P982" s="286"/>
      <c r="Q982" s="287"/>
      <c r="S982" s="288"/>
      <c r="T982" s="286"/>
      <c r="U982" s="286"/>
      <c r="V982" s="287"/>
      <c r="X982" s="288"/>
      <c r="Y982" s="286"/>
      <c r="Z982" s="286"/>
      <c r="AA982" s="287"/>
      <c r="AC982" s="288"/>
      <c r="AD982" s="286"/>
      <c r="AE982" s="286"/>
      <c r="AF982" s="287"/>
      <c r="AH982" s="288"/>
      <c r="AI982" s="286"/>
      <c r="AJ982" s="286"/>
      <c r="AK982" s="287"/>
      <c r="AM982" s="288"/>
      <c r="AN982" s="286"/>
      <c r="AO982" s="286"/>
      <c r="AP982" s="287"/>
      <c r="AR982" s="288"/>
      <c r="AS982" s="286"/>
      <c r="AT982" s="286"/>
      <c r="AU982" s="287"/>
      <c r="AW982" s="288"/>
      <c r="AX982" s="286"/>
      <c r="AY982" s="286"/>
      <c r="AZ982" s="287"/>
      <c r="BB982" s="288"/>
      <c r="BC982" s="286"/>
      <c r="BD982" s="286"/>
      <c r="BE982" s="287"/>
      <c r="BG982" s="288"/>
      <c r="BH982" s="286"/>
      <c r="BI982" s="286"/>
      <c r="BJ982" s="287"/>
      <c r="BL982" s="288"/>
      <c r="BM982" s="286"/>
      <c r="BN982" s="286"/>
      <c r="BO982" s="289"/>
    </row>
    <row r="983" spans="2:67" s="339" customFormat="1">
      <c r="B983" s="339" t="s">
        <v>413</v>
      </c>
      <c r="D983" s="330">
        <f>G916</f>
        <v>1610.1399999999999</v>
      </c>
      <c r="E983" s="326">
        <f>H916</f>
        <v>1610.1399999999999</v>
      </c>
      <c r="F983" s="326">
        <f>E983-D983</f>
        <v>0</v>
      </c>
      <c r="G983" s="287"/>
      <c r="H983" s="284"/>
      <c r="I983" s="288"/>
      <c r="J983" s="286"/>
      <c r="K983" s="286"/>
      <c r="L983" s="289"/>
      <c r="M983" s="290"/>
      <c r="N983" s="288"/>
      <c r="O983" s="286"/>
      <c r="P983" s="286"/>
      <c r="Q983" s="287"/>
      <c r="S983" s="288"/>
      <c r="T983" s="286"/>
      <c r="U983" s="286"/>
      <c r="V983" s="287"/>
      <c r="X983" s="288"/>
      <c r="Y983" s="286"/>
      <c r="Z983" s="286"/>
      <c r="AA983" s="287"/>
      <c r="AC983" s="288"/>
      <c r="AD983" s="286"/>
      <c r="AE983" s="286"/>
      <c r="AF983" s="287"/>
      <c r="AH983" s="288"/>
      <c r="AI983" s="286"/>
      <c r="AJ983" s="286"/>
      <c r="AK983" s="287"/>
      <c r="AM983" s="288"/>
      <c r="AN983" s="286"/>
      <c r="AO983" s="286"/>
      <c r="AP983" s="287"/>
      <c r="AR983" s="288"/>
      <c r="AS983" s="286"/>
      <c r="AT983" s="286"/>
      <c r="AU983" s="287"/>
      <c r="AW983" s="288"/>
      <c r="AX983" s="286"/>
      <c r="AY983" s="286"/>
      <c r="AZ983" s="287"/>
      <c r="BB983" s="288"/>
      <c r="BC983" s="286"/>
      <c r="BD983" s="286"/>
      <c r="BE983" s="287"/>
      <c r="BG983" s="288"/>
      <c r="BH983" s="286"/>
      <c r="BI983" s="286"/>
      <c r="BJ983" s="287"/>
      <c r="BL983" s="288"/>
      <c r="BM983" s="286"/>
      <c r="BN983" s="286"/>
      <c r="BO983" s="289"/>
    </row>
    <row r="984" spans="2:67" s="339" customFormat="1">
      <c r="B984" s="339" t="s">
        <v>396</v>
      </c>
      <c r="D984" s="330"/>
      <c r="E984" s="326"/>
      <c r="F984" s="326"/>
      <c r="G984" s="287"/>
      <c r="H984" s="284"/>
      <c r="I984" s="288"/>
      <c r="J984" s="286"/>
      <c r="K984" s="286"/>
      <c r="L984" s="289"/>
      <c r="M984" s="290"/>
      <c r="N984" s="288"/>
      <c r="O984" s="286"/>
      <c r="P984" s="286"/>
      <c r="Q984" s="287"/>
      <c r="S984" s="288"/>
      <c r="T984" s="286"/>
      <c r="U984" s="286"/>
      <c r="V984" s="287"/>
      <c r="X984" s="288"/>
      <c r="Y984" s="286"/>
      <c r="Z984" s="286"/>
      <c r="AA984" s="287"/>
      <c r="AC984" s="288"/>
      <c r="AD984" s="286"/>
      <c r="AE984" s="286"/>
      <c r="AF984" s="287"/>
      <c r="AH984" s="288"/>
      <c r="AI984" s="286"/>
      <c r="AJ984" s="286"/>
      <c r="AK984" s="287"/>
      <c r="AM984" s="288"/>
      <c r="AN984" s="286"/>
      <c r="AO984" s="286"/>
      <c r="AP984" s="287"/>
      <c r="AR984" s="288"/>
      <c r="AS984" s="286"/>
      <c r="AT984" s="286"/>
      <c r="AU984" s="287"/>
      <c r="AW984" s="288"/>
      <c r="AX984" s="286"/>
      <c r="AY984" s="286"/>
      <c r="AZ984" s="287"/>
      <c r="BB984" s="288"/>
      <c r="BC984" s="286"/>
      <c r="BD984" s="286"/>
      <c r="BE984" s="287"/>
      <c r="BG984" s="288"/>
      <c r="BH984" s="286"/>
      <c r="BI984" s="286"/>
      <c r="BJ984" s="287"/>
      <c r="BL984" s="288"/>
      <c r="BM984" s="286"/>
      <c r="BN984" s="286"/>
      <c r="BO984" s="289"/>
    </row>
    <row r="985" spans="2:67" s="339" customFormat="1">
      <c r="B985" s="339" t="s">
        <v>455</v>
      </c>
      <c r="C985" s="339" t="s">
        <v>402</v>
      </c>
      <c r="D985" s="330">
        <f>G905</f>
        <v>4482.3931692030437</v>
      </c>
      <c r="E985" s="326">
        <f>H905</f>
        <v>1908.9766666666667</v>
      </c>
      <c r="F985" s="326">
        <f>E985-D985</f>
        <v>-2573.4165025363773</v>
      </c>
      <c r="G985" s="287"/>
      <c r="H985" s="284"/>
      <c r="I985" s="288"/>
      <c r="J985" s="286"/>
      <c r="K985" s="286"/>
      <c r="L985" s="289"/>
      <c r="M985" s="290"/>
      <c r="N985" s="288"/>
      <c r="O985" s="286"/>
      <c r="P985" s="286"/>
      <c r="Q985" s="287"/>
      <c r="S985" s="288"/>
      <c r="T985" s="286"/>
      <c r="U985" s="286"/>
      <c r="V985" s="287"/>
      <c r="X985" s="288"/>
      <c r="Y985" s="286"/>
      <c r="Z985" s="286"/>
      <c r="AA985" s="287"/>
      <c r="AC985" s="288"/>
      <c r="AD985" s="286"/>
      <c r="AE985" s="286"/>
      <c r="AF985" s="287"/>
      <c r="AH985" s="288"/>
      <c r="AI985" s="286"/>
      <c r="AJ985" s="286"/>
      <c r="AK985" s="287"/>
      <c r="AM985" s="288"/>
      <c r="AN985" s="286"/>
      <c r="AO985" s="286"/>
      <c r="AP985" s="287"/>
      <c r="AR985" s="288"/>
      <c r="AS985" s="286"/>
      <c r="AT985" s="286"/>
      <c r="AU985" s="287"/>
      <c r="AW985" s="288"/>
      <c r="AX985" s="286"/>
      <c r="AY985" s="286"/>
      <c r="AZ985" s="287"/>
      <c r="BB985" s="288"/>
      <c r="BC985" s="286"/>
      <c r="BD985" s="286"/>
      <c r="BE985" s="287"/>
      <c r="BG985" s="288"/>
      <c r="BH985" s="286"/>
      <c r="BI985" s="286"/>
      <c r="BJ985" s="287"/>
      <c r="BL985" s="288"/>
      <c r="BM985" s="286"/>
      <c r="BN985" s="286"/>
      <c r="BO985" s="289"/>
    </row>
    <row r="986" spans="2:67" s="339" customFormat="1">
      <c r="B986" s="365" t="s">
        <v>416</v>
      </c>
      <c r="C986" s="339" t="s">
        <v>402</v>
      </c>
      <c r="D986" s="330">
        <f>G906</f>
        <v>9686.8071679999994</v>
      </c>
      <c r="E986" s="326">
        <f>H906</f>
        <v>8562.42</v>
      </c>
      <c r="F986" s="326">
        <f>E986-D986</f>
        <v>-1124.3871679999993</v>
      </c>
      <c r="G986" s="287"/>
      <c r="H986" s="284"/>
      <c r="I986" s="288"/>
      <c r="J986" s="286"/>
      <c r="K986" s="286"/>
      <c r="L986" s="289"/>
      <c r="M986" s="290"/>
      <c r="N986" s="288"/>
      <c r="O986" s="286"/>
      <c r="P986" s="286"/>
      <c r="Q986" s="287"/>
      <c r="S986" s="288"/>
      <c r="T986" s="286"/>
      <c r="U986" s="286"/>
      <c r="V986" s="287"/>
      <c r="X986" s="288"/>
      <c r="Y986" s="286"/>
      <c r="Z986" s="286"/>
      <c r="AA986" s="287"/>
      <c r="AC986" s="288"/>
      <c r="AD986" s="286"/>
      <c r="AE986" s="286"/>
      <c r="AF986" s="287"/>
      <c r="AH986" s="288"/>
      <c r="AI986" s="286"/>
      <c r="AJ986" s="286"/>
      <c r="AK986" s="287"/>
      <c r="AM986" s="288"/>
      <c r="AN986" s="286"/>
      <c r="AO986" s="286"/>
      <c r="AP986" s="287"/>
      <c r="AR986" s="288"/>
      <c r="AS986" s="286"/>
      <c r="AT986" s="286"/>
      <c r="AU986" s="287"/>
      <c r="AW986" s="288"/>
      <c r="AX986" s="286"/>
      <c r="AY986" s="286"/>
      <c r="AZ986" s="287"/>
      <c r="BB986" s="288"/>
      <c r="BC986" s="286"/>
      <c r="BD986" s="286"/>
      <c r="BE986" s="287"/>
      <c r="BG986" s="288"/>
      <c r="BH986" s="286"/>
      <c r="BI986" s="286"/>
      <c r="BJ986" s="287"/>
      <c r="BL986" s="288"/>
      <c r="BM986" s="286"/>
      <c r="BN986" s="286"/>
      <c r="BO986" s="289"/>
    </row>
    <row r="987" spans="2:67" s="339" customFormat="1">
      <c r="B987" s="365" t="s">
        <v>417</v>
      </c>
      <c r="C987" s="339" t="s">
        <v>402</v>
      </c>
      <c r="D987" s="330">
        <f>G912</f>
        <v>13877.484862150779</v>
      </c>
      <c r="E987" s="326">
        <f>H912</f>
        <v>8452.5633333333335</v>
      </c>
      <c r="F987" s="326">
        <f>E987-D987</f>
        <v>-5424.9215288174455</v>
      </c>
      <c r="G987" s="287"/>
      <c r="H987" s="284"/>
      <c r="I987" s="288"/>
      <c r="J987" s="286"/>
      <c r="K987" s="286"/>
      <c r="L987" s="289"/>
      <c r="M987" s="290"/>
      <c r="N987" s="288"/>
      <c r="O987" s="286"/>
      <c r="P987" s="286"/>
      <c r="Q987" s="287"/>
      <c r="S987" s="288"/>
      <c r="T987" s="286"/>
      <c r="U987" s="286"/>
      <c r="V987" s="287"/>
      <c r="X987" s="288"/>
      <c r="Y987" s="286"/>
      <c r="Z987" s="286"/>
      <c r="AA987" s="287"/>
      <c r="AC987" s="288"/>
      <c r="AD987" s="286"/>
      <c r="AE987" s="286"/>
      <c r="AF987" s="287"/>
      <c r="AH987" s="288"/>
      <c r="AI987" s="286"/>
      <c r="AJ987" s="286"/>
      <c r="AK987" s="287"/>
      <c r="AM987" s="288"/>
      <c r="AN987" s="286"/>
      <c r="AO987" s="286"/>
      <c r="AP987" s="287"/>
      <c r="AR987" s="288"/>
      <c r="AS987" s="286"/>
      <c r="AT987" s="286"/>
      <c r="AU987" s="287"/>
      <c r="AW987" s="288"/>
      <c r="AX987" s="286"/>
      <c r="AY987" s="286"/>
      <c r="AZ987" s="287"/>
      <c r="BB987" s="288"/>
      <c r="BC987" s="286"/>
      <c r="BD987" s="286"/>
      <c r="BE987" s="287"/>
      <c r="BG987" s="288"/>
      <c r="BH987" s="286"/>
      <c r="BI987" s="286"/>
      <c r="BJ987" s="287"/>
      <c r="BL987" s="288"/>
      <c r="BM987" s="286"/>
      <c r="BN987" s="286"/>
      <c r="BO987" s="289"/>
    </row>
    <row r="988" spans="2:67" s="339" customFormat="1">
      <c r="B988" s="339" t="s">
        <v>396</v>
      </c>
      <c r="D988" s="330"/>
      <c r="E988" s="326"/>
      <c r="F988" s="326"/>
      <c r="G988" s="287"/>
      <c r="H988" s="284"/>
      <c r="I988" s="288"/>
      <c r="J988" s="286"/>
      <c r="K988" s="286"/>
      <c r="L988" s="289"/>
      <c r="M988" s="290"/>
      <c r="N988" s="288"/>
      <c r="O988" s="286"/>
      <c r="P988" s="286"/>
      <c r="Q988" s="287"/>
      <c r="S988" s="288"/>
      <c r="T988" s="286"/>
      <c r="U988" s="286"/>
      <c r="V988" s="287"/>
      <c r="X988" s="288"/>
      <c r="Y988" s="286"/>
      <c r="Z988" s="286"/>
      <c r="AA988" s="287"/>
      <c r="AC988" s="288"/>
      <c r="AD988" s="286"/>
      <c r="AE988" s="286"/>
      <c r="AF988" s="287"/>
      <c r="AH988" s="288"/>
      <c r="AI988" s="286"/>
      <c r="AJ988" s="286"/>
      <c r="AK988" s="287"/>
      <c r="AM988" s="288"/>
      <c r="AN988" s="286"/>
      <c r="AO988" s="286"/>
      <c r="AP988" s="287"/>
      <c r="AR988" s="288"/>
      <c r="AS988" s="286"/>
      <c r="AT988" s="286"/>
      <c r="AU988" s="287"/>
      <c r="AW988" s="288"/>
      <c r="AX988" s="286"/>
      <c r="AY988" s="286"/>
      <c r="AZ988" s="287"/>
      <c r="BB988" s="288"/>
      <c r="BC988" s="286"/>
      <c r="BD988" s="286"/>
      <c r="BE988" s="287"/>
      <c r="BG988" s="288"/>
      <c r="BH988" s="286"/>
      <c r="BI988" s="286"/>
      <c r="BJ988" s="287"/>
      <c r="BL988" s="288"/>
      <c r="BM988" s="286"/>
      <c r="BN988" s="286"/>
      <c r="BO988" s="289"/>
    </row>
    <row r="989" spans="2:67" s="339" customFormat="1">
      <c r="B989" s="339" t="s">
        <v>418</v>
      </c>
      <c r="D989" s="330">
        <f>SUM(D985:D987)</f>
        <v>28046.685199353822</v>
      </c>
      <c r="E989" s="326">
        <f>SUM(E985:E987)</f>
        <v>18923.96</v>
      </c>
      <c r="F989" s="326">
        <f>E989-D989</f>
        <v>-9122.725199353823</v>
      </c>
      <c r="G989" s="287"/>
      <c r="H989" s="284"/>
      <c r="I989" s="288"/>
      <c r="J989" s="286"/>
      <c r="K989" s="286"/>
      <c r="L989" s="289"/>
      <c r="M989" s="290"/>
      <c r="N989" s="288"/>
      <c r="O989" s="286"/>
      <c r="P989" s="286"/>
      <c r="Q989" s="287"/>
      <c r="S989" s="288"/>
      <c r="T989" s="286"/>
      <c r="U989" s="286"/>
      <c r="V989" s="287"/>
      <c r="X989" s="288"/>
      <c r="Y989" s="286"/>
      <c r="Z989" s="286"/>
      <c r="AA989" s="287"/>
      <c r="AC989" s="288"/>
      <c r="AD989" s="286"/>
      <c r="AE989" s="286"/>
      <c r="AF989" s="287"/>
      <c r="AH989" s="288"/>
      <c r="AI989" s="286"/>
      <c r="AJ989" s="286"/>
      <c r="AK989" s="287"/>
      <c r="AM989" s="288"/>
      <c r="AN989" s="286"/>
      <c r="AO989" s="286"/>
      <c r="AP989" s="287"/>
      <c r="AR989" s="288"/>
      <c r="AS989" s="286"/>
      <c r="AT989" s="286"/>
      <c r="AU989" s="287"/>
      <c r="AW989" s="288"/>
      <c r="AX989" s="286"/>
      <c r="AY989" s="286"/>
      <c r="AZ989" s="287"/>
      <c r="BB989" s="288"/>
      <c r="BC989" s="286"/>
      <c r="BD989" s="286"/>
      <c r="BE989" s="287"/>
      <c r="BG989" s="288"/>
      <c r="BH989" s="286"/>
      <c r="BI989" s="286"/>
      <c r="BJ989" s="287"/>
      <c r="BL989" s="288"/>
      <c r="BM989" s="286"/>
      <c r="BN989" s="286"/>
      <c r="BO989" s="289"/>
    </row>
    <row r="990" spans="2:67" s="339" customFormat="1">
      <c r="B990" s="339" t="s">
        <v>396</v>
      </c>
      <c r="D990" s="330"/>
      <c r="E990" s="326"/>
      <c r="F990" s="326"/>
      <c r="G990" s="287"/>
      <c r="H990" s="284"/>
      <c r="I990" s="288"/>
      <c r="J990" s="286"/>
      <c r="K990" s="286"/>
      <c r="L990" s="289"/>
      <c r="M990" s="290"/>
      <c r="N990" s="288"/>
      <c r="O990" s="286"/>
      <c r="P990" s="286"/>
      <c r="Q990" s="287"/>
      <c r="S990" s="288"/>
      <c r="T990" s="286"/>
      <c r="U990" s="286"/>
      <c r="V990" s="287"/>
      <c r="X990" s="288"/>
      <c r="Y990" s="286"/>
      <c r="Z990" s="286"/>
      <c r="AA990" s="287"/>
      <c r="AC990" s="288"/>
      <c r="AD990" s="286"/>
      <c r="AE990" s="286"/>
      <c r="AF990" s="287"/>
      <c r="AH990" s="288"/>
      <c r="AI990" s="286"/>
      <c r="AJ990" s="286"/>
      <c r="AK990" s="287"/>
      <c r="AM990" s="288"/>
      <c r="AN990" s="286"/>
      <c r="AO990" s="286"/>
      <c r="AP990" s="287"/>
      <c r="AR990" s="288"/>
      <c r="AS990" s="286"/>
      <c r="AT990" s="286"/>
      <c r="AU990" s="287"/>
      <c r="AW990" s="288"/>
      <c r="AX990" s="286"/>
      <c r="AY990" s="286"/>
      <c r="AZ990" s="287"/>
      <c r="BB990" s="288"/>
      <c r="BC990" s="286"/>
      <c r="BD990" s="286"/>
      <c r="BE990" s="287"/>
      <c r="BG990" s="288"/>
      <c r="BH990" s="286"/>
      <c r="BI990" s="286"/>
      <c r="BJ990" s="287"/>
      <c r="BL990" s="288"/>
      <c r="BM990" s="286"/>
      <c r="BN990" s="286"/>
      <c r="BO990" s="289"/>
    </row>
    <row r="991" spans="2:67" s="339" customFormat="1">
      <c r="D991" s="305" t="s">
        <v>230</v>
      </c>
      <c r="E991" s="306" t="s">
        <v>218</v>
      </c>
      <c r="F991" s="306" t="s">
        <v>371</v>
      </c>
      <c r="G991" s="287"/>
      <c r="H991" s="284"/>
      <c r="I991" s="288"/>
      <c r="J991" s="286"/>
      <c r="K991" s="286"/>
      <c r="L991" s="289"/>
      <c r="M991" s="290"/>
      <c r="N991" s="288"/>
      <c r="O991" s="286"/>
      <c r="P991" s="286"/>
      <c r="Q991" s="287"/>
      <c r="S991" s="288"/>
      <c r="T991" s="286"/>
      <c r="U991" s="286"/>
      <c r="V991" s="287"/>
      <c r="X991" s="288"/>
      <c r="Y991" s="286"/>
      <c r="Z991" s="286"/>
      <c r="AA991" s="287"/>
      <c r="AC991" s="288"/>
      <c r="AD991" s="286"/>
      <c r="AE991" s="286"/>
      <c r="AF991" s="287"/>
      <c r="AH991" s="288"/>
      <c r="AI991" s="286"/>
      <c r="AJ991" s="286"/>
      <c r="AK991" s="287"/>
      <c r="AM991" s="288"/>
      <c r="AN991" s="286"/>
      <c r="AO991" s="286"/>
      <c r="AP991" s="287"/>
      <c r="AR991" s="288"/>
      <c r="AS991" s="286"/>
      <c r="AT991" s="286"/>
      <c r="AU991" s="287"/>
      <c r="AW991" s="288"/>
      <c r="AX991" s="286"/>
      <c r="AY991" s="286"/>
      <c r="AZ991" s="287"/>
      <c r="BB991" s="288"/>
      <c r="BC991" s="286"/>
      <c r="BD991" s="286"/>
      <c r="BE991" s="287"/>
      <c r="BG991" s="288"/>
      <c r="BH991" s="286"/>
      <c r="BI991" s="286"/>
      <c r="BJ991" s="287"/>
      <c r="BL991" s="288"/>
      <c r="BM991" s="286"/>
      <c r="BN991" s="286"/>
      <c r="BO991" s="289"/>
    </row>
    <row r="992" spans="2:67" s="339" customFormat="1">
      <c r="B992" s="339" t="s">
        <v>419</v>
      </c>
      <c r="D992" s="330">
        <f>SUM(D989+D981+D979+D973+D963+D955+D983)</f>
        <v>444660.375282611</v>
      </c>
      <c r="E992" s="326">
        <f>SUM(E989+E981+E979+E973+E963+E955+E983)</f>
        <v>419079.2433333334</v>
      </c>
      <c r="F992" s="326">
        <f>SUM(F989+F981+F979+F973+F963+F955+F983)</f>
        <v>-25581.131949277689</v>
      </c>
      <c r="G992" s="287"/>
      <c r="H992" s="284"/>
      <c r="I992" s="288"/>
      <c r="J992" s="286"/>
      <c r="K992" s="286"/>
      <c r="L992" s="289"/>
      <c r="M992" s="290"/>
      <c r="N992" s="288"/>
      <c r="O992" s="286"/>
      <c r="P992" s="286"/>
      <c r="Q992" s="287"/>
      <c r="S992" s="288"/>
      <c r="T992" s="286"/>
      <c r="U992" s="286"/>
      <c r="V992" s="287"/>
      <c r="X992" s="288"/>
      <c r="Y992" s="286"/>
      <c r="Z992" s="286"/>
      <c r="AA992" s="287"/>
      <c r="AC992" s="288"/>
      <c r="AD992" s="286"/>
      <c r="AE992" s="286"/>
      <c r="AF992" s="287"/>
      <c r="AH992" s="288"/>
      <c r="AI992" s="286"/>
      <c r="AJ992" s="286"/>
      <c r="AK992" s="287"/>
      <c r="AM992" s="288"/>
      <c r="AN992" s="286"/>
      <c r="AO992" s="286"/>
      <c r="AP992" s="287"/>
      <c r="AR992" s="288"/>
      <c r="AS992" s="286"/>
      <c r="AT992" s="286"/>
      <c r="AU992" s="287"/>
      <c r="AW992" s="288"/>
      <c r="AX992" s="286"/>
      <c r="AY992" s="286"/>
      <c r="AZ992" s="287"/>
      <c r="BB992" s="288"/>
      <c r="BC992" s="286"/>
      <c r="BD992" s="286"/>
      <c r="BE992" s="287"/>
      <c r="BG992" s="288"/>
      <c r="BH992" s="286"/>
      <c r="BI992" s="286"/>
      <c r="BJ992" s="287"/>
      <c r="BL992" s="288"/>
      <c r="BM992" s="286"/>
      <c r="BN992" s="286"/>
      <c r="BO992" s="289"/>
    </row>
    <row r="993" spans="2:67" s="339" customFormat="1">
      <c r="B993" s="339" t="s">
        <v>396</v>
      </c>
      <c r="D993" s="288"/>
      <c r="E993" s="286"/>
      <c r="F993" s="286"/>
      <c r="G993" s="287"/>
      <c r="H993" s="284"/>
      <c r="I993" s="288"/>
      <c r="J993" s="286"/>
      <c r="K993" s="286"/>
      <c r="L993" s="289"/>
      <c r="M993" s="290"/>
      <c r="N993" s="288"/>
      <c r="O993" s="286"/>
      <c r="P993" s="286"/>
      <c r="Q993" s="287"/>
      <c r="S993" s="288"/>
      <c r="T993" s="286"/>
      <c r="U993" s="286"/>
      <c r="V993" s="287"/>
      <c r="X993" s="288"/>
      <c r="Y993" s="286"/>
      <c r="Z993" s="286"/>
      <c r="AA993" s="287"/>
      <c r="AC993" s="288"/>
      <c r="AD993" s="286"/>
      <c r="AE993" s="286"/>
      <c r="AF993" s="287"/>
      <c r="AH993" s="288"/>
      <c r="AI993" s="286"/>
      <c r="AJ993" s="286"/>
      <c r="AK993" s="287"/>
      <c r="AM993" s="288"/>
      <c r="AN993" s="286"/>
      <c r="AO993" s="286"/>
      <c r="AP993" s="287"/>
      <c r="AR993" s="288"/>
      <c r="AS993" s="286"/>
      <c r="AT993" s="286"/>
      <c r="AU993" s="287"/>
      <c r="AW993" s="288"/>
      <c r="AX993" s="286"/>
      <c r="AY993" s="286"/>
      <c r="AZ993" s="287"/>
      <c r="BB993" s="288"/>
      <c r="BC993" s="286"/>
      <c r="BD993" s="286"/>
      <c r="BE993" s="287"/>
      <c r="BG993" s="288"/>
      <c r="BH993" s="286"/>
      <c r="BI993" s="286"/>
      <c r="BJ993" s="287"/>
      <c r="BL993" s="288"/>
      <c r="BM993" s="286"/>
      <c r="BN993" s="286"/>
      <c r="BO993" s="289"/>
    </row>
    <row r="994" spans="2:67" s="339" customFormat="1">
      <c r="D994" s="288"/>
      <c r="E994" s="286"/>
      <c r="F994" s="286"/>
      <c r="G994" s="287"/>
      <c r="H994" s="284"/>
      <c r="I994" s="288"/>
      <c r="J994" s="286"/>
      <c r="K994" s="286"/>
      <c r="L994" s="289"/>
      <c r="M994" s="290"/>
      <c r="N994" s="288"/>
      <c r="O994" s="286"/>
      <c r="P994" s="286"/>
      <c r="Q994" s="287"/>
      <c r="S994" s="288"/>
      <c r="T994" s="286"/>
      <c r="U994" s="286"/>
      <c r="V994" s="287"/>
      <c r="X994" s="288"/>
      <c r="Y994" s="286"/>
      <c r="Z994" s="286"/>
      <c r="AA994" s="287"/>
      <c r="AC994" s="288"/>
      <c r="AD994" s="286"/>
      <c r="AE994" s="286"/>
      <c r="AF994" s="287"/>
      <c r="AH994" s="288"/>
      <c r="AI994" s="286"/>
      <c r="AJ994" s="286"/>
      <c r="AK994" s="287"/>
      <c r="AM994" s="288"/>
      <c r="AN994" s="286"/>
      <c r="AO994" s="286"/>
      <c r="AP994" s="287"/>
      <c r="AR994" s="288"/>
      <c r="AS994" s="286"/>
      <c r="AT994" s="286"/>
      <c r="AU994" s="287"/>
      <c r="AW994" s="288"/>
      <c r="AX994" s="286"/>
      <c r="AY994" s="286"/>
      <c r="AZ994" s="287"/>
      <c r="BB994" s="288"/>
      <c r="BC994" s="286"/>
      <c r="BD994" s="286"/>
      <c r="BE994" s="287"/>
      <c r="BG994" s="288"/>
      <c r="BH994" s="286"/>
      <c r="BI994" s="286"/>
      <c r="BJ994" s="287"/>
      <c r="BL994" s="288"/>
      <c r="BM994" s="286"/>
      <c r="BN994" s="286"/>
      <c r="BO994" s="289"/>
    </row>
    <row r="995" spans="2:67" s="339" customFormat="1">
      <c r="D995" s="288"/>
      <c r="E995" s="286"/>
      <c r="F995" s="286"/>
      <c r="G995" s="287"/>
      <c r="H995" s="284"/>
      <c r="I995" s="288"/>
      <c r="J995" s="286"/>
      <c r="K995" s="286"/>
      <c r="L995" s="289"/>
      <c r="M995" s="290"/>
      <c r="N995" s="288"/>
      <c r="O995" s="286"/>
      <c r="P995" s="286"/>
      <c r="Q995" s="287"/>
      <c r="S995" s="288"/>
      <c r="T995" s="286"/>
      <c r="U995" s="286"/>
      <c r="V995" s="287"/>
      <c r="X995" s="288"/>
      <c r="Y995" s="286"/>
      <c r="Z995" s="286"/>
      <c r="AA995" s="287"/>
      <c r="AC995" s="288"/>
      <c r="AD995" s="286"/>
      <c r="AE995" s="286"/>
      <c r="AF995" s="287"/>
      <c r="AH995" s="288"/>
      <c r="AI995" s="286"/>
      <c r="AJ995" s="286"/>
      <c r="AK995" s="287"/>
      <c r="AM995" s="288"/>
      <c r="AN995" s="286"/>
      <c r="AO995" s="286"/>
      <c r="AP995" s="287"/>
      <c r="AR995" s="288"/>
      <c r="AS995" s="286"/>
      <c r="AT995" s="286"/>
      <c r="AU995" s="287"/>
      <c r="AW995" s="288"/>
      <c r="AX995" s="286"/>
      <c r="AY995" s="286"/>
      <c r="AZ995" s="287"/>
      <c r="BB995" s="288"/>
      <c r="BC995" s="286"/>
      <c r="BD995" s="286"/>
      <c r="BE995" s="287"/>
      <c r="BG995" s="288"/>
      <c r="BH995" s="286"/>
      <c r="BI995" s="286"/>
      <c r="BJ995" s="287"/>
      <c r="BL995" s="288"/>
      <c r="BM995" s="286"/>
      <c r="BN995" s="286"/>
      <c r="BO995" s="289"/>
    </row>
    <row r="996" spans="2:67" s="339" customFormat="1">
      <c r="D996" s="288"/>
      <c r="E996" s="286"/>
      <c r="F996" s="286"/>
      <c r="G996" s="287"/>
      <c r="H996" s="284"/>
      <c r="I996" s="288"/>
      <c r="J996" s="286"/>
      <c r="K996" s="286"/>
      <c r="L996" s="289"/>
      <c r="M996" s="290"/>
      <c r="N996" s="288"/>
      <c r="O996" s="286"/>
      <c r="P996" s="286"/>
      <c r="Q996" s="287"/>
      <c r="S996" s="288"/>
      <c r="T996" s="286"/>
      <c r="U996" s="286"/>
      <c r="V996" s="287"/>
      <c r="X996" s="288"/>
      <c r="Y996" s="286"/>
      <c r="Z996" s="286"/>
      <c r="AA996" s="287"/>
      <c r="AC996" s="288"/>
      <c r="AD996" s="286"/>
      <c r="AE996" s="286"/>
      <c r="AF996" s="287"/>
      <c r="AH996" s="288"/>
      <c r="AI996" s="286"/>
      <c r="AJ996" s="286"/>
      <c r="AK996" s="287"/>
      <c r="AM996" s="288"/>
      <c r="AN996" s="286"/>
      <c r="AO996" s="286"/>
      <c r="AP996" s="287"/>
      <c r="AR996" s="288"/>
      <c r="AS996" s="286"/>
      <c r="AT996" s="286"/>
      <c r="AU996" s="287"/>
      <c r="AW996" s="288"/>
      <c r="AX996" s="286"/>
      <c r="AY996" s="286"/>
      <c r="AZ996" s="287"/>
      <c r="BB996" s="288"/>
      <c r="BC996" s="286"/>
      <c r="BD996" s="286"/>
      <c r="BE996" s="287"/>
      <c r="BG996" s="288"/>
      <c r="BH996" s="286"/>
      <c r="BI996" s="286"/>
      <c r="BJ996" s="287"/>
      <c r="BL996" s="288"/>
      <c r="BM996" s="286"/>
      <c r="BN996" s="286"/>
      <c r="BO996" s="289"/>
    </row>
    <row r="997" spans="2:67" s="339" customFormat="1">
      <c r="D997" s="288"/>
      <c r="E997" s="286"/>
      <c r="F997" s="286"/>
      <c r="G997" s="287"/>
      <c r="H997" s="284"/>
      <c r="I997" s="288"/>
      <c r="J997" s="286"/>
      <c r="K997" s="286"/>
      <c r="L997" s="289"/>
      <c r="M997" s="290"/>
      <c r="N997" s="288"/>
      <c r="O997" s="286"/>
      <c r="P997" s="286"/>
      <c r="Q997" s="287"/>
      <c r="S997" s="288"/>
      <c r="T997" s="286"/>
      <c r="U997" s="286"/>
      <c r="V997" s="287"/>
      <c r="X997" s="288"/>
      <c r="Y997" s="286"/>
      <c r="Z997" s="286"/>
      <c r="AA997" s="287"/>
      <c r="AC997" s="288"/>
      <c r="AD997" s="286"/>
      <c r="AE997" s="286"/>
      <c r="AF997" s="287"/>
      <c r="AH997" s="288"/>
      <c r="AI997" s="286"/>
      <c r="AJ997" s="286"/>
      <c r="AK997" s="287"/>
      <c r="AM997" s="288"/>
      <c r="AN997" s="286"/>
      <c r="AO997" s="286"/>
      <c r="AP997" s="287"/>
      <c r="AR997" s="288"/>
      <c r="AS997" s="286"/>
      <c r="AT997" s="286"/>
      <c r="AU997" s="287"/>
      <c r="AW997" s="288"/>
      <c r="AX997" s="286"/>
      <c r="AY997" s="286"/>
      <c r="AZ997" s="287"/>
      <c r="BB997" s="288"/>
      <c r="BC997" s="286"/>
      <c r="BD997" s="286"/>
      <c r="BE997" s="287"/>
      <c r="BG997" s="288"/>
      <c r="BH997" s="286"/>
      <c r="BI997" s="286"/>
      <c r="BJ997" s="287"/>
      <c r="BL997" s="288"/>
      <c r="BM997" s="286"/>
      <c r="BN997" s="286"/>
      <c r="BO997" s="289"/>
    </row>
    <row r="998" spans="2:67" s="339" customFormat="1">
      <c r="B998" s="339" t="s">
        <v>90</v>
      </c>
      <c r="D998" s="288"/>
      <c r="E998" s="286"/>
      <c r="F998" s="286"/>
      <c r="G998" s="287"/>
      <c r="H998" s="284"/>
      <c r="I998" s="288"/>
      <c r="J998" s="286"/>
      <c r="K998" s="286"/>
      <c r="L998" s="289"/>
      <c r="M998" s="290"/>
      <c r="N998" s="288"/>
      <c r="O998" s="286"/>
      <c r="P998" s="286"/>
      <c r="Q998" s="287"/>
      <c r="S998" s="288"/>
      <c r="T998" s="286"/>
      <c r="U998" s="286"/>
      <c r="V998" s="287"/>
      <c r="X998" s="288"/>
      <c r="Y998" s="286"/>
      <c r="Z998" s="286"/>
      <c r="AA998" s="287"/>
      <c r="AC998" s="288"/>
      <c r="AD998" s="286"/>
      <c r="AE998" s="286"/>
      <c r="AF998" s="287"/>
      <c r="AH998" s="288"/>
      <c r="AI998" s="286"/>
      <c r="AJ998" s="286"/>
      <c r="AK998" s="287"/>
      <c r="AM998" s="288"/>
      <c r="AN998" s="286"/>
      <c r="AO998" s="286"/>
      <c r="AP998" s="287"/>
      <c r="AR998" s="288"/>
      <c r="AS998" s="286"/>
      <c r="AT998" s="286"/>
      <c r="AU998" s="287"/>
      <c r="AW998" s="288"/>
      <c r="AX998" s="286"/>
      <c r="AY998" s="286"/>
      <c r="AZ998" s="287"/>
      <c r="BB998" s="288"/>
      <c r="BC998" s="286"/>
      <c r="BD998" s="286"/>
      <c r="BE998" s="287"/>
      <c r="BG998" s="288"/>
      <c r="BH998" s="286"/>
      <c r="BI998" s="286"/>
      <c r="BJ998" s="287"/>
      <c r="BL998" s="288"/>
      <c r="BM998" s="286"/>
      <c r="BN998" s="286"/>
      <c r="BO998" s="289"/>
    </row>
    <row r="999" spans="2:67" s="339" customFormat="1">
      <c r="B999" s="339" t="s">
        <v>458</v>
      </c>
      <c r="D999" s="288"/>
      <c r="E999" s="286"/>
      <c r="F999" s="286"/>
      <c r="G999" s="287"/>
      <c r="H999" s="284"/>
      <c r="I999" s="288"/>
      <c r="J999" s="286"/>
      <c r="K999" s="286"/>
      <c r="L999" s="289"/>
      <c r="M999" s="290"/>
      <c r="N999" s="288"/>
      <c r="O999" s="286"/>
      <c r="P999" s="286"/>
      <c r="Q999" s="287"/>
      <c r="S999" s="288"/>
      <c r="T999" s="286"/>
      <c r="U999" s="286"/>
      <c r="V999" s="287"/>
      <c r="X999" s="288"/>
      <c r="Y999" s="286"/>
      <c r="Z999" s="286"/>
      <c r="AA999" s="287"/>
      <c r="AC999" s="288"/>
      <c r="AD999" s="286"/>
      <c r="AE999" s="286"/>
      <c r="AF999" s="287"/>
      <c r="AH999" s="288"/>
      <c r="AI999" s="286"/>
      <c r="AJ999" s="286"/>
      <c r="AK999" s="287"/>
      <c r="AM999" s="288"/>
      <c r="AN999" s="286"/>
      <c r="AO999" s="286"/>
      <c r="AP999" s="287"/>
      <c r="AR999" s="288"/>
      <c r="AS999" s="286"/>
      <c r="AT999" s="286"/>
      <c r="AU999" s="287"/>
      <c r="AW999" s="288"/>
      <c r="AX999" s="286"/>
      <c r="AY999" s="286"/>
      <c r="AZ999" s="287"/>
      <c r="BB999" s="288"/>
      <c r="BC999" s="286"/>
      <c r="BD999" s="286"/>
      <c r="BE999" s="287"/>
      <c r="BG999" s="288"/>
      <c r="BH999" s="286"/>
      <c r="BI999" s="286"/>
      <c r="BJ999" s="287"/>
      <c r="BL999" s="288"/>
      <c r="BM999" s="286"/>
      <c r="BN999" s="286"/>
      <c r="BO999" s="289"/>
    </row>
    <row r="1000" spans="2:67" s="339" customFormat="1">
      <c r="B1000" s="339" t="str">
        <f>D3</f>
        <v>3-year averages</v>
      </c>
      <c r="D1000" s="288"/>
      <c r="E1000" s="286"/>
      <c r="F1000" s="286"/>
      <c r="G1000" s="287"/>
      <c r="H1000" s="284"/>
      <c r="I1000" s="288"/>
      <c r="J1000" s="286"/>
      <c r="K1000" s="286"/>
      <c r="L1000" s="289"/>
      <c r="M1000" s="290"/>
      <c r="N1000" s="288"/>
      <c r="O1000" s="286"/>
      <c r="P1000" s="286"/>
      <c r="Q1000" s="287"/>
      <c r="S1000" s="288"/>
      <c r="T1000" s="286"/>
      <c r="U1000" s="286"/>
      <c r="V1000" s="287"/>
      <c r="X1000" s="288"/>
      <c r="Y1000" s="286"/>
      <c r="Z1000" s="286"/>
      <c r="AA1000" s="287"/>
      <c r="AC1000" s="288"/>
      <c r="AD1000" s="286"/>
      <c r="AE1000" s="286"/>
      <c r="AF1000" s="287"/>
      <c r="AH1000" s="288"/>
      <c r="AI1000" s="286"/>
      <c r="AJ1000" s="286"/>
      <c r="AK1000" s="287"/>
      <c r="AM1000" s="288"/>
      <c r="AN1000" s="286"/>
      <c r="AO1000" s="286"/>
      <c r="AP1000" s="287"/>
      <c r="AR1000" s="288"/>
      <c r="AS1000" s="286"/>
      <c r="AT1000" s="286"/>
      <c r="AU1000" s="287"/>
      <c r="AW1000" s="288"/>
      <c r="AX1000" s="286"/>
      <c r="AY1000" s="286"/>
      <c r="AZ1000" s="287"/>
      <c r="BB1000" s="288"/>
      <c r="BC1000" s="286"/>
      <c r="BD1000" s="286"/>
      <c r="BE1000" s="287"/>
      <c r="BG1000" s="288"/>
      <c r="BH1000" s="286"/>
      <c r="BI1000" s="286"/>
      <c r="BJ1000" s="287"/>
      <c r="BL1000" s="288"/>
      <c r="BM1000" s="286"/>
      <c r="BN1000" s="286"/>
      <c r="BO1000" s="289"/>
    </row>
    <row r="1001" spans="2:67" s="339" customFormat="1">
      <c r="B1001" s="339" t="s">
        <v>370</v>
      </c>
      <c r="D1001" s="288"/>
      <c r="E1001" s="286"/>
      <c r="F1001" s="286" t="s">
        <v>371</v>
      </c>
      <c r="G1001" s="287" t="s">
        <v>372</v>
      </c>
      <c r="H1001" s="358">
        <f>SUM(H1023-G1023)</f>
        <v>-151745.56940451032</v>
      </c>
      <c r="I1001" s="288"/>
      <c r="J1001" s="286"/>
      <c r="K1001" s="286"/>
      <c r="L1001" s="289"/>
      <c r="M1001" s="290"/>
      <c r="N1001" s="288"/>
      <c r="O1001" s="286"/>
      <c r="P1001" s="286"/>
      <c r="Q1001" s="287"/>
      <c r="S1001" s="288"/>
      <c r="T1001" s="286"/>
      <c r="U1001" s="286"/>
      <c r="V1001" s="287"/>
      <c r="X1001" s="288"/>
      <c r="Y1001" s="286"/>
      <c r="Z1001" s="286"/>
      <c r="AA1001" s="287"/>
      <c r="AC1001" s="288"/>
      <c r="AD1001" s="286"/>
      <c r="AE1001" s="286"/>
      <c r="AF1001" s="287"/>
      <c r="AH1001" s="288"/>
      <c r="AI1001" s="286"/>
      <c r="AJ1001" s="286"/>
      <c r="AK1001" s="287"/>
      <c r="AM1001" s="288"/>
      <c r="AN1001" s="286"/>
      <c r="AO1001" s="286"/>
      <c r="AP1001" s="287"/>
      <c r="AR1001" s="288"/>
      <c r="AS1001" s="286"/>
      <c r="AT1001" s="286"/>
      <c r="AU1001" s="287"/>
      <c r="AW1001" s="288"/>
      <c r="AX1001" s="286"/>
      <c r="AY1001" s="286"/>
      <c r="AZ1001" s="287"/>
      <c r="BB1001" s="288"/>
      <c r="BC1001" s="286"/>
      <c r="BD1001" s="286"/>
      <c r="BE1001" s="287"/>
      <c r="BG1001" s="288"/>
      <c r="BH1001" s="286"/>
      <c r="BI1001" s="286"/>
      <c r="BJ1001" s="287"/>
      <c r="BL1001" s="288"/>
      <c r="BM1001" s="286"/>
      <c r="BN1001" s="286"/>
      <c r="BO1001" s="289"/>
    </row>
    <row r="1003" spans="2:67">
      <c r="C1003" s="284" t="s">
        <v>216</v>
      </c>
      <c r="E1003" s="286" t="s">
        <v>374</v>
      </c>
      <c r="G1003" s="287" t="s">
        <v>345</v>
      </c>
      <c r="I1003" s="305" t="s">
        <v>218</v>
      </c>
    </row>
    <row r="1004" spans="2:67">
      <c r="C1004" s="304" t="s">
        <v>230</v>
      </c>
      <c r="D1004" s="305" t="s">
        <v>218</v>
      </c>
      <c r="E1004" s="306" t="s">
        <v>230</v>
      </c>
      <c r="F1004" s="306" t="s">
        <v>218</v>
      </c>
      <c r="G1004" s="303" t="s">
        <v>230</v>
      </c>
      <c r="H1004" s="304" t="s">
        <v>218</v>
      </c>
      <c r="I1004" s="305" t="s">
        <v>55</v>
      </c>
    </row>
    <row r="1005" spans="2:67">
      <c r="B1005" s="283" t="s">
        <v>242</v>
      </c>
      <c r="C1005" s="284">
        <f t="shared" ref="C1005:C1020" si="103">AG78+AL78+AQ78</f>
        <v>1196304.3572261035</v>
      </c>
      <c r="D1005" s="288">
        <f t="shared" ref="D1005:D1020" si="104">AH78+AM78+AR78</f>
        <v>1120621.6666666665</v>
      </c>
      <c r="E1005" s="326">
        <f t="shared" ref="E1005:E1023" si="105">IF(C1005=0,0,+G1005/C1005)</f>
        <v>0.14491086724139457</v>
      </c>
      <c r="F1005" s="326">
        <f t="shared" ref="F1005:F1023" si="106">IF(D1005=0,0,+H1005/D1005)</f>
        <v>0.14389916013879203</v>
      </c>
      <c r="G1005" s="327">
        <f t="shared" ref="G1005:G1020" si="107">AI78+AN78+AS78</f>
        <v>173357.50189029376</v>
      </c>
      <c r="H1005" s="358">
        <f t="shared" ref="H1005:H1020" si="108">AJ78+AO78+AT78</f>
        <v>161256.51666666666</v>
      </c>
      <c r="I1005" s="330">
        <f t="shared" ref="I1005:I1023" si="109">D1005/F$1029</f>
        <v>254.57260903785709</v>
      </c>
    </row>
    <row r="1006" spans="2:67">
      <c r="B1006" s="283" t="s">
        <v>127</v>
      </c>
      <c r="C1006" s="284">
        <f t="shared" si="103"/>
        <v>0</v>
      </c>
      <c r="D1006" s="288">
        <f t="shared" si="104"/>
        <v>0</v>
      </c>
      <c r="E1006" s="326">
        <f t="shared" si="105"/>
        <v>0</v>
      </c>
      <c r="F1006" s="326">
        <f t="shared" si="106"/>
        <v>0</v>
      </c>
      <c r="G1006" s="327">
        <f t="shared" si="107"/>
        <v>0</v>
      </c>
      <c r="H1006" s="358">
        <f t="shared" si="108"/>
        <v>0</v>
      </c>
      <c r="I1006" s="330">
        <f t="shared" si="109"/>
        <v>0</v>
      </c>
    </row>
    <row r="1007" spans="2:67">
      <c r="B1007" s="283" t="s">
        <v>245</v>
      </c>
      <c r="C1007" s="284">
        <f t="shared" si="103"/>
        <v>0</v>
      </c>
      <c r="D1007" s="288">
        <f t="shared" si="104"/>
        <v>0</v>
      </c>
      <c r="E1007" s="326">
        <f t="shared" si="105"/>
        <v>0</v>
      </c>
      <c r="F1007" s="326">
        <f t="shared" si="106"/>
        <v>0</v>
      </c>
      <c r="G1007" s="327">
        <f t="shared" si="107"/>
        <v>0</v>
      </c>
      <c r="H1007" s="358">
        <f t="shared" si="108"/>
        <v>0</v>
      </c>
      <c r="I1007" s="330">
        <f t="shared" si="109"/>
        <v>0</v>
      </c>
    </row>
    <row r="1008" spans="2:67">
      <c r="B1008" s="283" t="s">
        <v>61</v>
      </c>
      <c r="C1008" s="284">
        <f t="shared" si="103"/>
        <v>318911.23088019242</v>
      </c>
      <c r="D1008" s="288">
        <f t="shared" si="104"/>
        <v>278872.33333333331</v>
      </c>
      <c r="E1008" s="326">
        <f t="shared" si="105"/>
        <v>0.22623693825835514</v>
      </c>
      <c r="F1008" s="326">
        <f t="shared" si="106"/>
        <v>0.2100154790065227</v>
      </c>
      <c r="G1008" s="327">
        <f t="shared" si="107"/>
        <v>72149.500450538137</v>
      </c>
      <c r="H1008" s="358">
        <f t="shared" si="108"/>
        <v>58567.506666666668</v>
      </c>
      <c r="I1008" s="330">
        <f t="shared" si="109"/>
        <v>63.351673090806713</v>
      </c>
    </row>
    <row r="1009" spans="2:9">
      <c r="B1009" s="283" t="s">
        <v>66</v>
      </c>
      <c r="C1009" s="284">
        <f t="shared" si="103"/>
        <v>189603.1233992812</v>
      </c>
      <c r="D1009" s="288">
        <f t="shared" si="104"/>
        <v>190437</v>
      </c>
      <c r="E1009" s="326">
        <f t="shared" si="105"/>
        <v>0.27199793421949797</v>
      </c>
      <c r="F1009" s="326">
        <f t="shared" si="106"/>
        <v>0.27277344563643968</v>
      </c>
      <c r="G1009" s="327">
        <f t="shared" si="107"/>
        <v>51571.65788616905</v>
      </c>
      <c r="H1009" s="358">
        <f t="shared" si="108"/>
        <v>51946.156666666662</v>
      </c>
      <c r="I1009" s="330">
        <f t="shared" si="109"/>
        <v>43.261740683230052</v>
      </c>
    </row>
    <row r="1010" spans="2:9">
      <c r="B1010" s="283" t="s">
        <v>60</v>
      </c>
      <c r="C1010" s="284">
        <f t="shared" si="103"/>
        <v>18614.831338577482</v>
      </c>
      <c r="D1010" s="288">
        <f t="shared" si="104"/>
        <v>6917</v>
      </c>
      <c r="E1010" s="326">
        <f t="shared" si="105"/>
        <v>0.70979062408835603</v>
      </c>
      <c r="F1010" s="326">
        <f t="shared" si="106"/>
        <v>0.72150739723386814</v>
      </c>
      <c r="G1010" s="327">
        <f t="shared" si="107"/>
        <v>13212.632753108399</v>
      </c>
      <c r="H1010" s="358">
        <f t="shared" si="108"/>
        <v>4990.6666666666661</v>
      </c>
      <c r="I1010" s="330">
        <f t="shared" si="109"/>
        <v>1.5713409700105665</v>
      </c>
    </row>
    <row r="1011" spans="2:9">
      <c r="B1011" s="283" t="s">
        <v>62</v>
      </c>
      <c r="C1011" s="284">
        <f t="shared" si="103"/>
        <v>12008.748</v>
      </c>
      <c r="D1011" s="288">
        <f t="shared" si="104"/>
        <v>5900</v>
      </c>
      <c r="E1011" s="326">
        <f t="shared" si="105"/>
        <v>1.4065084615537498</v>
      </c>
      <c r="F1011" s="326">
        <f t="shared" si="106"/>
        <v>1.5435762711864407</v>
      </c>
      <c r="G1011" s="327">
        <f t="shared" si="107"/>
        <v>16890.405674666668</v>
      </c>
      <c r="H1011" s="358">
        <f t="shared" si="108"/>
        <v>9107.1</v>
      </c>
      <c r="I1011" s="330">
        <f t="shared" si="109"/>
        <v>1.3403081860723352</v>
      </c>
    </row>
    <row r="1012" spans="2:9">
      <c r="B1012" s="283" t="s">
        <v>262</v>
      </c>
      <c r="C1012" s="284">
        <f t="shared" si="103"/>
        <v>98783.529530819083</v>
      </c>
      <c r="D1012" s="288">
        <f t="shared" si="104"/>
        <v>84376.333333333343</v>
      </c>
      <c r="E1012" s="326">
        <f t="shared" si="105"/>
        <v>0.3384794300041174</v>
      </c>
      <c r="F1012" s="326">
        <f t="shared" si="106"/>
        <v>0.28782518004653751</v>
      </c>
      <c r="G1012" s="327">
        <f t="shared" si="107"/>
        <v>33436.192769386544</v>
      </c>
      <c r="H1012" s="358">
        <f t="shared" si="108"/>
        <v>24285.633333333335</v>
      </c>
      <c r="I1012" s="330">
        <f t="shared" si="109"/>
        <v>19.1678458097347</v>
      </c>
    </row>
    <row r="1013" spans="2:9">
      <c r="B1013" s="283" t="s">
        <v>326</v>
      </c>
      <c r="C1013" s="284">
        <f t="shared" si="103"/>
        <v>0</v>
      </c>
      <c r="D1013" s="288">
        <f t="shared" si="104"/>
        <v>4394.1633333333348</v>
      </c>
      <c r="E1013" s="326">
        <f t="shared" si="105"/>
        <v>0</v>
      </c>
      <c r="F1013" s="326">
        <f t="shared" si="106"/>
        <v>-3.2054543564986573</v>
      </c>
      <c r="G1013" s="327">
        <f t="shared" si="107"/>
        <v>0</v>
      </c>
      <c r="H1013" s="358">
        <f t="shared" si="108"/>
        <v>-14085.289999999999</v>
      </c>
      <c r="I1013" s="330">
        <f t="shared" si="109"/>
        <v>0.9982259468822996</v>
      </c>
    </row>
    <row r="1014" spans="2:9">
      <c r="B1014" s="283" t="s">
        <v>72</v>
      </c>
      <c r="C1014" s="284">
        <f t="shared" si="103"/>
        <v>20531.838762721934</v>
      </c>
      <c r="D1014" s="288">
        <f t="shared" si="104"/>
        <v>14824.666666666668</v>
      </c>
      <c r="E1014" s="326">
        <f t="shared" si="105"/>
        <v>0.1606908654742131</v>
      </c>
      <c r="F1014" s="326">
        <f t="shared" si="106"/>
        <v>0.1629163106534155</v>
      </c>
      <c r="G1014" s="327">
        <f t="shared" si="107"/>
        <v>3299.2789405587841</v>
      </c>
      <c r="H1014" s="358">
        <f t="shared" si="108"/>
        <v>2415.1800000000003</v>
      </c>
      <c r="I1014" s="330">
        <f t="shared" si="109"/>
        <v>3.3677325574791546</v>
      </c>
    </row>
    <row r="1015" spans="2:9">
      <c r="B1015" s="283" t="s">
        <v>54</v>
      </c>
      <c r="C1015" s="284">
        <f t="shared" si="103"/>
        <v>51877.740431808023</v>
      </c>
      <c r="D1015" s="288">
        <f t="shared" si="104"/>
        <v>38209</v>
      </c>
      <c r="E1015" s="326">
        <f t="shared" si="105"/>
        <v>0.67478344538559565</v>
      </c>
      <c r="F1015" s="326">
        <f t="shared" si="106"/>
        <v>0.43407556683852849</v>
      </c>
      <c r="G1015" s="327">
        <f t="shared" si="107"/>
        <v>35006.240427395038</v>
      </c>
      <c r="H1015" s="358">
        <f t="shared" si="108"/>
        <v>16585.593333333334</v>
      </c>
      <c r="I1015" s="330">
        <f t="shared" si="109"/>
        <v>8.6799721155318394</v>
      </c>
    </row>
    <row r="1016" spans="2:9">
      <c r="B1016" s="283" t="s">
        <v>269</v>
      </c>
      <c r="C1016" s="284">
        <f t="shared" si="103"/>
        <v>258452.84376312362</v>
      </c>
      <c r="D1016" s="288">
        <f t="shared" si="104"/>
        <v>232596.33333333334</v>
      </c>
      <c r="E1016" s="326">
        <f t="shared" si="105"/>
        <v>0.26448477707970969</v>
      </c>
      <c r="F1016" s="326">
        <f t="shared" si="106"/>
        <v>0.14989187275809734</v>
      </c>
      <c r="G1016" s="327">
        <f t="shared" si="107"/>
        <v>68356.842768306786</v>
      </c>
      <c r="H1016" s="358">
        <f t="shared" si="108"/>
        <v>34864.299999999996</v>
      </c>
      <c r="I1016" s="330">
        <f t="shared" si="109"/>
        <v>52.839113494419699</v>
      </c>
    </row>
    <row r="1017" spans="2:9">
      <c r="B1017" s="283" t="s">
        <v>274</v>
      </c>
      <c r="C1017" s="284">
        <f t="shared" si="103"/>
        <v>4853.9914320755252</v>
      </c>
      <c r="D1017" s="288">
        <f t="shared" si="104"/>
        <v>2998</v>
      </c>
      <c r="E1017" s="326">
        <f t="shared" si="105"/>
        <v>3.0802357637123281</v>
      </c>
      <c r="F1017" s="326">
        <f t="shared" si="106"/>
        <v>2.0413130976206357</v>
      </c>
      <c r="G1017" s="327">
        <f t="shared" si="107"/>
        <v>14951.438005832253</v>
      </c>
      <c r="H1017" s="358">
        <f t="shared" si="108"/>
        <v>6119.8566666666666</v>
      </c>
      <c r="I1017" s="330">
        <f t="shared" si="109"/>
        <v>0.68105829522794248</v>
      </c>
    </row>
    <row r="1018" spans="2:9">
      <c r="B1018" s="283" t="s">
        <v>279</v>
      </c>
      <c r="C1018" s="284">
        <f t="shared" si="103"/>
        <v>4701.1882223123448</v>
      </c>
      <c r="D1018" s="288">
        <f t="shared" si="104"/>
        <v>1679.6666666666667</v>
      </c>
      <c r="E1018" s="326">
        <f t="shared" si="105"/>
        <v>1.1658408167945205</v>
      </c>
      <c r="F1018" s="326">
        <f t="shared" si="106"/>
        <v>0.83647549116888265</v>
      </c>
      <c r="G1018" s="327">
        <f t="shared" si="107"/>
        <v>5480.8371170054033</v>
      </c>
      <c r="H1018" s="358">
        <f t="shared" si="108"/>
        <v>1405</v>
      </c>
      <c r="I1018" s="330">
        <f t="shared" si="109"/>
        <v>0.38157135308579082</v>
      </c>
    </row>
    <row r="1019" spans="2:9">
      <c r="B1019" s="283" t="s">
        <v>65</v>
      </c>
      <c r="C1019" s="284">
        <f t="shared" si="103"/>
        <v>391427.70535445138</v>
      </c>
      <c r="D1019" s="288">
        <f t="shared" si="104"/>
        <v>747571.66666666674</v>
      </c>
      <c r="E1019" s="326">
        <f t="shared" si="105"/>
        <v>0.15857503393897318</v>
      </c>
      <c r="F1019" s="326">
        <f t="shared" si="106"/>
        <v>0.10605110769758971</v>
      </c>
      <c r="G1019" s="327">
        <f t="shared" si="107"/>
        <v>62070.661661236518</v>
      </c>
      <c r="H1019" s="358">
        <f t="shared" si="108"/>
        <v>79280.803333333315</v>
      </c>
      <c r="I1019" s="330">
        <f t="shared" si="109"/>
        <v>169.82651262865636</v>
      </c>
    </row>
    <row r="1020" spans="2:9">
      <c r="B1020" s="283" t="s">
        <v>280</v>
      </c>
      <c r="C1020" s="284">
        <f t="shared" si="103"/>
        <v>0</v>
      </c>
      <c r="D1020" s="288">
        <f t="shared" si="104"/>
        <v>0</v>
      </c>
      <c r="E1020" s="326">
        <f t="shared" si="105"/>
        <v>0</v>
      </c>
      <c r="F1020" s="326">
        <f t="shared" si="106"/>
        <v>0</v>
      </c>
      <c r="G1020" s="327">
        <f t="shared" si="107"/>
        <v>0</v>
      </c>
      <c r="H1020" s="358">
        <f t="shared" si="108"/>
        <v>0</v>
      </c>
      <c r="I1020" s="330">
        <f t="shared" si="109"/>
        <v>0</v>
      </c>
    </row>
    <row r="1021" spans="2:9">
      <c r="B1021" s="283" t="s">
        <v>283</v>
      </c>
      <c r="C1021" s="284">
        <f>AG77+AL77+AQ77</f>
        <v>4015</v>
      </c>
      <c r="D1021" s="288">
        <f>AH77+AM77+AR77</f>
        <v>4015</v>
      </c>
      <c r="E1021" s="326">
        <f t="shared" si="105"/>
        <v>0.34905354919053549</v>
      </c>
      <c r="F1021" s="326">
        <f t="shared" si="106"/>
        <v>0.34905354919053549</v>
      </c>
      <c r="G1021" s="327">
        <f>AI77+AN77+AS77</f>
        <v>1401.45</v>
      </c>
      <c r="H1021" s="358">
        <f>AJ77+AO77+AT77</f>
        <v>1401.45</v>
      </c>
      <c r="I1021" s="330">
        <f t="shared" si="109"/>
        <v>0.91209107916617382</v>
      </c>
    </row>
    <row r="1022" spans="2:9">
      <c r="B1022" s="283" t="s">
        <v>63</v>
      </c>
      <c r="C1022" s="284">
        <f>AG94+AL94+AQ94</f>
        <v>137171.33133686159</v>
      </c>
      <c r="D1022" s="288">
        <f>AH94+AM94+AR94</f>
        <v>128525</v>
      </c>
      <c r="E1022" s="326">
        <f t="shared" si="105"/>
        <v>0.75910103113529659</v>
      </c>
      <c r="F1022" s="326">
        <f t="shared" si="106"/>
        <v>0.50904879725085905</v>
      </c>
      <c r="G1022" s="327">
        <f>AI94+AN94+AS94</f>
        <v>104126.89906001306</v>
      </c>
      <c r="H1022" s="358">
        <f>AJ94+AO94+AT94</f>
        <v>65425.496666666659</v>
      </c>
      <c r="I1022" s="330">
        <f t="shared" si="109"/>
        <v>29.197137222872353</v>
      </c>
    </row>
    <row r="1023" spans="2:9">
      <c r="B1023" s="283" t="s">
        <v>13</v>
      </c>
      <c r="C1023" s="284">
        <f>SUM(C1005:C1022)</f>
        <v>2707257.4596783277</v>
      </c>
      <c r="D1023" s="288">
        <f>SUM(D1005:D1022)</f>
        <v>2861937.83</v>
      </c>
      <c r="E1023" s="326">
        <f t="shared" si="105"/>
        <v>0.2420573400072461</v>
      </c>
      <c r="F1023" s="326">
        <f t="shared" si="106"/>
        <v>0.17595279838765748</v>
      </c>
      <c r="G1023" s="327">
        <f>SUM(G1005:G1022)</f>
        <v>655311.53940451029</v>
      </c>
      <c r="H1023" s="358">
        <f>SUM(H1005:H1022)</f>
        <v>503565.97</v>
      </c>
      <c r="I1023" s="330">
        <f t="shared" si="109"/>
        <v>650.14893247103305</v>
      </c>
    </row>
    <row r="1025" spans="2:67">
      <c r="D1025" s="288" t="s">
        <v>230</v>
      </c>
      <c r="F1025" s="286" t="s">
        <v>218</v>
      </c>
      <c r="H1025" s="284" t="s">
        <v>231</v>
      </c>
    </row>
    <row r="1026" spans="2:67" s="339" customFormat="1">
      <c r="B1026" s="339" t="s">
        <v>243</v>
      </c>
      <c r="D1026" s="330">
        <f>BS29</f>
        <v>75541</v>
      </c>
      <c r="E1026" s="286"/>
      <c r="F1026" s="326">
        <f>BT29</f>
        <v>64603.87</v>
      </c>
      <c r="G1026" s="327"/>
      <c r="H1026" s="358">
        <f>BU29</f>
        <v>47222.473333333335</v>
      </c>
      <c r="I1026" s="288"/>
      <c r="J1026" s="286"/>
      <c r="K1026" s="286"/>
      <c r="L1026" s="289"/>
      <c r="M1026" s="290"/>
      <c r="N1026" s="288"/>
      <c r="O1026" s="286"/>
      <c r="P1026" s="286"/>
      <c r="Q1026" s="287"/>
      <c r="S1026" s="288"/>
      <c r="T1026" s="286"/>
      <c r="U1026" s="286"/>
      <c r="V1026" s="287"/>
      <c r="X1026" s="288"/>
      <c r="Y1026" s="286"/>
      <c r="Z1026" s="286"/>
      <c r="AA1026" s="287"/>
      <c r="AC1026" s="288"/>
      <c r="AD1026" s="286"/>
      <c r="AE1026" s="286"/>
      <c r="AF1026" s="287"/>
      <c r="AH1026" s="288"/>
      <c r="AI1026" s="286"/>
      <c r="AJ1026" s="286"/>
      <c r="AK1026" s="287"/>
      <c r="AM1026" s="288"/>
      <c r="AN1026" s="286"/>
      <c r="AO1026" s="286"/>
      <c r="AP1026" s="287"/>
      <c r="AR1026" s="288"/>
      <c r="AS1026" s="286"/>
      <c r="AT1026" s="286"/>
      <c r="AU1026" s="287"/>
      <c r="AW1026" s="288"/>
      <c r="AX1026" s="286"/>
      <c r="AY1026" s="286"/>
      <c r="AZ1026" s="287"/>
      <c r="BB1026" s="288"/>
      <c r="BC1026" s="286"/>
      <c r="BD1026" s="286"/>
      <c r="BE1026" s="287"/>
      <c r="BG1026" s="288"/>
      <c r="BH1026" s="286"/>
      <c r="BI1026" s="286"/>
      <c r="BJ1026" s="287"/>
      <c r="BL1026" s="288"/>
      <c r="BM1026" s="286"/>
      <c r="BN1026" s="286"/>
      <c r="BO1026" s="289"/>
    </row>
    <row r="1028" spans="2:67">
      <c r="D1028" s="288" t="s">
        <v>230</v>
      </c>
      <c r="F1028" s="286" t="s">
        <v>218</v>
      </c>
      <c r="H1028" s="284" t="s">
        <v>231</v>
      </c>
    </row>
    <row r="1029" spans="2:67" s="344" customFormat="1">
      <c r="B1029" s="344" t="s">
        <v>296</v>
      </c>
      <c r="D1029" s="288">
        <f>BS30</f>
        <v>4913.9734701254356</v>
      </c>
      <c r="E1029" s="286"/>
      <c r="F1029" s="286">
        <f>BT30</f>
        <v>4401.9726666666666</v>
      </c>
      <c r="G1029" s="332"/>
      <c r="H1029" s="284">
        <f>BU30</f>
        <v>4500.6559999999999</v>
      </c>
      <c r="I1029" s="288"/>
      <c r="J1029" s="286"/>
      <c r="K1029" s="286"/>
      <c r="L1029" s="289"/>
      <c r="M1029" s="290"/>
      <c r="N1029" s="288"/>
      <c r="O1029" s="286"/>
      <c r="P1029" s="286"/>
      <c r="Q1029" s="287"/>
      <c r="S1029" s="288"/>
      <c r="T1029" s="286"/>
      <c r="U1029" s="286"/>
      <c r="V1029" s="287"/>
      <c r="X1029" s="288"/>
      <c r="Y1029" s="286"/>
      <c r="Z1029" s="286"/>
      <c r="AA1029" s="287"/>
      <c r="AC1029" s="288"/>
      <c r="AD1029" s="286"/>
      <c r="AE1029" s="286"/>
      <c r="AF1029" s="287"/>
      <c r="AH1029" s="288"/>
      <c r="AI1029" s="286"/>
      <c r="AJ1029" s="286"/>
      <c r="AK1029" s="287"/>
      <c r="AM1029" s="288"/>
      <c r="AN1029" s="286"/>
      <c r="AO1029" s="286"/>
      <c r="AP1029" s="287"/>
      <c r="AR1029" s="288"/>
      <c r="AS1029" s="286"/>
      <c r="AT1029" s="286"/>
      <c r="AU1029" s="287"/>
      <c r="AW1029" s="288"/>
      <c r="AX1029" s="286"/>
      <c r="AY1029" s="286"/>
      <c r="AZ1029" s="287"/>
      <c r="BB1029" s="288"/>
      <c r="BC1029" s="286"/>
      <c r="BD1029" s="286"/>
      <c r="BE1029" s="287"/>
      <c r="BG1029" s="288"/>
      <c r="BH1029" s="286"/>
      <c r="BI1029" s="286"/>
      <c r="BJ1029" s="287"/>
      <c r="BL1029" s="288"/>
      <c r="BM1029" s="286"/>
      <c r="BN1029" s="286"/>
      <c r="BO1029" s="289"/>
    </row>
    <row r="1031" spans="2:67" s="339" customFormat="1">
      <c r="B1031" s="339" t="s">
        <v>253</v>
      </c>
      <c r="D1031" s="288">
        <f>BS32</f>
        <v>26505</v>
      </c>
      <c r="E1031" s="286"/>
      <c r="F1031" s="286">
        <f>BT32</f>
        <v>26321.61</v>
      </c>
      <c r="G1031" s="287"/>
      <c r="H1031" s="284">
        <f>BU32</f>
        <v>5990.586666666668</v>
      </c>
      <c r="I1031" s="288"/>
      <c r="J1031" s="286"/>
      <c r="K1031" s="286"/>
      <c r="L1031" s="289"/>
      <c r="M1031" s="290"/>
      <c r="N1031" s="288"/>
      <c r="O1031" s="286"/>
      <c r="P1031" s="286"/>
      <c r="Q1031" s="287"/>
      <c r="S1031" s="288"/>
      <c r="T1031" s="286"/>
      <c r="U1031" s="286"/>
      <c r="V1031" s="287"/>
      <c r="X1031" s="288"/>
      <c r="Y1031" s="286"/>
      <c r="Z1031" s="286"/>
      <c r="AA1031" s="287"/>
      <c r="AC1031" s="288"/>
      <c r="AD1031" s="286"/>
      <c r="AE1031" s="286"/>
      <c r="AF1031" s="287"/>
      <c r="AH1031" s="288"/>
      <c r="AI1031" s="286"/>
      <c r="AJ1031" s="286"/>
      <c r="AK1031" s="287"/>
      <c r="AM1031" s="288"/>
      <c r="AN1031" s="286"/>
      <c r="AO1031" s="286"/>
      <c r="AP1031" s="287"/>
      <c r="AR1031" s="288"/>
      <c r="AS1031" s="286"/>
      <c r="AT1031" s="286"/>
      <c r="AU1031" s="287"/>
      <c r="AW1031" s="288"/>
      <c r="AX1031" s="286"/>
      <c r="AY1031" s="286"/>
      <c r="AZ1031" s="287"/>
      <c r="BB1031" s="288"/>
      <c r="BC1031" s="286"/>
      <c r="BD1031" s="286"/>
      <c r="BE1031" s="287"/>
      <c r="BG1031" s="288"/>
      <c r="BH1031" s="286"/>
      <c r="BI1031" s="286"/>
      <c r="BJ1031" s="287"/>
      <c r="BL1031" s="288"/>
      <c r="BM1031" s="286"/>
      <c r="BN1031" s="286"/>
      <c r="BO1031" s="289"/>
    </row>
    <row r="1032" spans="2:67" s="339" customFormat="1">
      <c r="D1032" s="288"/>
      <c r="E1032" s="286"/>
      <c r="F1032" s="286"/>
      <c r="G1032" s="287"/>
      <c r="H1032" s="284"/>
      <c r="I1032" s="288"/>
      <c r="J1032" s="286"/>
      <c r="K1032" s="286"/>
      <c r="L1032" s="289"/>
      <c r="M1032" s="290"/>
      <c r="N1032" s="288"/>
      <c r="O1032" s="286"/>
      <c r="P1032" s="286"/>
      <c r="Q1032" s="287"/>
      <c r="S1032" s="288"/>
      <c r="T1032" s="286"/>
      <c r="U1032" s="286"/>
      <c r="V1032" s="287"/>
      <c r="X1032" s="288"/>
      <c r="Y1032" s="286"/>
      <c r="Z1032" s="286"/>
      <c r="AA1032" s="287"/>
      <c r="AC1032" s="288"/>
      <c r="AD1032" s="286"/>
      <c r="AE1032" s="286"/>
      <c r="AF1032" s="287"/>
      <c r="AH1032" s="288"/>
      <c r="AI1032" s="286"/>
      <c r="AJ1032" s="286"/>
      <c r="AK1032" s="287"/>
      <c r="AM1032" s="288"/>
      <c r="AN1032" s="286"/>
      <c r="AO1032" s="286"/>
      <c r="AP1032" s="287"/>
      <c r="AR1032" s="288"/>
      <c r="AS1032" s="286"/>
      <c r="AT1032" s="286"/>
      <c r="AU1032" s="287"/>
      <c r="AW1032" s="288"/>
      <c r="AX1032" s="286"/>
      <c r="AY1032" s="286"/>
      <c r="AZ1032" s="287"/>
      <c r="BB1032" s="288"/>
      <c r="BC1032" s="286"/>
      <c r="BD1032" s="286"/>
      <c r="BE1032" s="287"/>
      <c r="BG1032" s="288"/>
      <c r="BH1032" s="286"/>
      <c r="BI1032" s="286"/>
      <c r="BJ1032" s="287"/>
      <c r="BL1032" s="288"/>
      <c r="BM1032" s="286"/>
      <c r="BN1032" s="286"/>
      <c r="BO1032" s="289"/>
    </row>
    <row r="1033" spans="2:67" s="339" customFormat="1">
      <c r="B1033" s="339" t="s">
        <v>252</v>
      </c>
      <c r="D1033" s="330">
        <f>G1023/D1029</f>
        <v>133.35675159593049</v>
      </c>
      <c r="E1033" s="326"/>
      <c r="F1033" s="326">
        <f>H1023/F1029</f>
        <v>114.39552403702643</v>
      </c>
      <c r="G1033" s="332"/>
      <c r="H1033" s="358">
        <v>42.07</v>
      </c>
      <c r="I1033" s="288"/>
      <c r="J1033" s="286"/>
      <c r="K1033" s="286"/>
      <c r="L1033" s="289"/>
      <c r="M1033" s="290"/>
      <c r="N1033" s="288"/>
      <c r="O1033" s="286"/>
      <c r="P1033" s="286"/>
      <c r="Q1033" s="287"/>
      <c r="S1033" s="288"/>
      <c r="T1033" s="286"/>
      <c r="U1033" s="286"/>
      <c r="V1033" s="287"/>
      <c r="X1033" s="288"/>
      <c r="Y1033" s="286"/>
      <c r="Z1033" s="286"/>
      <c r="AA1033" s="287"/>
      <c r="AC1033" s="288"/>
      <c r="AD1033" s="286"/>
      <c r="AE1033" s="286"/>
      <c r="AF1033" s="287"/>
      <c r="AH1033" s="288"/>
      <c r="AI1033" s="286"/>
      <c r="AJ1033" s="286"/>
      <c r="AK1033" s="287"/>
      <c r="AM1033" s="288"/>
      <c r="AN1033" s="286"/>
      <c r="AO1033" s="286"/>
      <c r="AP1033" s="287"/>
      <c r="AR1033" s="288"/>
      <c r="AS1033" s="286"/>
      <c r="AT1033" s="286"/>
      <c r="AU1033" s="287"/>
      <c r="AW1033" s="288"/>
      <c r="AX1033" s="286"/>
      <c r="AY1033" s="286"/>
      <c r="AZ1033" s="287"/>
      <c r="BB1033" s="288"/>
      <c r="BC1033" s="286"/>
      <c r="BD1033" s="286"/>
      <c r="BE1033" s="287"/>
      <c r="BG1033" s="288"/>
      <c r="BH1033" s="286"/>
      <c r="BI1033" s="286"/>
      <c r="BJ1033" s="287"/>
      <c r="BL1033" s="288"/>
      <c r="BM1033" s="286"/>
      <c r="BN1033" s="286"/>
      <c r="BO1033" s="289"/>
    </row>
    <row r="1034" spans="2:67" s="339" customFormat="1">
      <c r="D1034" s="288"/>
      <c r="E1034" s="286"/>
      <c r="F1034" s="286"/>
      <c r="G1034" s="287"/>
      <c r="H1034" s="284"/>
      <c r="I1034" s="288"/>
      <c r="J1034" s="286"/>
      <c r="K1034" s="286"/>
      <c r="L1034" s="289"/>
      <c r="M1034" s="290"/>
      <c r="N1034" s="288"/>
      <c r="O1034" s="286"/>
      <c r="P1034" s="286"/>
      <c r="Q1034" s="287"/>
      <c r="S1034" s="288"/>
      <c r="T1034" s="286"/>
      <c r="U1034" s="286"/>
      <c r="V1034" s="287"/>
      <c r="X1034" s="288"/>
      <c r="Y1034" s="286"/>
      <c r="Z1034" s="286"/>
      <c r="AA1034" s="287"/>
      <c r="AC1034" s="288"/>
      <c r="AD1034" s="286"/>
      <c r="AE1034" s="286"/>
      <c r="AF1034" s="287"/>
      <c r="AH1034" s="288"/>
      <c r="AI1034" s="286"/>
      <c r="AJ1034" s="286"/>
      <c r="AK1034" s="287"/>
      <c r="AM1034" s="288"/>
      <c r="AN1034" s="286"/>
      <c r="AO1034" s="286"/>
      <c r="AP1034" s="287"/>
      <c r="AR1034" s="288"/>
      <c r="AS1034" s="286"/>
      <c r="AT1034" s="286"/>
      <c r="AU1034" s="287"/>
      <c r="AW1034" s="288"/>
      <c r="AX1034" s="286"/>
      <c r="AY1034" s="286"/>
      <c r="AZ1034" s="287"/>
      <c r="BB1034" s="288"/>
      <c r="BC1034" s="286"/>
      <c r="BD1034" s="286"/>
      <c r="BE1034" s="287"/>
      <c r="BG1034" s="288"/>
      <c r="BH1034" s="286"/>
      <c r="BI1034" s="286"/>
      <c r="BJ1034" s="287"/>
      <c r="BL1034" s="288"/>
      <c r="BM1034" s="286"/>
      <c r="BN1034" s="286"/>
      <c r="BO1034" s="289"/>
    </row>
    <row r="1036" spans="2:67">
      <c r="G1036" s="327"/>
    </row>
    <row r="1037" spans="2:67">
      <c r="G1037" s="327"/>
    </row>
    <row r="1038" spans="2:67">
      <c r="G1038" s="327"/>
    </row>
    <row r="1039" spans="2:67">
      <c r="G1039" s="327"/>
    </row>
    <row r="1042" spans="2:67">
      <c r="B1042" s="323" t="s">
        <v>327</v>
      </c>
    </row>
    <row r="1043" spans="2:67">
      <c r="B1043" s="283" t="s">
        <v>458</v>
      </c>
    </row>
    <row r="1044" spans="2:67">
      <c r="B1044" s="283" t="str">
        <f>D3</f>
        <v>3-year averages</v>
      </c>
    </row>
    <row r="1045" spans="2:67">
      <c r="B1045" s="283" t="s">
        <v>383</v>
      </c>
    </row>
    <row r="1046" spans="2:67">
      <c r="B1046" s="283" t="s">
        <v>384</v>
      </c>
      <c r="E1046" s="286" t="s">
        <v>385</v>
      </c>
      <c r="F1046" s="326">
        <f>F1094</f>
        <v>-151745.56940451043</v>
      </c>
    </row>
    <row r="1048" spans="2:67">
      <c r="D1048" s="305" t="s">
        <v>386</v>
      </c>
      <c r="E1048" s="306" t="s">
        <v>387</v>
      </c>
      <c r="F1048" s="306" t="s">
        <v>388</v>
      </c>
    </row>
    <row r="1050" spans="2:67" s="339" customFormat="1">
      <c r="B1050" s="339" t="s">
        <v>389</v>
      </c>
      <c r="D1050" s="288"/>
      <c r="E1050" s="286"/>
      <c r="F1050" s="286"/>
      <c r="G1050" s="287"/>
      <c r="H1050" s="284"/>
      <c r="I1050" s="288"/>
      <c r="J1050" s="286"/>
      <c r="K1050" s="286"/>
      <c r="L1050" s="289"/>
      <c r="M1050" s="290"/>
      <c r="N1050" s="288"/>
      <c r="O1050" s="286"/>
      <c r="P1050" s="286"/>
      <c r="Q1050" s="287"/>
      <c r="S1050" s="288"/>
      <c r="T1050" s="286"/>
      <c r="U1050" s="286"/>
      <c r="V1050" s="287"/>
      <c r="X1050" s="288"/>
      <c r="Y1050" s="286"/>
      <c r="Z1050" s="286"/>
      <c r="AA1050" s="287"/>
      <c r="AC1050" s="288"/>
      <c r="AD1050" s="286"/>
      <c r="AE1050" s="286"/>
      <c r="AF1050" s="287"/>
      <c r="AH1050" s="288"/>
      <c r="AI1050" s="286"/>
      <c r="AJ1050" s="286"/>
      <c r="AK1050" s="287"/>
      <c r="AM1050" s="288"/>
      <c r="AN1050" s="286"/>
      <c r="AO1050" s="286"/>
      <c r="AP1050" s="287"/>
      <c r="AR1050" s="288"/>
      <c r="AS1050" s="286"/>
      <c r="AT1050" s="286"/>
      <c r="AU1050" s="287"/>
      <c r="AW1050" s="288"/>
      <c r="AX1050" s="286"/>
      <c r="AY1050" s="286"/>
      <c r="AZ1050" s="287"/>
      <c r="BB1050" s="288"/>
      <c r="BC1050" s="286"/>
      <c r="BD1050" s="286"/>
      <c r="BE1050" s="287"/>
      <c r="BG1050" s="288"/>
      <c r="BH1050" s="286"/>
      <c r="BI1050" s="286"/>
      <c r="BJ1050" s="287"/>
      <c r="BL1050" s="288"/>
      <c r="BM1050" s="286"/>
      <c r="BN1050" s="286"/>
      <c r="BO1050" s="289"/>
    </row>
    <row r="1051" spans="2:67" s="339" customFormat="1">
      <c r="B1051" s="365" t="s">
        <v>424</v>
      </c>
      <c r="C1051" s="339" t="s">
        <v>390</v>
      </c>
      <c r="D1051" s="330">
        <f>G1006</f>
        <v>0</v>
      </c>
      <c r="E1051" s="326">
        <f>H1006</f>
        <v>0</v>
      </c>
      <c r="F1051" s="326">
        <f>E1051-D1051</f>
        <v>0</v>
      </c>
      <c r="G1051" s="287"/>
      <c r="H1051" s="284"/>
      <c r="I1051" s="288"/>
      <c r="J1051" s="286"/>
      <c r="K1051" s="286"/>
      <c r="L1051" s="289"/>
      <c r="M1051" s="290"/>
      <c r="N1051" s="288"/>
      <c r="O1051" s="286"/>
      <c r="P1051" s="286"/>
      <c r="Q1051" s="287"/>
      <c r="S1051" s="288"/>
      <c r="T1051" s="286"/>
      <c r="U1051" s="286"/>
      <c r="V1051" s="287"/>
      <c r="X1051" s="288"/>
      <c r="Y1051" s="286"/>
      <c r="Z1051" s="286"/>
      <c r="AA1051" s="287"/>
      <c r="AC1051" s="288"/>
      <c r="AD1051" s="286"/>
      <c r="AE1051" s="286"/>
      <c r="AF1051" s="287"/>
      <c r="AH1051" s="288"/>
      <c r="AI1051" s="286"/>
      <c r="AJ1051" s="286"/>
      <c r="AK1051" s="287"/>
      <c r="AM1051" s="288"/>
      <c r="AN1051" s="286"/>
      <c r="AO1051" s="286"/>
      <c r="AP1051" s="287"/>
      <c r="AR1051" s="288"/>
      <c r="AS1051" s="286"/>
      <c r="AT1051" s="286"/>
      <c r="AU1051" s="287"/>
      <c r="AW1051" s="288"/>
      <c r="AX1051" s="286"/>
      <c r="AY1051" s="286"/>
      <c r="AZ1051" s="287"/>
      <c r="BB1051" s="288"/>
      <c r="BC1051" s="286"/>
      <c r="BD1051" s="286"/>
      <c r="BE1051" s="287"/>
      <c r="BG1051" s="288"/>
      <c r="BH1051" s="286"/>
      <c r="BI1051" s="286"/>
      <c r="BJ1051" s="287"/>
      <c r="BL1051" s="288"/>
      <c r="BM1051" s="286"/>
      <c r="BN1051" s="286"/>
      <c r="BO1051" s="289"/>
    </row>
    <row r="1052" spans="2:67" s="339" customFormat="1">
      <c r="B1052" s="365" t="s">
        <v>391</v>
      </c>
      <c r="C1052" s="339" t="s">
        <v>390</v>
      </c>
      <c r="D1052" s="330">
        <f>G1019</f>
        <v>62070.661661236518</v>
      </c>
      <c r="E1052" s="326">
        <f>H1019</f>
        <v>79280.803333333315</v>
      </c>
      <c r="F1052" s="326">
        <f>E1052-D1052</f>
        <v>17210.141672096797</v>
      </c>
      <c r="G1052" s="287"/>
      <c r="H1052" s="284"/>
      <c r="I1052" s="288"/>
      <c r="J1052" s="286"/>
      <c r="K1052" s="286"/>
      <c r="L1052" s="289"/>
      <c r="M1052" s="290"/>
      <c r="N1052" s="288"/>
      <c r="O1052" s="286"/>
      <c r="P1052" s="286"/>
      <c r="Q1052" s="287"/>
      <c r="S1052" s="288"/>
      <c r="T1052" s="286"/>
      <c r="U1052" s="286"/>
      <c r="V1052" s="287"/>
      <c r="X1052" s="288"/>
      <c r="Y1052" s="286"/>
      <c r="Z1052" s="286"/>
      <c r="AA1052" s="287"/>
      <c r="AC1052" s="288"/>
      <c r="AD1052" s="286"/>
      <c r="AE1052" s="286"/>
      <c r="AF1052" s="287"/>
      <c r="AH1052" s="288"/>
      <c r="AI1052" s="286"/>
      <c r="AJ1052" s="286"/>
      <c r="AK1052" s="287"/>
      <c r="AM1052" s="288"/>
      <c r="AN1052" s="286"/>
      <c r="AO1052" s="286"/>
      <c r="AP1052" s="287"/>
      <c r="AR1052" s="288"/>
      <c r="AS1052" s="286"/>
      <c r="AT1052" s="286"/>
      <c r="AU1052" s="287"/>
      <c r="AW1052" s="288"/>
      <c r="AX1052" s="286"/>
      <c r="AY1052" s="286"/>
      <c r="AZ1052" s="287"/>
      <c r="BB1052" s="288"/>
      <c r="BC1052" s="286"/>
      <c r="BD1052" s="286"/>
      <c r="BE1052" s="287"/>
      <c r="BG1052" s="288"/>
      <c r="BH1052" s="286"/>
      <c r="BI1052" s="286"/>
      <c r="BJ1052" s="287"/>
      <c r="BL1052" s="288"/>
      <c r="BM1052" s="286"/>
      <c r="BN1052" s="286"/>
      <c r="BO1052" s="289"/>
    </row>
    <row r="1053" spans="2:67" s="339" customFormat="1">
      <c r="B1053" s="365" t="s">
        <v>392</v>
      </c>
      <c r="C1053" s="339" t="s">
        <v>393</v>
      </c>
      <c r="D1053" s="330">
        <f>G1012</f>
        <v>33436.192769386544</v>
      </c>
      <c r="E1053" s="326">
        <f>H1012</f>
        <v>24285.633333333335</v>
      </c>
      <c r="F1053" s="326">
        <f>E1053-D1053</f>
        <v>-9150.5594360532086</v>
      </c>
      <c r="G1053" s="287"/>
      <c r="H1053" s="284"/>
      <c r="I1053" s="288"/>
      <c r="J1053" s="286"/>
      <c r="K1053" s="286"/>
      <c r="L1053" s="289"/>
      <c r="M1053" s="290"/>
      <c r="N1053" s="288"/>
      <c r="O1053" s="286"/>
      <c r="P1053" s="286"/>
      <c r="Q1053" s="287"/>
      <c r="S1053" s="288"/>
      <c r="T1053" s="286"/>
      <c r="U1053" s="286"/>
      <c r="V1053" s="287"/>
      <c r="X1053" s="288"/>
      <c r="Y1053" s="286"/>
      <c r="Z1053" s="286"/>
      <c r="AA1053" s="287"/>
      <c r="AC1053" s="288"/>
      <c r="AD1053" s="286"/>
      <c r="AE1053" s="286"/>
      <c r="AF1053" s="287"/>
      <c r="AH1053" s="288"/>
      <c r="AI1053" s="286"/>
      <c r="AJ1053" s="286"/>
      <c r="AK1053" s="287"/>
      <c r="AM1053" s="288"/>
      <c r="AN1053" s="286"/>
      <c r="AO1053" s="286"/>
      <c r="AP1053" s="287"/>
      <c r="AR1053" s="288"/>
      <c r="AS1053" s="286"/>
      <c r="AT1053" s="286"/>
      <c r="AU1053" s="287"/>
      <c r="AW1053" s="288"/>
      <c r="AX1053" s="286"/>
      <c r="AY1053" s="286"/>
      <c r="AZ1053" s="287"/>
      <c r="BB1053" s="288"/>
      <c r="BC1053" s="286"/>
      <c r="BD1053" s="286"/>
      <c r="BE1053" s="287"/>
      <c r="BG1053" s="288"/>
      <c r="BH1053" s="286"/>
      <c r="BI1053" s="286"/>
      <c r="BJ1053" s="287"/>
      <c r="BL1053" s="288"/>
      <c r="BM1053" s="286"/>
      <c r="BN1053" s="286"/>
      <c r="BO1053" s="289"/>
    </row>
    <row r="1054" spans="2:67" s="339" customFormat="1">
      <c r="B1054" s="365" t="s">
        <v>425</v>
      </c>
      <c r="C1054" s="339" t="s">
        <v>393</v>
      </c>
      <c r="D1054" s="330">
        <f>G1005</f>
        <v>173357.50189029376</v>
      </c>
      <c r="E1054" s="326">
        <f>H1005</f>
        <v>161256.51666666666</v>
      </c>
      <c r="F1054" s="326">
        <f>E1054-D1054</f>
        <v>-12100.985223627096</v>
      </c>
      <c r="G1054" s="287"/>
      <c r="H1054" s="284"/>
      <c r="I1054" s="288"/>
      <c r="J1054" s="286"/>
      <c r="K1054" s="286"/>
      <c r="L1054" s="289"/>
      <c r="M1054" s="290"/>
      <c r="N1054" s="288"/>
      <c r="O1054" s="286"/>
      <c r="P1054" s="286"/>
      <c r="Q1054" s="287"/>
      <c r="S1054" s="288"/>
      <c r="T1054" s="286"/>
      <c r="U1054" s="286"/>
      <c r="V1054" s="287"/>
      <c r="X1054" s="288"/>
      <c r="Y1054" s="286"/>
      <c r="Z1054" s="286"/>
      <c r="AA1054" s="287"/>
      <c r="AC1054" s="288"/>
      <c r="AD1054" s="286"/>
      <c r="AE1054" s="286"/>
      <c r="AF1054" s="287"/>
      <c r="AH1054" s="288"/>
      <c r="AI1054" s="286"/>
      <c r="AJ1054" s="286"/>
      <c r="AK1054" s="287"/>
      <c r="AM1054" s="288"/>
      <c r="AN1054" s="286"/>
      <c r="AO1054" s="286"/>
      <c r="AP1054" s="287"/>
      <c r="AR1054" s="288"/>
      <c r="AS1054" s="286"/>
      <c r="AT1054" s="286"/>
      <c r="AU1054" s="287"/>
      <c r="AW1054" s="288"/>
      <c r="AX1054" s="286"/>
      <c r="AY1054" s="286"/>
      <c r="AZ1054" s="287"/>
      <c r="BB1054" s="288"/>
      <c r="BC1054" s="286"/>
      <c r="BD1054" s="286"/>
      <c r="BE1054" s="287"/>
      <c r="BG1054" s="288"/>
      <c r="BH1054" s="286"/>
      <c r="BI1054" s="286"/>
      <c r="BJ1054" s="287"/>
      <c r="BL1054" s="288"/>
      <c r="BM1054" s="286"/>
      <c r="BN1054" s="286"/>
      <c r="BO1054" s="289"/>
    </row>
    <row r="1055" spans="2:67" s="339" customFormat="1">
      <c r="B1055" s="365" t="s">
        <v>394</v>
      </c>
      <c r="C1055" s="339" t="s">
        <v>395</v>
      </c>
      <c r="D1055" s="330">
        <f>G1018</f>
        <v>5480.8371170054033</v>
      </c>
      <c r="E1055" s="326">
        <f>H1018</f>
        <v>1405</v>
      </c>
      <c r="F1055" s="326">
        <f>E1055-D1055</f>
        <v>-4075.8371170054033</v>
      </c>
      <c r="G1055" s="287"/>
      <c r="H1055" s="284"/>
      <c r="I1055" s="288"/>
      <c r="J1055" s="286"/>
      <c r="K1055" s="286"/>
      <c r="L1055" s="289"/>
      <c r="M1055" s="290"/>
      <c r="N1055" s="288"/>
      <c r="O1055" s="286"/>
      <c r="P1055" s="286"/>
      <c r="Q1055" s="287"/>
      <c r="S1055" s="288"/>
      <c r="T1055" s="286"/>
      <c r="U1055" s="286"/>
      <c r="V1055" s="287"/>
      <c r="X1055" s="288"/>
      <c r="Y1055" s="286"/>
      <c r="Z1055" s="286"/>
      <c r="AA1055" s="287"/>
      <c r="AC1055" s="288"/>
      <c r="AD1055" s="286"/>
      <c r="AE1055" s="286"/>
      <c r="AF1055" s="287"/>
      <c r="AH1055" s="288"/>
      <c r="AI1055" s="286"/>
      <c r="AJ1055" s="286"/>
      <c r="AK1055" s="287"/>
      <c r="AM1055" s="288"/>
      <c r="AN1055" s="286"/>
      <c r="AO1055" s="286"/>
      <c r="AP1055" s="287"/>
      <c r="AR1055" s="288"/>
      <c r="AS1055" s="286"/>
      <c r="AT1055" s="286"/>
      <c r="AU1055" s="287"/>
      <c r="AW1055" s="288"/>
      <c r="AX1055" s="286"/>
      <c r="AY1055" s="286"/>
      <c r="AZ1055" s="287"/>
      <c r="BB1055" s="288"/>
      <c r="BC1055" s="286"/>
      <c r="BD1055" s="286"/>
      <c r="BE1055" s="287"/>
      <c r="BG1055" s="288"/>
      <c r="BH1055" s="286"/>
      <c r="BI1055" s="286"/>
      <c r="BJ1055" s="287"/>
      <c r="BL1055" s="288"/>
      <c r="BM1055" s="286"/>
      <c r="BN1055" s="286"/>
      <c r="BO1055" s="289"/>
    </row>
    <row r="1056" spans="2:67" s="339" customFormat="1">
      <c r="B1056" s="339" t="s">
        <v>396</v>
      </c>
      <c r="D1056" s="330"/>
      <c r="E1056" s="326"/>
      <c r="F1056" s="326"/>
      <c r="G1056" s="287"/>
      <c r="H1056" s="284"/>
      <c r="I1056" s="288"/>
      <c r="J1056" s="286"/>
      <c r="K1056" s="286"/>
      <c r="L1056" s="289"/>
      <c r="M1056" s="290"/>
      <c r="N1056" s="288"/>
      <c r="O1056" s="286"/>
      <c r="P1056" s="286"/>
      <c r="Q1056" s="287"/>
      <c r="S1056" s="288"/>
      <c r="T1056" s="286"/>
      <c r="U1056" s="286"/>
      <c r="V1056" s="287"/>
      <c r="X1056" s="288"/>
      <c r="Y1056" s="286"/>
      <c r="Z1056" s="286"/>
      <c r="AA1056" s="287"/>
      <c r="AC1056" s="288"/>
      <c r="AD1056" s="286"/>
      <c r="AE1056" s="286"/>
      <c r="AF1056" s="287"/>
      <c r="AH1056" s="288"/>
      <c r="AI1056" s="286"/>
      <c r="AJ1056" s="286"/>
      <c r="AK1056" s="287"/>
      <c r="AM1056" s="288"/>
      <c r="AN1056" s="286"/>
      <c r="AO1056" s="286"/>
      <c r="AP1056" s="287"/>
      <c r="AR1056" s="288"/>
      <c r="AS1056" s="286"/>
      <c r="AT1056" s="286"/>
      <c r="AU1056" s="287"/>
      <c r="AW1056" s="288"/>
      <c r="AX1056" s="286"/>
      <c r="AY1056" s="286"/>
      <c r="AZ1056" s="287"/>
      <c r="BB1056" s="288"/>
      <c r="BC1056" s="286"/>
      <c r="BD1056" s="286"/>
      <c r="BE1056" s="287"/>
      <c r="BG1056" s="288"/>
      <c r="BH1056" s="286"/>
      <c r="BI1056" s="286"/>
      <c r="BJ1056" s="287"/>
      <c r="BL1056" s="288"/>
      <c r="BM1056" s="286"/>
      <c r="BN1056" s="286"/>
      <c r="BO1056" s="289"/>
    </row>
    <row r="1057" spans="2:67" s="339" customFormat="1">
      <c r="B1057" s="339" t="s">
        <v>397</v>
      </c>
      <c r="D1057" s="330">
        <f>SUM(D1051:D1055)</f>
        <v>274345.19343792222</v>
      </c>
      <c r="E1057" s="326">
        <f>SUM(E1051:E1055)</f>
        <v>266227.95333333331</v>
      </c>
      <c r="F1057" s="326">
        <f>E1057-D1057</f>
        <v>-8117.2401045889128</v>
      </c>
      <c r="G1057" s="287"/>
      <c r="H1057" s="284"/>
      <c r="I1057" s="288"/>
      <c r="J1057" s="286"/>
      <c r="K1057" s="286"/>
      <c r="L1057" s="289"/>
      <c r="M1057" s="290"/>
      <c r="N1057" s="288"/>
      <c r="O1057" s="286"/>
      <c r="P1057" s="286"/>
      <c r="Q1057" s="287"/>
      <c r="S1057" s="288"/>
      <c r="T1057" s="286"/>
      <c r="U1057" s="286"/>
      <c r="V1057" s="287"/>
      <c r="X1057" s="288"/>
      <c r="Y1057" s="286"/>
      <c r="Z1057" s="286"/>
      <c r="AA1057" s="287"/>
      <c r="AC1057" s="288"/>
      <c r="AD1057" s="286"/>
      <c r="AE1057" s="286"/>
      <c r="AF1057" s="287"/>
      <c r="AH1057" s="288"/>
      <c r="AI1057" s="286"/>
      <c r="AJ1057" s="286"/>
      <c r="AK1057" s="287"/>
      <c r="AM1057" s="288"/>
      <c r="AN1057" s="286"/>
      <c r="AO1057" s="286"/>
      <c r="AP1057" s="287"/>
      <c r="AR1057" s="288"/>
      <c r="AS1057" s="286"/>
      <c r="AT1057" s="286"/>
      <c r="AU1057" s="287"/>
      <c r="AW1057" s="288"/>
      <c r="AX1057" s="286"/>
      <c r="AY1057" s="286"/>
      <c r="AZ1057" s="287"/>
      <c r="BB1057" s="288"/>
      <c r="BC1057" s="286"/>
      <c r="BD1057" s="286"/>
      <c r="BE1057" s="287"/>
      <c r="BG1057" s="288"/>
      <c r="BH1057" s="286"/>
      <c r="BI1057" s="286"/>
      <c r="BJ1057" s="287"/>
      <c r="BL1057" s="288"/>
      <c r="BM1057" s="286"/>
      <c r="BN1057" s="286"/>
      <c r="BO1057" s="289"/>
    </row>
    <row r="1058" spans="2:67" s="339" customFormat="1">
      <c r="B1058" s="339" t="s">
        <v>396</v>
      </c>
      <c r="D1058" s="330"/>
      <c r="E1058" s="326"/>
      <c r="F1058" s="326"/>
      <c r="G1058" s="287"/>
      <c r="H1058" s="284"/>
      <c r="I1058" s="288"/>
      <c r="J1058" s="286"/>
      <c r="K1058" s="286"/>
      <c r="L1058" s="289"/>
      <c r="M1058" s="290"/>
      <c r="N1058" s="288"/>
      <c r="O1058" s="286"/>
      <c r="P1058" s="286"/>
      <c r="Q1058" s="287"/>
      <c r="S1058" s="288"/>
      <c r="T1058" s="286"/>
      <c r="U1058" s="286"/>
      <c r="V1058" s="287"/>
      <c r="X1058" s="288"/>
      <c r="Y1058" s="286"/>
      <c r="Z1058" s="286"/>
      <c r="AA1058" s="287"/>
      <c r="AC1058" s="288"/>
      <c r="AD1058" s="286"/>
      <c r="AE1058" s="286"/>
      <c r="AF1058" s="287"/>
      <c r="AH1058" s="288"/>
      <c r="AI1058" s="286"/>
      <c r="AJ1058" s="286"/>
      <c r="AK1058" s="287"/>
      <c r="AM1058" s="288"/>
      <c r="AN1058" s="286"/>
      <c r="AO1058" s="286"/>
      <c r="AP1058" s="287"/>
      <c r="AR1058" s="288"/>
      <c r="AS1058" s="286"/>
      <c r="AT1058" s="286"/>
      <c r="AU1058" s="287"/>
      <c r="AW1058" s="288"/>
      <c r="AX1058" s="286"/>
      <c r="AY1058" s="286"/>
      <c r="AZ1058" s="287"/>
      <c r="BB1058" s="288"/>
      <c r="BC1058" s="286"/>
      <c r="BD1058" s="286"/>
      <c r="BE1058" s="287"/>
      <c r="BG1058" s="288"/>
      <c r="BH1058" s="286"/>
      <c r="BI1058" s="286"/>
      <c r="BJ1058" s="287"/>
      <c r="BL1058" s="288"/>
      <c r="BM1058" s="286"/>
      <c r="BN1058" s="286"/>
      <c r="BO1058" s="289"/>
    </row>
    <row r="1059" spans="2:67" s="339" customFormat="1">
      <c r="D1059" s="330"/>
      <c r="E1059" s="326"/>
      <c r="F1059" s="326"/>
      <c r="G1059" s="287"/>
      <c r="H1059" s="284"/>
      <c r="I1059" s="288"/>
      <c r="J1059" s="286"/>
      <c r="K1059" s="286"/>
      <c r="L1059" s="289"/>
      <c r="M1059" s="290"/>
      <c r="N1059" s="288"/>
      <c r="O1059" s="286"/>
      <c r="P1059" s="286"/>
      <c r="Q1059" s="287"/>
      <c r="S1059" s="288"/>
      <c r="T1059" s="286"/>
      <c r="U1059" s="286"/>
      <c r="V1059" s="287"/>
      <c r="X1059" s="288"/>
      <c r="Y1059" s="286"/>
      <c r="Z1059" s="286"/>
      <c r="AA1059" s="287"/>
      <c r="AC1059" s="288"/>
      <c r="AD1059" s="286"/>
      <c r="AE1059" s="286"/>
      <c r="AF1059" s="287"/>
      <c r="AH1059" s="288"/>
      <c r="AI1059" s="286"/>
      <c r="AJ1059" s="286"/>
      <c r="AK1059" s="287"/>
      <c r="AM1059" s="288"/>
      <c r="AN1059" s="286"/>
      <c r="AO1059" s="286"/>
      <c r="AP1059" s="287"/>
      <c r="AR1059" s="288"/>
      <c r="AS1059" s="286"/>
      <c r="AT1059" s="286"/>
      <c r="AU1059" s="287"/>
      <c r="AW1059" s="288"/>
      <c r="AX1059" s="286"/>
      <c r="AY1059" s="286"/>
      <c r="AZ1059" s="287"/>
      <c r="BB1059" s="288"/>
      <c r="BC1059" s="286"/>
      <c r="BD1059" s="286"/>
      <c r="BE1059" s="287"/>
      <c r="BG1059" s="288"/>
      <c r="BH1059" s="286"/>
      <c r="BI1059" s="286"/>
      <c r="BJ1059" s="287"/>
      <c r="BL1059" s="288"/>
      <c r="BM1059" s="286"/>
      <c r="BN1059" s="286"/>
      <c r="BO1059" s="289"/>
    </row>
    <row r="1060" spans="2:67" s="339" customFormat="1">
      <c r="B1060" s="339" t="s">
        <v>398</v>
      </c>
      <c r="D1060" s="330"/>
      <c r="E1060" s="326"/>
      <c r="F1060" s="326"/>
      <c r="G1060" s="287"/>
      <c r="H1060" s="284"/>
      <c r="I1060" s="288"/>
      <c r="J1060" s="286"/>
      <c r="K1060" s="286"/>
      <c r="L1060" s="289"/>
      <c r="M1060" s="290"/>
      <c r="N1060" s="288"/>
      <c r="O1060" s="286"/>
      <c r="P1060" s="286"/>
      <c r="Q1060" s="287"/>
      <c r="S1060" s="288"/>
      <c r="T1060" s="286"/>
      <c r="U1060" s="286"/>
      <c r="V1060" s="287"/>
      <c r="X1060" s="288"/>
      <c r="Y1060" s="286"/>
      <c r="Z1060" s="286"/>
      <c r="AA1060" s="287"/>
      <c r="AC1060" s="288"/>
      <c r="AD1060" s="286"/>
      <c r="AE1060" s="286"/>
      <c r="AF1060" s="287"/>
      <c r="AH1060" s="288"/>
      <c r="AI1060" s="286"/>
      <c r="AJ1060" s="286"/>
      <c r="AK1060" s="287"/>
      <c r="AM1060" s="288"/>
      <c r="AN1060" s="286"/>
      <c r="AO1060" s="286"/>
      <c r="AP1060" s="287"/>
      <c r="AR1060" s="288"/>
      <c r="AS1060" s="286"/>
      <c r="AT1060" s="286"/>
      <c r="AU1060" s="287"/>
      <c r="AW1060" s="288"/>
      <c r="AX1060" s="286"/>
      <c r="AY1060" s="286"/>
      <c r="AZ1060" s="287"/>
      <c r="BB1060" s="288"/>
      <c r="BC1060" s="286"/>
      <c r="BD1060" s="286"/>
      <c r="BE1060" s="287"/>
      <c r="BG1060" s="288"/>
      <c r="BH1060" s="286"/>
      <c r="BI1060" s="286"/>
      <c r="BJ1060" s="287"/>
      <c r="BL1060" s="288"/>
      <c r="BM1060" s="286"/>
      <c r="BN1060" s="286"/>
      <c r="BO1060" s="289"/>
    </row>
    <row r="1061" spans="2:67" s="339" customFormat="1">
      <c r="B1061" s="365" t="s">
        <v>399</v>
      </c>
      <c r="C1061" s="339" t="s">
        <v>393</v>
      </c>
      <c r="D1061" s="330">
        <f>G1008</f>
        <v>72149.500450538137</v>
      </c>
      <c r="E1061" s="326">
        <f>H1008</f>
        <v>58567.506666666668</v>
      </c>
      <c r="F1061" s="326">
        <f>E1061-D1061</f>
        <v>-13581.993783871469</v>
      </c>
      <c r="G1061" s="287"/>
      <c r="H1061" s="284"/>
      <c r="I1061" s="288"/>
      <c r="J1061" s="286"/>
      <c r="K1061" s="286"/>
      <c r="L1061" s="289"/>
      <c r="M1061" s="290"/>
      <c r="N1061" s="288"/>
      <c r="O1061" s="286"/>
      <c r="P1061" s="286"/>
      <c r="Q1061" s="287"/>
      <c r="S1061" s="288"/>
      <c r="T1061" s="286"/>
      <c r="U1061" s="286"/>
      <c r="V1061" s="287"/>
      <c r="X1061" s="288"/>
      <c r="Y1061" s="286"/>
      <c r="Z1061" s="286"/>
      <c r="AA1061" s="287"/>
      <c r="AC1061" s="288"/>
      <c r="AD1061" s="286"/>
      <c r="AE1061" s="286"/>
      <c r="AF1061" s="287"/>
      <c r="AH1061" s="288"/>
      <c r="AI1061" s="286"/>
      <c r="AJ1061" s="286"/>
      <c r="AK1061" s="287"/>
      <c r="AM1061" s="288"/>
      <c r="AN1061" s="286"/>
      <c r="AO1061" s="286"/>
      <c r="AP1061" s="287"/>
      <c r="AR1061" s="288"/>
      <c r="AS1061" s="286"/>
      <c r="AT1061" s="286"/>
      <c r="AU1061" s="287"/>
      <c r="AW1061" s="288"/>
      <c r="AX1061" s="286"/>
      <c r="AY1061" s="286"/>
      <c r="AZ1061" s="287"/>
      <c r="BB1061" s="288"/>
      <c r="BC1061" s="286"/>
      <c r="BD1061" s="286"/>
      <c r="BE1061" s="287"/>
      <c r="BG1061" s="288"/>
      <c r="BH1061" s="286"/>
      <c r="BI1061" s="286"/>
      <c r="BJ1061" s="287"/>
      <c r="BL1061" s="288"/>
      <c r="BM1061" s="286"/>
      <c r="BN1061" s="286"/>
      <c r="BO1061" s="289"/>
    </row>
    <row r="1062" spans="2:67" s="339" customFormat="1">
      <c r="B1062" s="365" t="s">
        <v>400</v>
      </c>
      <c r="C1062" s="339" t="s">
        <v>393</v>
      </c>
      <c r="D1062" s="330">
        <f>G1015</f>
        <v>35006.240427395038</v>
      </c>
      <c r="E1062" s="326">
        <f>H1015</f>
        <v>16585.593333333334</v>
      </c>
      <c r="F1062" s="326">
        <f>E1062-D1062</f>
        <v>-18420.647094061704</v>
      </c>
      <c r="G1062" s="287"/>
      <c r="H1062" s="284"/>
      <c r="I1062" s="288"/>
      <c r="J1062" s="286"/>
      <c r="K1062" s="286"/>
      <c r="L1062" s="289"/>
      <c r="M1062" s="290"/>
      <c r="N1062" s="288"/>
      <c r="O1062" s="286"/>
      <c r="P1062" s="286"/>
      <c r="Q1062" s="287"/>
      <c r="S1062" s="288"/>
      <c r="T1062" s="286"/>
      <c r="U1062" s="286"/>
      <c r="V1062" s="287"/>
      <c r="X1062" s="288"/>
      <c r="Y1062" s="286"/>
      <c r="Z1062" s="286"/>
      <c r="AA1062" s="287"/>
      <c r="AC1062" s="288"/>
      <c r="AD1062" s="286"/>
      <c r="AE1062" s="286"/>
      <c r="AF1062" s="287"/>
      <c r="AH1062" s="288"/>
      <c r="AI1062" s="286"/>
      <c r="AJ1062" s="286"/>
      <c r="AK1062" s="287"/>
      <c r="AM1062" s="288"/>
      <c r="AN1062" s="286"/>
      <c r="AO1062" s="286"/>
      <c r="AP1062" s="287"/>
      <c r="AR1062" s="288"/>
      <c r="AS1062" s="286"/>
      <c r="AT1062" s="286"/>
      <c r="AU1062" s="287"/>
      <c r="AW1062" s="288"/>
      <c r="AX1062" s="286"/>
      <c r="AY1062" s="286"/>
      <c r="AZ1062" s="287"/>
      <c r="BB1062" s="288"/>
      <c r="BC1062" s="286"/>
      <c r="BD1062" s="286"/>
      <c r="BE1062" s="287"/>
      <c r="BG1062" s="288"/>
      <c r="BH1062" s="286"/>
      <c r="BI1062" s="286"/>
      <c r="BJ1062" s="287"/>
      <c r="BL1062" s="288"/>
      <c r="BM1062" s="286"/>
      <c r="BN1062" s="286"/>
      <c r="BO1062" s="289"/>
    </row>
    <row r="1063" spans="2:67" s="339" customFormat="1">
      <c r="B1063" s="365" t="s">
        <v>401</v>
      </c>
      <c r="C1063" s="339" t="s">
        <v>402</v>
      </c>
      <c r="D1063" s="330">
        <f>G1014</f>
        <v>3299.2789405587841</v>
      </c>
      <c r="E1063" s="326">
        <f>H1014</f>
        <v>2415.1800000000003</v>
      </c>
      <c r="F1063" s="326">
        <f>E1063-D1063</f>
        <v>-884.09894055878385</v>
      </c>
      <c r="G1063" s="287"/>
      <c r="H1063" s="284"/>
      <c r="I1063" s="288"/>
      <c r="J1063" s="286"/>
      <c r="K1063" s="286"/>
      <c r="L1063" s="289"/>
      <c r="M1063" s="290"/>
      <c r="N1063" s="288"/>
      <c r="O1063" s="286"/>
      <c r="P1063" s="286"/>
      <c r="Q1063" s="287"/>
      <c r="S1063" s="288"/>
      <c r="T1063" s="286"/>
      <c r="U1063" s="286"/>
      <c r="V1063" s="287"/>
      <c r="X1063" s="288"/>
      <c r="Y1063" s="286"/>
      <c r="Z1063" s="286"/>
      <c r="AA1063" s="287"/>
      <c r="AC1063" s="288"/>
      <c r="AD1063" s="286"/>
      <c r="AE1063" s="286"/>
      <c r="AF1063" s="287"/>
      <c r="AH1063" s="288"/>
      <c r="AI1063" s="286"/>
      <c r="AJ1063" s="286"/>
      <c r="AK1063" s="287"/>
      <c r="AM1063" s="288"/>
      <c r="AN1063" s="286"/>
      <c r="AO1063" s="286"/>
      <c r="AP1063" s="287"/>
      <c r="AR1063" s="288"/>
      <c r="AS1063" s="286"/>
      <c r="AT1063" s="286"/>
      <c r="AU1063" s="287"/>
      <c r="AW1063" s="288"/>
      <c r="AX1063" s="286"/>
      <c r="AY1063" s="286"/>
      <c r="AZ1063" s="287"/>
      <c r="BB1063" s="288"/>
      <c r="BC1063" s="286"/>
      <c r="BD1063" s="286"/>
      <c r="BE1063" s="287"/>
      <c r="BG1063" s="288"/>
      <c r="BH1063" s="286"/>
      <c r="BI1063" s="286"/>
      <c r="BJ1063" s="287"/>
      <c r="BL1063" s="288"/>
      <c r="BM1063" s="286"/>
      <c r="BN1063" s="286"/>
      <c r="BO1063" s="289"/>
    </row>
    <row r="1064" spans="2:67" s="339" customFormat="1">
      <c r="B1064" s="339" t="s">
        <v>396</v>
      </c>
      <c r="D1064" s="330"/>
      <c r="E1064" s="326"/>
      <c r="F1064" s="326"/>
      <c r="G1064" s="287"/>
      <c r="H1064" s="284"/>
      <c r="I1064" s="288"/>
      <c r="J1064" s="286"/>
      <c r="K1064" s="286"/>
      <c r="L1064" s="289"/>
      <c r="M1064" s="290"/>
      <c r="N1064" s="288"/>
      <c r="O1064" s="286"/>
      <c r="P1064" s="286"/>
      <c r="Q1064" s="287"/>
      <c r="S1064" s="288"/>
      <c r="T1064" s="286"/>
      <c r="U1064" s="286"/>
      <c r="V1064" s="287"/>
      <c r="X1064" s="288"/>
      <c r="Y1064" s="286"/>
      <c r="Z1064" s="286"/>
      <c r="AA1064" s="287"/>
      <c r="AC1064" s="288"/>
      <c r="AD1064" s="286"/>
      <c r="AE1064" s="286"/>
      <c r="AF1064" s="287"/>
      <c r="AH1064" s="288"/>
      <c r="AI1064" s="286"/>
      <c r="AJ1064" s="286"/>
      <c r="AK1064" s="287"/>
      <c r="AM1064" s="288"/>
      <c r="AN1064" s="286"/>
      <c r="AO1064" s="286"/>
      <c r="AP1064" s="287"/>
      <c r="AR1064" s="288"/>
      <c r="AS1064" s="286"/>
      <c r="AT1064" s="286"/>
      <c r="AU1064" s="287"/>
      <c r="AW1064" s="288"/>
      <c r="AX1064" s="286"/>
      <c r="AY1064" s="286"/>
      <c r="AZ1064" s="287"/>
      <c r="BB1064" s="288"/>
      <c r="BC1064" s="286"/>
      <c r="BD1064" s="286"/>
      <c r="BE1064" s="287"/>
      <c r="BG1064" s="288"/>
      <c r="BH1064" s="286"/>
      <c r="BI1064" s="286"/>
      <c r="BJ1064" s="287"/>
      <c r="BL1064" s="288"/>
      <c r="BM1064" s="286"/>
      <c r="BN1064" s="286"/>
      <c r="BO1064" s="289"/>
    </row>
    <row r="1065" spans="2:67" s="339" customFormat="1">
      <c r="B1065" s="339" t="s">
        <v>403</v>
      </c>
      <c r="D1065" s="330">
        <f>D1061+D1063+D1062</f>
        <v>110455.01981849196</v>
      </c>
      <c r="E1065" s="326">
        <f>E1061+E1063+E1062</f>
        <v>77568.28</v>
      </c>
      <c r="F1065" s="326">
        <f>E1065-D1065</f>
        <v>-32886.739818491958</v>
      </c>
      <c r="G1065" s="287"/>
      <c r="H1065" s="284"/>
      <c r="I1065" s="288"/>
      <c r="J1065" s="286"/>
      <c r="K1065" s="286"/>
      <c r="L1065" s="289"/>
      <c r="M1065" s="290"/>
      <c r="N1065" s="288"/>
      <c r="O1065" s="286"/>
      <c r="P1065" s="286"/>
      <c r="Q1065" s="287"/>
      <c r="S1065" s="288"/>
      <c r="T1065" s="286"/>
      <c r="U1065" s="286"/>
      <c r="V1065" s="287"/>
      <c r="X1065" s="288"/>
      <c r="Y1065" s="286"/>
      <c r="Z1065" s="286"/>
      <c r="AA1065" s="287"/>
      <c r="AC1065" s="288"/>
      <c r="AD1065" s="286"/>
      <c r="AE1065" s="286"/>
      <c r="AF1065" s="287"/>
      <c r="AH1065" s="288"/>
      <c r="AI1065" s="286"/>
      <c r="AJ1065" s="286"/>
      <c r="AK1065" s="287"/>
      <c r="AM1065" s="288"/>
      <c r="AN1065" s="286"/>
      <c r="AO1065" s="286"/>
      <c r="AP1065" s="287"/>
      <c r="AR1065" s="288"/>
      <c r="AS1065" s="286"/>
      <c r="AT1065" s="286"/>
      <c r="AU1065" s="287"/>
      <c r="AW1065" s="288"/>
      <c r="AX1065" s="286"/>
      <c r="AY1065" s="286"/>
      <c r="AZ1065" s="287"/>
      <c r="BB1065" s="288"/>
      <c r="BC1065" s="286"/>
      <c r="BD1065" s="286"/>
      <c r="BE1065" s="287"/>
      <c r="BG1065" s="288"/>
      <c r="BH1065" s="286"/>
      <c r="BI1065" s="286"/>
      <c r="BJ1065" s="287"/>
      <c r="BL1065" s="288"/>
      <c r="BM1065" s="286"/>
      <c r="BN1065" s="286"/>
      <c r="BO1065" s="289"/>
    </row>
    <row r="1066" spans="2:67" s="339" customFormat="1">
      <c r="B1066" s="339" t="s">
        <v>396</v>
      </c>
      <c r="D1066" s="330"/>
      <c r="E1066" s="326"/>
      <c r="F1066" s="326"/>
      <c r="G1066" s="287"/>
      <c r="H1066" s="284"/>
      <c r="I1066" s="288"/>
      <c r="J1066" s="286"/>
      <c r="K1066" s="286"/>
      <c r="L1066" s="289"/>
      <c r="M1066" s="290"/>
      <c r="N1066" s="288"/>
      <c r="O1066" s="286"/>
      <c r="P1066" s="286"/>
      <c r="Q1066" s="287"/>
      <c r="S1066" s="288"/>
      <c r="T1066" s="286"/>
      <c r="U1066" s="286"/>
      <c r="V1066" s="287"/>
      <c r="X1066" s="288"/>
      <c r="Y1066" s="286"/>
      <c r="Z1066" s="286"/>
      <c r="AA1066" s="287"/>
      <c r="AC1066" s="288"/>
      <c r="AD1066" s="286"/>
      <c r="AE1066" s="286"/>
      <c r="AF1066" s="287"/>
      <c r="AH1066" s="288"/>
      <c r="AI1066" s="286"/>
      <c r="AJ1066" s="286"/>
      <c r="AK1066" s="287"/>
      <c r="AM1066" s="288"/>
      <c r="AN1066" s="286"/>
      <c r="AO1066" s="286"/>
      <c r="AP1066" s="287"/>
      <c r="AR1066" s="288"/>
      <c r="AS1066" s="286"/>
      <c r="AT1066" s="286"/>
      <c r="AU1066" s="287"/>
      <c r="AW1066" s="288"/>
      <c r="AX1066" s="286"/>
      <c r="AY1066" s="286"/>
      <c r="AZ1066" s="287"/>
      <c r="BB1066" s="288"/>
      <c r="BC1066" s="286"/>
      <c r="BD1066" s="286"/>
      <c r="BE1066" s="287"/>
      <c r="BG1066" s="288"/>
      <c r="BH1066" s="286"/>
      <c r="BI1066" s="286"/>
      <c r="BJ1066" s="287"/>
      <c r="BL1066" s="288"/>
      <c r="BM1066" s="286"/>
      <c r="BN1066" s="286"/>
      <c r="BO1066" s="289"/>
    </row>
    <row r="1067" spans="2:67" s="339" customFormat="1">
      <c r="B1067" s="365" t="s">
        <v>406</v>
      </c>
      <c r="C1067" s="339" t="s">
        <v>395</v>
      </c>
      <c r="D1067" s="330">
        <f>G1022</f>
        <v>104126.89906001306</v>
      </c>
      <c r="E1067" s="326">
        <f>H1022</f>
        <v>65425.496666666659</v>
      </c>
      <c r="F1067" s="326">
        <f>E1067-D1067</f>
        <v>-38701.402393346405</v>
      </c>
      <c r="G1067" s="287"/>
      <c r="H1067" s="284"/>
      <c r="I1067" s="288"/>
      <c r="J1067" s="286"/>
      <c r="K1067" s="286"/>
      <c r="L1067" s="289"/>
      <c r="M1067" s="290"/>
      <c r="N1067" s="288"/>
      <c r="O1067" s="286"/>
      <c r="P1067" s="286"/>
      <c r="Q1067" s="287"/>
      <c r="S1067" s="288"/>
      <c r="T1067" s="286"/>
      <c r="U1067" s="286"/>
      <c r="V1067" s="287"/>
      <c r="X1067" s="288"/>
      <c r="Y1067" s="286"/>
      <c r="Z1067" s="286"/>
      <c r="AA1067" s="287"/>
      <c r="AC1067" s="288"/>
      <c r="AD1067" s="286"/>
      <c r="AE1067" s="286"/>
      <c r="AF1067" s="287"/>
      <c r="AH1067" s="288"/>
      <c r="AI1067" s="286"/>
      <c r="AJ1067" s="286"/>
      <c r="AK1067" s="287"/>
      <c r="AM1067" s="288"/>
      <c r="AN1067" s="286"/>
      <c r="AO1067" s="286"/>
      <c r="AP1067" s="287"/>
      <c r="AR1067" s="288"/>
      <c r="AS1067" s="286"/>
      <c r="AT1067" s="286"/>
      <c r="AU1067" s="287"/>
      <c r="AW1067" s="288"/>
      <c r="AX1067" s="286"/>
      <c r="AY1067" s="286"/>
      <c r="AZ1067" s="287"/>
      <c r="BB1067" s="288"/>
      <c r="BC1067" s="286"/>
      <c r="BD1067" s="286"/>
      <c r="BE1067" s="287"/>
      <c r="BG1067" s="288"/>
      <c r="BH1067" s="286"/>
      <c r="BI1067" s="286"/>
      <c r="BJ1067" s="287"/>
      <c r="BL1067" s="288"/>
      <c r="BM1067" s="286"/>
      <c r="BN1067" s="286"/>
      <c r="BO1067" s="289"/>
    </row>
    <row r="1068" spans="2:67" s="339" customFormat="1">
      <c r="D1068" s="330"/>
      <c r="E1068" s="326"/>
      <c r="F1068" s="326"/>
      <c r="G1068" s="287"/>
      <c r="H1068" s="284"/>
      <c r="I1068" s="288"/>
      <c r="J1068" s="286"/>
      <c r="K1068" s="286"/>
      <c r="L1068" s="289"/>
      <c r="M1068" s="290"/>
      <c r="N1068" s="288"/>
      <c r="O1068" s="286"/>
      <c r="P1068" s="286"/>
      <c r="Q1068" s="287"/>
      <c r="S1068" s="288"/>
      <c r="T1068" s="286"/>
      <c r="U1068" s="286"/>
      <c r="V1068" s="287"/>
      <c r="X1068" s="288"/>
      <c r="Y1068" s="286"/>
      <c r="Z1068" s="286"/>
      <c r="AA1068" s="287"/>
      <c r="AC1068" s="288"/>
      <c r="AD1068" s="286"/>
      <c r="AE1068" s="286"/>
      <c r="AF1068" s="287"/>
      <c r="AH1068" s="288"/>
      <c r="AI1068" s="286"/>
      <c r="AJ1068" s="286"/>
      <c r="AK1068" s="287"/>
      <c r="AM1068" s="288"/>
      <c r="AN1068" s="286"/>
      <c r="AO1068" s="286"/>
      <c r="AP1068" s="287"/>
      <c r="AR1068" s="288"/>
      <c r="AS1068" s="286"/>
      <c r="AT1068" s="286"/>
      <c r="AU1068" s="287"/>
      <c r="AW1068" s="288"/>
      <c r="AX1068" s="286"/>
      <c r="AY1068" s="286"/>
      <c r="AZ1068" s="287"/>
      <c r="BB1068" s="288"/>
      <c r="BC1068" s="286"/>
      <c r="BD1068" s="286"/>
      <c r="BE1068" s="287"/>
      <c r="BG1068" s="288"/>
      <c r="BH1068" s="286"/>
      <c r="BI1068" s="286"/>
      <c r="BJ1068" s="287"/>
      <c r="BL1068" s="288"/>
      <c r="BM1068" s="286"/>
      <c r="BN1068" s="286"/>
      <c r="BO1068" s="289"/>
    </row>
    <row r="1069" spans="2:67" s="339" customFormat="1">
      <c r="B1069" s="365" t="s">
        <v>439</v>
      </c>
      <c r="C1069" s="339" t="s">
        <v>432</v>
      </c>
      <c r="D1069" s="330">
        <f>G1007</f>
        <v>0</v>
      </c>
      <c r="E1069" s="326">
        <f>H1007</f>
        <v>0</v>
      </c>
      <c r="F1069" s="326">
        <f>E1069-D1069</f>
        <v>0</v>
      </c>
      <c r="G1069" s="287"/>
      <c r="H1069" s="284"/>
      <c r="I1069" s="288"/>
      <c r="J1069" s="286"/>
      <c r="K1069" s="286"/>
      <c r="L1069" s="289"/>
      <c r="M1069" s="290"/>
      <c r="N1069" s="288"/>
      <c r="O1069" s="286"/>
      <c r="P1069" s="286"/>
      <c r="Q1069" s="287"/>
      <c r="S1069" s="288"/>
      <c r="T1069" s="286"/>
      <c r="U1069" s="286"/>
      <c r="V1069" s="287"/>
      <c r="X1069" s="288"/>
      <c r="Y1069" s="286"/>
      <c r="Z1069" s="286"/>
      <c r="AA1069" s="287"/>
      <c r="AC1069" s="288"/>
      <c r="AD1069" s="286"/>
      <c r="AE1069" s="286"/>
      <c r="AF1069" s="287"/>
      <c r="AH1069" s="288"/>
      <c r="AI1069" s="286"/>
      <c r="AJ1069" s="286"/>
      <c r="AK1069" s="287"/>
      <c r="AM1069" s="288"/>
      <c r="AN1069" s="286"/>
      <c r="AO1069" s="286"/>
      <c r="AP1069" s="287"/>
      <c r="AR1069" s="288"/>
      <c r="AS1069" s="286"/>
      <c r="AT1069" s="286"/>
      <c r="AU1069" s="287"/>
      <c r="AW1069" s="288"/>
      <c r="AX1069" s="286"/>
      <c r="AY1069" s="286"/>
      <c r="AZ1069" s="287"/>
      <c r="BB1069" s="288"/>
      <c r="BC1069" s="286"/>
      <c r="BD1069" s="286"/>
      <c r="BE1069" s="287"/>
      <c r="BG1069" s="288"/>
      <c r="BH1069" s="286"/>
      <c r="BI1069" s="286"/>
      <c r="BJ1069" s="287"/>
      <c r="BL1069" s="288"/>
      <c r="BM1069" s="286"/>
      <c r="BN1069" s="286"/>
      <c r="BO1069" s="289"/>
    </row>
    <row r="1070" spans="2:67" s="339" customFormat="1">
      <c r="B1070" s="339" t="s">
        <v>442</v>
      </c>
      <c r="D1070" s="330"/>
      <c r="E1070" s="326"/>
      <c r="F1070" s="326"/>
      <c r="G1070" s="287"/>
      <c r="H1070" s="284"/>
      <c r="I1070" s="288"/>
      <c r="J1070" s="286"/>
      <c r="K1070" s="286"/>
      <c r="L1070" s="289"/>
      <c r="M1070" s="290"/>
      <c r="N1070" s="288"/>
      <c r="O1070" s="286"/>
      <c r="P1070" s="286"/>
      <c r="Q1070" s="287"/>
      <c r="S1070" s="288"/>
      <c r="T1070" s="286"/>
      <c r="U1070" s="286"/>
      <c r="V1070" s="287"/>
      <c r="X1070" s="288"/>
      <c r="Y1070" s="286"/>
      <c r="Z1070" s="286"/>
      <c r="AA1070" s="287"/>
      <c r="AC1070" s="288"/>
      <c r="AD1070" s="286"/>
      <c r="AE1070" s="286"/>
      <c r="AF1070" s="287"/>
      <c r="AH1070" s="288"/>
      <c r="AI1070" s="286"/>
      <c r="AJ1070" s="286"/>
      <c r="AK1070" s="287"/>
      <c r="AM1070" s="288"/>
      <c r="AN1070" s="286"/>
      <c r="AO1070" s="286"/>
      <c r="AP1070" s="287"/>
      <c r="AR1070" s="288"/>
      <c r="AS1070" s="286"/>
      <c r="AT1070" s="286"/>
      <c r="AU1070" s="287"/>
      <c r="AW1070" s="288"/>
      <c r="AX1070" s="286"/>
      <c r="AY1070" s="286"/>
      <c r="AZ1070" s="287"/>
      <c r="BB1070" s="288"/>
      <c r="BC1070" s="286"/>
      <c r="BD1070" s="286"/>
      <c r="BE1070" s="287"/>
      <c r="BG1070" s="288"/>
      <c r="BH1070" s="286"/>
      <c r="BI1070" s="286"/>
      <c r="BJ1070" s="287"/>
      <c r="BL1070" s="288"/>
      <c r="BM1070" s="286"/>
      <c r="BN1070" s="286"/>
      <c r="BO1070" s="289"/>
    </row>
    <row r="1071" spans="2:67" s="339" customFormat="1">
      <c r="B1071" s="365" t="s">
        <v>433</v>
      </c>
      <c r="C1071" s="339" t="s">
        <v>390</v>
      </c>
      <c r="D1071" s="330">
        <f>G1013</f>
        <v>0</v>
      </c>
      <c r="E1071" s="326">
        <f>H1013</f>
        <v>-14085.289999999999</v>
      </c>
      <c r="F1071" s="326">
        <f>E1071-D1071</f>
        <v>-14085.289999999999</v>
      </c>
      <c r="G1071" s="287"/>
      <c r="H1071" s="284"/>
      <c r="I1071" s="288"/>
      <c r="J1071" s="286"/>
      <c r="K1071" s="286"/>
      <c r="L1071" s="289"/>
      <c r="M1071" s="290"/>
      <c r="N1071" s="288"/>
      <c r="O1071" s="286"/>
      <c r="P1071" s="286"/>
      <c r="Q1071" s="287"/>
      <c r="S1071" s="288"/>
      <c r="T1071" s="286"/>
      <c r="U1071" s="286"/>
      <c r="V1071" s="287"/>
      <c r="X1071" s="288"/>
      <c r="Y1071" s="286"/>
      <c r="Z1071" s="286"/>
      <c r="AA1071" s="287"/>
      <c r="AC1071" s="288"/>
      <c r="AD1071" s="286"/>
      <c r="AE1071" s="286"/>
      <c r="AF1071" s="287"/>
      <c r="AH1071" s="288"/>
      <c r="AI1071" s="286"/>
      <c r="AJ1071" s="286"/>
      <c r="AK1071" s="287"/>
      <c r="AM1071" s="288"/>
      <c r="AN1071" s="286"/>
      <c r="AO1071" s="286"/>
      <c r="AP1071" s="287"/>
      <c r="AR1071" s="288"/>
      <c r="AS1071" s="286"/>
      <c r="AT1071" s="286"/>
      <c r="AU1071" s="287"/>
      <c r="AW1071" s="288"/>
      <c r="AX1071" s="286"/>
      <c r="AY1071" s="286"/>
      <c r="AZ1071" s="287"/>
      <c r="BB1071" s="288"/>
      <c r="BC1071" s="286"/>
      <c r="BD1071" s="286"/>
      <c r="BE1071" s="287"/>
      <c r="BG1071" s="288"/>
      <c r="BH1071" s="286"/>
      <c r="BI1071" s="286"/>
      <c r="BJ1071" s="287"/>
      <c r="BL1071" s="288"/>
      <c r="BM1071" s="286"/>
      <c r="BN1071" s="286"/>
      <c r="BO1071" s="289"/>
    </row>
    <row r="1072" spans="2:67" s="339" customFormat="1">
      <c r="D1072" s="330"/>
      <c r="E1072" s="326"/>
      <c r="F1072" s="326"/>
      <c r="G1072" s="287"/>
      <c r="H1072" s="284"/>
      <c r="I1072" s="288"/>
      <c r="J1072" s="286"/>
      <c r="K1072" s="286"/>
      <c r="L1072" s="289"/>
      <c r="M1072" s="290"/>
      <c r="N1072" s="288"/>
      <c r="O1072" s="286"/>
      <c r="P1072" s="286"/>
      <c r="Q1072" s="287"/>
      <c r="S1072" s="288"/>
      <c r="T1072" s="286"/>
      <c r="U1072" s="286"/>
      <c r="V1072" s="287"/>
      <c r="X1072" s="288"/>
      <c r="Y1072" s="286"/>
      <c r="Z1072" s="286"/>
      <c r="AA1072" s="287"/>
      <c r="AC1072" s="288"/>
      <c r="AD1072" s="286"/>
      <c r="AE1072" s="286"/>
      <c r="AF1072" s="287"/>
      <c r="AH1072" s="288"/>
      <c r="AI1072" s="286"/>
      <c r="AJ1072" s="286"/>
      <c r="AK1072" s="287"/>
      <c r="AM1072" s="288"/>
      <c r="AN1072" s="286"/>
      <c r="AO1072" s="286"/>
      <c r="AP1072" s="287"/>
      <c r="AR1072" s="288"/>
      <c r="AS1072" s="286"/>
      <c r="AT1072" s="286"/>
      <c r="AU1072" s="287"/>
      <c r="AW1072" s="288"/>
      <c r="AX1072" s="286"/>
      <c r="AY1072" s="286"/>
      <c r="AZ1072" s="287"/>
      <c r="BB1072" s="288"/>
      <c r="BC1072" s="286"/>
      <c r="BD1072" s="286"/>
      <c r="BE1072" s="287"/>
      <c r="BG1072" s="288"/>
      <c r="BH1072" s="286"/>
      <c r="BI1072" s="286"/>
      <c r="BJ1072" s="287"/>
      <c r="BL1072" s="288"/>
      <c r="BM1072" s="286"/>
      <c r="BN1072" s="286"/>
      <c r="BO1072" s="289"/>
    </row>
    <row r="1073" spans="2:67" s="339" customFormat="1">
      <c r="B1073" s="365" t="s">
        <v>407</v>
      </c>
      <c r="C1073" s="339" t="s">
        <v>390</v>
      </c>
      <c r="D1073" s="330">
        <f>G1016</f>
        <v>68356.842768306786</v>
      </c>
      <c r="E1073" s="326">
        <f>H1016</f>
        <v>34864.299999999996</v>
      </c>
      <c r="F1073" s="326">
        <f>E1073-D1073</f>
        <v>-33492.54276830679</v>
      </c>
      <c r="G1073" s="287"/>
      <c r="H1073" s="284"/>
      <c r="I1073" s="288"/>
      <c r="J1073" s="286"/>
      <c r="K1073" s="286"/>
      <c r="L1073" s="289"/>
      <c r="M1073" s="290"/>
      <c r="N1073" s="288"/>
      <c r="O1073" s="286"/>
      <c r="P1073" s="286"/>
      <c r="Q1073" s="287"/>
      <c r="S1073" s="288"/>
      <c r="T1073" s="286"/>
      <c r="U1073" s="286"/>
      <c r="V1073" s="287"/>
      <c r="X1073" s="288"/>
      <c r="Y1073" s="286"/>
      <c r="Z1073" s="286"/>
      <c r="AA1073" s="287"/>
      <c r="AC1073" s="288"/>
      <c r="AD1073" s="286"/>
      <c r="AE1073" s="286"/>
      <c r="AF1073" s="287"/>
      <c r="AH1073" s="288"/>
      <c r="AI1073" s="286"/>
      <c r="AJ1073" s="286"/>
      <c r="AK1073" s="287"/>
      <c r="AM1073" s="288"/>
      <c r="AN1073" s="286"/>
      <c r="AO1073" s="286"/>
      <c r="AP1073" s="287"/>
      <c r="AR1073" s="288"/>
      <c r="AS1073" s="286"/>
      <c r="AT1073" s="286"/>
      <c r="AU1073" s="287"/>
      <c r="AW1073" s="288"/>
      <c r="AX1073" s="286"/>
      <c r="AY1073" s="286"/>
      <c r="AZ1073" s="287"/>
      <c r="BB1073" s="288"/>
      <c r="BC1073" s="286"/>
      <c r="BD1073" s="286"/>
      <c r="BE1073" s="287"/>
      <c r="BG1073" s="288"/>
      <c r="BH1073" s="286"/>
      <c r="BI1073" s="286"/>
      <c r="BJ1073" s="287"/>
      <c r="BL1073" s="288"/>
      <c r="BM1073" s="286"/>
      <c r="BN1073" s="286"/>
      <c r="BO1073" s="289"/>
    </row>
    <row r="1074" spans="2:67" s="339" customFormat="1">
      <c r="B1074" s="339" t="s">
        <v>396</v>
      </c>
      <c r="D1074" s="330"/>
      <c r="E1074" s="326"/>
      <c r="F1074" s="326"/>
      <c r="G1074" s="287"/>
      <c r="H1074" s="284"/>
      <c r="I1074" s="288"/>
      <c r="J1074" s="286"/>
      <c r="K1074" s="286"/>
      <c r="L1074" s="289"/>
      <c r="M1074" s="290"/>
      <c r="N1074" s="288"/>
      <c r="O1074" s="286"/>
      <c r="P1074" s="286"/>
      <c r="Q1074" s="287"/>
      <c r="S1074" s="288"/>
      <c r="T1074" s="286"/>
      <c r="U1074" s="286"/>
      <c r="V1074" s="287"/>
      <c r="X1074" s="288"/>
      <c r="Y1074" s="286"/>
      <c r="Z1074" s="286"/>
      <c r="AA1074" s="287"/>
      <c r="AC1074" s="288"/>
      <c r="AD1074" s="286"/>
      <c r="AE1074" s="286"/>
      <c r="AF1074" s="287"/>
      <c r="AH1074" s="288"/>
      <c r="AI1074" s="286"/>
      <c r="AJ1074" s="286"/>
      <c r="AK1074" s="287"/>
      <c r="AM1074" s="288"/>
      <c r="AN1074" s="286"/>
      <c r="AO1074" s="286"/>
      <c r="AP1074" s="287"/>
      <c r="AR1074" s="288"/>
      <c r="AS1074" s="286"/>
      <c r="AT1074" s="286"/>
      <c r="AU1074" s="287"/>
      <c r="AW1074" s="288"/>
      <c r="AX1074" s="286"/>
      <c r="AY1074" s="286"/>
      <c r="AZ1074" s="287"/>
      <c r="BB1074" s="288"/>
      <c r="BC1074" s="286"/>
      <c r="BD1074" s="286"/>
      <c r="BE1074" s="287"/>
      <c r="BG1074" s="288"/>
      <c r="BH1074" s="286"/>
      <c r="BI1074" s="286"/>
      <c r="BJ1074" s="287"/>
      <c r="BL1074" s="288"/>
      <c r="BM1074" s="286"/>
      <c r="BN1074" s="286"/>
      <c r="BO1074" s="289"/>
    </row>
    <row r="1075" spans="2:67" s="339" customFormat="1">
      <c r="B1075" s="339" t="s">
        <v>408</v>
      </c>
      <c r="D1075" s="330">
        <f>SUM(D1067:D1073)</f>
        <v>172483.74182831985</v>
      </c>
      <c r="E1075" s="326">
        <f>SUM(E1067:E1073)</f>
        <v>86204.506666666653</v>
      </c>
      <c r="F1075" s="326">
        <f>E1075-D1075</f>
        <v>-86279.235161653196</v>
      </c>
      <c r="G1075" s="287"/>
      <c r="H1075" s="284"/>
      <c r="I1075" s="288"/>
      <c r="J1075" s="286"/>
      <c r="K1075" s="286"/>
      <c r="L1075" s="289"/>
      <c r="M1075" s="290"/>
      <c r="N1075" s="288"/>
      <c r="O1075" s="286"/>
      <c r="P1075" s="286"/>
      <c r="Q1075" s="287"/>
      <c r="S1075" s="288"/>
      <c r="T1075" s="286"/>
      <c r="U1075" s="286"/>
      <c r="V1075" s="287"/>
      <c r="X1075" s="288"/>
      <c r="Y1075" s="286"/>
      <c r="Z1075" s="286"/>
      <c r="AA1075" s="287"/>
      <c r="AC1075" s="288"/>
      <c r="AD1075" s="286"/>
      <c r="AE1075" s="286"/>
      <c r="AF1075" s="287"/>
      <c r="AH1075" s="288"/>
      <c r="AI1075" s="286"/>
      <c r="AJ1075" s="286"/>
      <c r="AK1075" s="287"/>
      <c r="AM1075" s="288"/>
      <c r="AN1075" s="286"/>
      <c r="AO1075" s="286"/>
      <c r="AP1075" s="287"/>
      <c r="AR1075" s="288"/>
      <c r="AS1075" s="286"/>
      <c r="AT1075" s="286"/>
      <c r="AU1075" s="287"/>
      <c r="AW1075" s="288"/>
      <c r="AX1075" s="286"/>
      <c r="AY1075" s="286"/>
      <c r="AZ1075" s="287"/>
      <c r="BB1075" s="288"/>
      <c r="BC1075" s="286"/>
      <c r="BD1075" s="286"/>
      <c r="BE1075" s="287"/>
      <c r="BG1075" s="288"/>
      <c r="BH1075" s="286"/>
      <c r="BI1075" s="286"/>
      <c r="BJ1075" s="287"/>
      <c r="BL1075" s="288"/>
      <c r="BM1075" s="286"/>
      <c r="BN1075" s="286"/>
      <c r="BO1075" s="289"/>
    </row>
    <row r="1076" spans="2:67" s="339" customFormat="1">
      <c r="B1076" s="339" t="s">
        <v>396</v>
      </c>
      <c r="D1076" s="330"/>
      <c r="E1076" s="326"/>
      <c r="F1076" s="326"/>
      <c r="G1076" s="287"/>
      <c r="H1076" s="284"/>
      <c r="I1076" s="288"/>
      <c r="J1076" s="286"/>
      <c r="K1076" s="286"/>
      <c r="L1076" s="289"/>
      <c r="M1076" s="290"/>
      <c r="N1076" s="288"/>
      <c r="O1076" s="286"/>
      <c r="P1076" s="286"/>
      <c r="Q1076" s="287"/>
      <c r="S1076" s="288"/>
      <c r="T1076" s="286"/>
      <c r="U1076" s="286"/>
      <c r="V1076" s="287"/>
      <c r="X1076" s="288"/>
      <c r="Y1076" s="286"/>
      <c r="Z1076" s="286"/>
      <c r="AA1076" s="287"/>
      <c r="AC1076" s="288"/>
      <c r="AD1076" s="286"/>
      <c r="AE1076" s="286"/>
      <c r="AF1076" s="287"/>
      <c r="AH1076" s="288"/>
      <c r="AI1076" s="286"/>
      <c r="AJ1076" s="286"/>
      <c r="AK1076" s="287"/>
      <c r="AM1076" s="288"/>
      <c r="AN1076" s="286"/>
      <c r="AO1076" s="286"/>
      <c r="AP1076" s="287"/>
      <c r="AR1076" s="288"/>
      <c r="AS1076" s="286"/>
      <c r="AT1076" s="286"/>
      <c r="AU1076" s="287"/>
      <c r="AW1076" s="288"/>
      <c r="AX1076" s="286"/>
      <c r="AY1076" s="286"/>
      <c r="AZ1076" s="287"/>
      <c r="BB1076" s="288"/>
      <c r="BC1076" s="286"/>
      <c r="BD1076" s="286"/>
      <c r="BE1076" s="287"/>
      <c r="BG1076" s="288"/>
      <c r="BH1076" s="286"/>
      <c r="BI1076" s="286"/>
      <c r="BJ1076" s="287"/>
      <c r="BL1076" s="288"/>
      <c r="BM1076" s="286"/>
      <c r="BN1076" s="286"/>
      <c r="BO1076" s="289"/>
    </row>
    <row r="1077" spans="2:67" s="339" customFormat="1">
      <c r="D1077" s="330"/>
      <c r="E1077" s="326"/>
      <c r="F1077" s="326"/>
      <c r="G1077" s="287"/>
      <c r="H1077" s="284"/>
      <c r="I1077" s="288"/>
      <c r="J1077" s="286"/>
      <c r="K1077" s="286"/>
      <c r="L1077" s="289"/>
      <c r="M1077" s="290"/>
      <c r="N1077" s="288"/>
      <c r="O1077" s="286"/>
      <c r="P1077" s="286"/>
      <c r="Q1077" s="287"/>
      <c r="S1077" s="288"/>
      <c r="T1077" s="286"/>
      <c r="U1077" s="286"/>
      <c r="V1077" s="287"/>
      <c r="X1077" s="288"/>
      <c r="Y1077" s="286"/>
      <c r="Z1077" s="286"/>
      <c r="AA1077" s="287"/>
      <c r="AC1077" s="288"/>
      <c r="AD1077" s="286"/>
      <c r="AE1077" s="286"/>
      <c r="AF1077" s="287"/>
      <c r="AH1077" s="288"/>
      <c r="AI1077" s="286"/>
      <c r="AJ1077" s="286"/>
      <c r="AK1077" s="287"/>
      <c r="AM1077" s="288"/>
      <c r="AN1077" s="286"/>
      <c r="AO1077" s="286"/>
      <c r="AP1077" s="287"/>
      <c r="AR1077" s="288"/>
      <c r="AS1077" s="286"/>
      <c r="AT1077" s="286"/>
      <c r="AU1077" s="287"/>
      <c r="AW1077" s="288"/>
      <c r="AX1077" s="286"/>
      <c r="AY1077" s="286"/>
      <c r="AZ1077" s="287"/>
      <c r="BB1077" s="288"/>
      <c r="BC1077" s="286"/>
      <c r="BD1077" s="286"/>
      <c r="BE1077" s="287"/>
      <c r="BG1077" s="288"/>
      <c r="BH1077" s="286"/>
      <c r="BI1077" s="286"/>
      <c r="BJ1077" s="287"/>
      <c r="BL1077" s="288"/>
      <c r="BM1077" s="286"/>
      <c r="BN1077" s="286"/>
      <c r="BO1077" s="289"/>
    </row>
    <row r="1078" spans="2:67" s="339" customFormat="1">
      <c r="B1078" s="339" t="s">
        <v>409</v>
      </c>
      <c r="D1078" s="330"/>
      <c r="E1078" s="326"/>
      <c r="F1078" s="326"/>
      <c r="G1078" s="287"/>
      <c r="H1078" s="284"/>
      <c r="I1078" s="288"/>
      <c r="J1078" s="286"/>
      <c r="K1078" s="286"/>
      <c r="L1078" s="289"/>
      <c r="M1078" s="290"/>
      <c r="N1078" s="288"/>
      <c r="O1078" s="286"/>
      <c r="P1078" s="286"/>
      <c r="Q1078" s="287"/>
      <c r="S1078" s="288"/>
      <c r="T1078" s="286"/>
      <c r="U1078" s="286"/>
      <c r="V1078" s="287"/>
      <c r="X1078" s="288"/>
      <c r="Y1078" s="286"/>
      <c r="Z1078" s="286"/>
      <c r="AA1078" s="287"/>
      <c r="AC1078" s="288"/>
      <c r="AD1078" s="286"/>
      <c r="AE1078" s="286"/>
      <c r="AF1078" s="287"/>
      <c r="AH1078" s="288"/>
      <c r="AI1078" s="286"/>
      <c r="AJ1078" s="286"/>
      <c r="AK1078" s="287"/>
      <c r="AM1078" s="288"/>
      <c r="AN1078" s="286"/>
      <c r="AO1078" s="286"/>
      <c r="AP1078" s="287"/>
      <c r="AR1078" s="288"/>
      <c r="AS1078" s="286"/>
      <c r="AT1078" s="286"/>
      <c r="AU1078" s="287"/>
      <c r="AW1078" s="288"/>
      <c r="AX1078" s="286"/>
      <c r="AY1078" s="286"/>
      <c r="AZ1078" s="287"/>
      <c r="BB1078" s="288"/>
      <c r="BC1078" s="286"/>
      <c r="BD1078" s="286"/>
      <c r="BE1078" s="287"/>
      <c r="BG1078" s="288"/>
      <c r="BH1078" s="286"/>
      <c r="BI1078" s="286"/>
      <c r="BJ1078" s="287"/>
      <c r="BL1078" s="288"/>
      <c r="BM1078" s="286"/>
      <c r="BN1078" s="286"/>
      <c r="BO1078" s="289"/>
    </row>
    <row r="1079" spans="2:67" s="339" customFormat="1">
      <c r="B1079" s="365" t="s">
        <v>410</v>
      </c>
      <c r="C1079" s="339" t="s">
        <v>395</v>
      </c>
      <c r="D1079" s="330">
        <f>G1009</f>
        <v>51571.65788616905</v>
      </c>
      <c r="E1079" s="326">
        <f>H1009</f>
        <v>51946.156666666662</v>
      </c>
      <c r="F1079" s="326">
        <f>E1079-D1079</f>
        <v>374.49878049761173</v>
      </c>
      <c r="G1079" s="287"/>
      <c r="H1079" s="284"/>
      <c r="I1079" s="288"/>
      <c r="J1079" s="286"/>
      <c r="K1079" s="286"/>
      <c r="L1079" s="289"/>
      <c r="M1079" s="290"/>
      <c r="N1079" s="288"/>
      <c r="O1079" s="286"/>
      <c r="P1079" s="286"/>
      <c r="Q1079" s="287"/>
      <c r="S1079" s="288"/>
      <c r="T1079" s="286"/>
      <c r="U1079" s="286"/>
      <c r="V1079" s="287"/>
      <c r="X1079" s="288"/>
      <c r="Y1079" s="286"/>
      <c r="Z1079" s="286"/>
      <c r="AA1079" s="287"/>
      <c r="AC1079" s="288"/>
      <c r="AD1079" s="286"/>
      <c r="AE1079" s="286"/>
      <c r="AF1079" s="287"/>
      <c r="AH1079" s="288"/>
      <c r="AI1079" s="286"/>
      <c r="AJ1079" s="286"/>
      <c r="AK1079" s="287"/>
      <c r="AM1079" s="288"/>
      <c r="AN1079" s="286"/>
      <c r="AO1079" s="286"/>
      <c r="AP1079" s="287"/>
      <c r="AR1079" s="288"/>
      <c r="AS1079" s="286"/>
      <c r="AT1079" s="286"/>
      <c r="AU1079" s="287"/>
      <c r="AW1079" s="288"/>
      <c r="AX1079" s="286"/>
      <c r="AY1079" s="286"/>
      <c r="AZ1079" s="287"/>
      <c r="BB1079" s="288"/>
      <c r="BC1079" s="286"/>
      <c r="BD1079" s="286"/>
      <c r="BE1079" s="287"/>
      <c r="BG1079" s="288"/>
      <c r="BH1079" s="286"/>
      <c r="BI1079" s="286"/>
      <c r="BJ1079" s="287"/>
      <c r="BL1079" s="288"/>
      <c r="BM1079" s="286"/>
      <c r="BN1079" s="286"/>
      <c r="BO1079" s="289"/>
    </row>
    <row r="1080" spans="2:67" s="339" customFormat="1">
      <c r="B1080" s="339" t="s">
        <v>396</v>
      </c>
      <c r="D1080" s="330"/>
      <c r="E1080" s="326"/>
      <c r="F1080" s="326"/>
      <c r="G1080" s="287"/>
      <c r="H1080" s="284"/>
      <c r="I1080" s="288"/>
      <c r="J1080" s="286"/>
      <c r="K1080" s="286"/>
      <c r="L1080" s="289"/>
      <c r="M1080" s="290"/>
      <c r="N1080" s="288"/>
      <c r="O1080" s="286"/>
      <c r="P1080" s="286"/>
      <c r="Q1080" s="287"/>
      <c r="S1080" s="288"/>
      <c r="T1080" s="286"/>
      <c r="U1080" s="286"/>
      <c r="V1080" s="287"/>
      <c r="X1080" s="288"/>
      <c r="Y1080" s="286"/>
      <c r="Z1080" s="286"/>
      <c r="AA1080" s="287"/>
      <c r="AC1080" s="288"/>
      <c r="AD1080" s="286"/>
      <c r="AE1080" s="286"/>
      <c r="AF1080" s="287"/>
      <c r="AH1080" s="288"/>
      <c r="AI1080" s="286"/>
      <c r="AJ1080" s="286"/>
      <c r="AK1080" s="287"/>
      <c r="AM1080" s="288"/>
      <c r="AN1080" s="286"/>
      <c r="AO1080" s="286"/>
      <c r="AP1080" s="287"/>
      <c r="AR1080" s="288"/>
      <c r="AS1080" s="286"/>
      <c r="AT1080" s="286"/>
      <c r="AU1080" s="287"/>
      <c r="AW1080" s="288"/>
      <c r="AX1080" s="286"/>
      <c r="AY1080" s="286"/>
      <c r="AZ1080" s="287"/>
      <c r="BB1080" s="288"/>
      <c r="BC1080" s="286"/>
      <c r="BD1080" s="286"/>
      <c r="BE1080" s="287"/>
      <c r="BG1080" s="288"/>
      <c r="BH1080" s="286"/>
      <c r="BI1080" s="286"/>
      <c r="BJ1080" s="287"/>
      <c r="BL1080" s="288"/>
      <c r="BM1080" s="286"/>
      <c r="BN1080" s="286"/>
      <c r="BO1080" s="289"/>
    </row>
    <row r="1081" spans="2:67" s="339" customFormat="1">
      <c r="B1081" s="339" t="s">
        <v>411</v>
      </c>
      <c r="D1081" s="330">
        <f>D1079</f>
        <v>51571.65788616905</v>
      </c>
      <c r="E1081" s="326">
        <f>E1079</f>
        <v>51946.156666666662</v>
      </c>
      <c r="F1081" s="326">
        <f>E1081-D1081</f>
        <v>374.49878049761173</v>
      </c>
      <c r="G1081" s="287"/>
      <c r="H1081" s="284"/>
      <c r="I1081" s="288"/>
      <c r="J1081" s="286"/>
      <c r="K1081" s="286"/>
      <c r="L1081" s="289"/>
      <c r="M1081" s="290"/>
      <c r="N1081" s="288"/>
      <c r="O1081" s="286"/>
      <c r="P1081" s="286"/>
      <c r="Q1081" s="287"/>
      <c r="S1081" s="288"/>
      <c r="T1081" s="286"/>
      <c r="U1081" s="286"/>
      <c r="V1081" s="287"/>
      <c r="X1081" s="288"/>
      <c r="Y1081" s="286"/>
      <c r="Z1081" s="286"/>
      <c r="AA1081" s="287"/>
      <c r="AC1081" s="288"/>
      <c r="AD1081" s="286"/>
      <c r="AE1081" s="286"/>
      <c r="AF1081" s="287"/>
      <c r="AH1081" s="288"/>
      <c r="AI1081" s="286"/>
      <c r="AJ1081" s="286"/>
      <c r="AK1081" s="287"/>
      <c r="AM1081" s="288"/>
      <c r="AN1081" s="286"/>
      <c r="AO1081" s="286"/>
      <c r="AP1081" s="287"/>
      <c r="AR1081" s="288"/>
      <c r="AS1081" s="286"/>
      <c r="AT1081" s="286"/>
      <c r="AU1081" s="287"/>
      <c r="AW1081" s="288"/>
      <c r="AX1081" s="286"/>
      <c r="AY1081" s="286"/>
      <c r="AZ1081" s="287"/>
      <c r="BB1081" s="288"/>
      <c r="BC1081" s="286"/>
      <c r="BD1081" s="286"/>
      <c r="BE1081" s="287"/>
      <c r="BG1081" s="288"/>
      <c r="BH1081" s="286"/>
      <c r="BI1081" s="286"/>
      <c r="BJ1081" s="287"/>
      <c r="BL1081" s="288"/>
      <c r="BM1081" s="286"/>
      <c r="BN1081" s="286"/>
      <c r="BO1081" s="289"/>
    </row>
    <row r="1082" spans="2:67" s="339" customFormat="1">
      <c r="B1082" s="339" t="s">
        <v>396</v>
      </c>
      <c r="D1082" s="330"/>
      <c r="E1082" s="326"/>
      <c r="F1082" s="326"/>
      <c r="G1082" s="287"/>
      <c r="H1082" s="284"/>
      <c r="I1082" s="288"/>
      <c r="J1082" s="286"/>
      <c r="K1082" s="286"/>
      <c r="L1082" s="289"/>
      <c r="M1082" s="290"/>
      <c r="N1082" s="288"/>
      <c r="O1082" s="286"/>
      <c r="P1082" s="286"/>
      <c r="Q1082" s="287"/>
      <c r="S1082" s="288"/>
      <c r="T1082" s="286"/>
      <c r="U1082" s="286"/>
      <c r="V1082" s="287"/>
      <c r="X1082" s="288"/>
      <c r="Y1082" s="286"/>
      <c r="Z1082" s="286"/>
      <c r="AA1082" s="287"/>
      <c r="AC1082" s="288"/>
      <c r="AD1082" s="286"/>
      <c r="AE1082" s="286"/>
      <c r="AF1082" s="287"/>
      <c r="AH1082" s="288"/>
      <c r="AI1082" s="286"/>
      <c r="AJ1082" s="286"/>
      <c r="AK1082" s="287"/>
      <c r="AM1082" s="288"/>
      <c r="AN1082" s="286"/>
      <c r="AO1082" s="286"/>
      <c r="AP1082" s="287"/>
      <c r="AR1082" s="288"/>
      <c r="AS1082" s="286"/>
      <c r="AT1082" s="286"/>
      <c r="AU1082" s="287"/>
      <c r="AW1082" s="288"/>
      <c r="AX1082" s="286"/>
      <c r="AY1082" s="286"/>
      <c r="AZ1082" s="287"/>
      <c r="BB1082" s="288"/>
      <c r="BC1082" s="286"/>
      <c r="BD1082" s="286"/>
      <c r="BE1082" s="287"/>
      <c r="BG1082" s="288"/>
      <c r="BH1082" s="286"/>
      <c r="BI1082" s="286"/>
      <c r="BJ1082" s="287"/>
      <c r="BL1082" s="288"/>
      <c r="BM1082" s="286"/>
      <c r="BN1082" s="286"/>
      <c r="BO1082" s="289"/>
    </row>
    <row r="1083" spans="2:67" s="339" customFormat="1">
      <c r="B1083" s="339" t="s">
        <v>457</v>
      </c>
      <c r="C1083" s="339" t="s">
        <v>402</v>
      </c>
      <c r="D1083" s="330">
        <f>G1020</f>
        <v>0</v>
      </c>
      <c r="E1083" s="326">
        <f>H1020</f>
        <v>0</v>
      </c>
      <c r="F1083" s="326">
        <f>E1083-D1083</f>
        <v>0</v>
      </c>
      <c r="G1083" s="287"/>
      <c r="H1083" s="284"/>
      <c r="I1083" s="288"/>
      <c r="J1083" s="286"/>
      <c r="K1083" s="286"/>
      <c r="L1083" s="289"/>
      <c r="M1083" s="290"/>
      <c r="N1083" s="288"/>
      <c r="O1083" s="286"/>
      <c r="P1083" s="286"/>
      <c r="Q1083" s="287"/>
      <c r="S1083" s="288"/>
      <c r="T1083" s="286"/>
      <c r="U1083" s="286"/>
      <c r="V1083" s="287"/>
      <c r="X1083" s="288"/>
      <c r="Y1083" s="286"/>
      <c r="Z1083" s="286"/>
      <c r="AA1083" s="287"/>
      <c r="AC1083" s="288"/>
      <c r="AD1083" s="286"/>
      <c r="AE1083" s="286"/>
      <c r="AF1083" s="287"/>
      <c r="AH1083" s="288"/>
      <c r="AI1083" s="286"/>
      <c r="AJ1083" s="286"/>
      <c r="AK1083" s="287"/>
      <c r="AM1083" s="288"/>
      <c r="AN1083" s="286"/>
      <c r="AO1083" s="286"/>
      <c r="AP1083" s="287"/>
      <c r="AR1083" s="288"/>
      <c r="AS1083" s="286"/>
      <c r="AT1083" s="286"/>
      <c r="AU1083" s="287"/>
      <c r="AW1083" s="288"/>
      <c r="AX1083" s="286"/>
      <c r="AY1083" s="286"/>
      <c r="AZ1083" s="287"/>
      <c r="BB1083" s="288"/>
      <c r="BC1083" s="286"/>
      <c r="BD1083" s="286"/>
      <c r="BE1083" s="287"/>
      <c r="BG1083" s="288"/>
      <c r="BH1083" s="286"/>
      <c r="BI1083" s="286"/>
      <c r="BJ1083" s="287"/>
      <c r="BL1083" s="288"/>
      <c r="BM1083" s="286"/>
      <c r="BN1083" s="286"/>
      <c r="BO1083" s="289"/>
    </row>
    <row r="1084" spans="2:67" s="339" customFormat="1">
      <c r="B1084" s="339" t="s">
        <v>396</v>
      </c>
      <c r="D1084" s="330"/>
      <c r="E1084" s="326"/>
      <c r="F1084" s="326"/>
      <c r="G1084" s="287"/>
      <c r="H1084" s="284"/>
      <c r="I1084" s="288"/>
      <c r="J1084" s="286"/>
      <c r="K1084" s="286"/>
      <c r="L1084" s="289"/>
      <c r="M1084" s="290"/>
      <c r="N1084" s="288"/>
      <c r="O1084" s="286"/>
      <c r="P1084" s="286"/>
      <c r="Q1084" s="287"/>
      <c r="S1084" s="288"/>
      <c r="T1084" s="286"/>
      <c r="U1084" s="286"/>
      <c r="V1084" s="287"/>
      <c r="X1084" s="288"/>
      <c r="Y1084" s="286"/>
      <c r="Z1084" s="286"/>
      <c r="AA1084" s="287"/>
      <c r="AC1084" s="288"/>
      <c r="AD1084" s="286"/>
      <c r="AE1084" s="286"/>
      <c r="AF1084" s="287"/>
      <c r="AH1084" s="288"/>
      <c r="AI1084" s="286"/>
      <c r="AJ1084" s="286"/>
      <c r="AK1084" s="287"/>
      <c r="AM1084" s="288"/>
      <c r="AN1084" s="286"/>
      <c r="AO1084" s="286"/>
      <c r="AP1084" s="287"/>
      <c r="AR1084" s="288"/>
      <c r="AS1084" s="286"/>
      <c r="AT1084" s="286"/>
      <c r="AU1084" s="287"/>
      <c r="AW1084" s="288"/>
      <c r="AX1084" s="286"/>
      <c r="AY1084" s="286"/>
      <c r="AZ1084" s="287"/>
      <c r="BB1084" s="288"/>
      <c r="BC1084" s="286"/>
      <c r="BD1084" s="286"/>
      <c r="BE1084" s="287"/>
      <c r="BG1084" s="288"/>
      <c r="BH1084" s="286"/>
      <c r="BI1084" s="286"/>
      <c r="BJ1084" s="287"/>
      <c r="BL1084" s="288"/>
      <c r="BM1084" s="286"/>
      <c r="BN1084" s="286"/>
      <c r="BO1084" s="289"/>
    </row>
    <row r="1085" spans="2:67" s="339" customFormat="1">
      <c r="B1085" s="339" t="s">
        <v>413</v>
      </c>
      <c r="D1085" s="330">
        <f>G1021</f>
        <v>1401.45</v>
      </c>
      <c r="E1085" s="326">
        <f>H1021</f>
        <v>1401.45</v>
      </c>
      <c r="F1085" s="326">
        <f>E1085-D1085</f>
        <v>0</v>
      </c>
      <c r="G1085" s="287"/>
      <c r="H1085" s="284"/>
      <c r="I1085" s="288"/>
      <c r="J1085" s="286"/>
      <c r="K1085" s="286"/>
      <c r="L1085" s="289"/>
      <c r="M1085" s="290"/>
      <c r="N1085" s="288"/>
      <c r="O1085" s="286"/>
      <c r="P1085" s="286"/>
      <c r="Q1085" s="287"/>
      <c r="S1085" s="288"/>
      <c r="T1085" s="286"/>
      <c r="U1085" s="286"/>
      <c r="V1085" s="287"/>
      <c r="X1085" s="288"/>
      <c r="Y1085" s="286"/>
      <c r="Z1085" s="286"/>
      <c r="AA1085" s="287"/>
      <c r="AC1085" s="288"/>
      <c r="AD1085" s="286"/>
      <c r="AE1085" s="286"/>
      <c r="AF1085" s="287"/>
      <c r="AH1085" s="288"/>
      <c r="AI1085" s="286"/>
      <c r="AJ1085" s="286"/>
      <c r="AK1085" s="287"/>
      <c r="AM1085" s="288"/>
      <c r="AN1085" s="286"/>
      <c r="AO1085" s="286"/>
      <c r="AP1085" s="287"/>
      <c r="AR1085" s="288"/>
      <c r="AS1085" s="286"/>
      <c r="AT1085" s="286"/>
      <c r="AU1085" s="287"/>
      <c r="AW1085" s="288"/>
      <c r="AX1085" s="286"/>
      <c r="AY1085" s="286"/>
      <c r="AZ1085" s="287"/>
      <c r="BB1085" s="288"/>
      <c r="BC1085" s="286"/>
      <c r="BD1085" s="286"/>
      <c r="BE1085" s="287"/>
      <c r="BG1085" s="288"/>
      <c r="BH1085" s="286"/>
      <c r="BI1085" s="286"/>
      <c r="BJ1085" s="287"/>
      <c r="BL1085" s="288"/>
      <c r="BM1085" s="286"/>
      <c r="BN1085" s="286"/>
      <c r="BO1085" s="289"/>
    </row>
    <row r="1086" spans="2:67" s="339" customFormat="1">
      <c r="B1086" s="339" t="s">
        <v>396</v>
      </c>
      <c r="D1086" s="330"/>
      <c r="E1086" s="326"/>
      <c r="F1086" s="326"/>
      <c r="G1086" s="287"/>
      <c r="H1086" s="284"/>
      <c r="I1086" s="288"/>
      <c r="J1086" s="286"/>
      <c r="K1086" s="286"/>
      <c r="L1086" s="289"/>
      <c r="M1086" s="290"/>
      <c r="N1086" s="288"/>
      <c r="O1086" s="286"/>
      <c r="P1086" s="286"/>
      <c r="Q1086" s="287"/>
      <c r="S1086" s="288"/>
      <c r="T1086" s="286"/>
      <c r="U1086" s="286"/>
      <c r="V1086" s="287"/>
      <c r="X1086" s="288"/>
      <c r="Y1086" s="286"/>
      <c r="Z1086" s="286"/>
      <c r="AA1086" s="287"/>
      <c r="AC1086" s="288"/>
      <c r="AD1086" s="286"/>
      <c r="AE1086" s="286"/>
      <c r="AF1086" s="287"/>
      <c r="AH1086" s="288"/>
      <c r="AI1086" s="286"/>
      <c r="AJ1086" s="286"/>
      <c r="AK1086" s="287"/>
      <c r="AM1086" s="288"/>
      <c r="AN1086" s="286"/>
      <c r="AO1086" s="286"/>
      <c r="AP1086" s="287"/>
      <c r="AR1086" s="288"/>
      <c r="AS1086" s="286"/>
      <c r="AT1086" s="286"/>
      <c r="AU1086" s="287"/>
      <c r="AW1086" s="288"/>
      <c r="AX1086" s="286"/>
      <c r="AY1086" s="286"/>
      <c r="AZ1086" s="287"/>
      <c r="BB1086" s="288"/>
      <c r="BC1086" s="286"/>
      <c r="BD1086" s="286"/>
      <c r="BE1086" s="287"/>
      <c r="BG1086" s="288"/>
      <c r="BH1086" s="286"/>
      <c r="BI1086" s="286"/>
      <c r="BJ1086" s="287"/>
      <c r="BL1086" s="288"/>
      <c r="BM1086" s="286"/>
      <c r="BN1086" s="286"/>
      <c r="BO1086" s="289"/>
    </row>
    <row r="1087" spans="2:67" s="339" customFormat="1">
      <c r="B1087" s="339" t="s">
        <v>455</v>
      </c>
      <c r="C1087" s="339" t="s">
        <v>402</v>
      </c>
      <c r="D1087" s="330">
        <f>G1010</f>
        <v>13212.632753108399</v>
      </c>
      <c r="E1087" s="326">
        <f>H1010</f>
        <v>4990.6666666666661</v>
      </c>
      <c r="F1087" s="326">
        <f>E1087-D1087</f>
        <v>-8221.9660864417328</v>
      </c>
      <c r="G1087" s="287"/>
      <c r="H1087" s="284"/>
      <c r="I1087" s="288"/>
      <c r="J1087" s="286"/>
      <c r="K1087" s="286"/>
      <c r="L1087" s="289"/>
      <c r="M1087" s="290"/>
      <c r="N1087" s="288"/>
      <c r="O1087" s="286"/>
      <c r="P1087" s="286"/>
      <c r="Q1087" s="287"/>
      <c r="S1087" s="288"/>
      <c r="T1087" s="286"/>
      <c r="U1087" s="286"/>
      <c r="V1087" s="287"/>
      <c r="X1087" s="288"/>
      <c r="Y1087" s="286"/>
      <c r="Z1087" s="286"/>
      <c r="AA1087" s="287"/>
      <c r="AC1087" s="288"/>
      <c r="AD1087" s="286"/>
      <c r="AE1087" s="286"/>
      <c r="AF1087" s="287"/>
      <c r="AH1087" s="288"/>
      <c r="AI1087" s="286"/>
      <c r="AJ1087" s="286"/>
      <c r="AK1087" s="287"/>
      <c r="AM1087" s="288"/>
      <c r="AN1087" s="286"/>
      <c r="AO1087" s="286"/>
      <c r="AP1087" s="287"/>
      <c r="AR1087" s="288"/>
      <c r="AS1087" s="286"/>
      <c r="AT1087" s="286"/>
      <c r="AU1087" s="287"/>
      <c r="AW1087" s="288"/>
      <c r="AX1087" s="286"/>
      <c r="AY1087" s="286"/>
      <c r="AZ1087" s="287"/>
      <c r="BB1087" s="288"/>
      <c r="BC1087" s="286"/>
      <c r="BD1087" s="286"/>
      <c r="BE1087" s="287"/>
      <c r="BG1087" s="288"/>
      <c r="BH1087" s="286"/>
      <c r="BI1087" s="286"/>
      <c r="BJ1087" s="287"/>
      <c r="BL1087" s="288"/>
      <c r="BM1087" s="286"/>
      <c r="BN1087" s="286"/>
      <c r="BO1087" s="289"/>
    </row>
    <row r="1088" spans="2:67" s="339" customFormat="1">
      <c r="B1088" s="365" t="s">
        <v>416</v>
      </c>
      <c r="C1088" s="339" t="s">
        <v>402</v>
      </c>
      <c r="D1088" s="330">
        <f>G1011</f>
        <v>16890.405674666668</v>
      </c>
      <c r="E1088" s="326">
        <f>H1011</f>
        <v>9107.1</v>
      </c>
      <c r="F1088" s="326">
        <f>E1088-D1088</f>
        <v>-7783.305674666668</v>
      </c>
      <c r="G1088" s="287"/>
      <c r="H1088" s="284"/>
      <c r="I1088" s="288"/>
      <c r="J1088" s="286"/>
      <c r="K1088" s="286"/>
      <c r="L1088" s="289"/>
      <c r="M1088" s="290"/>
      <c r="N1088" s="288"/>
      <c r="O1088" s="286"/>
      <c r="P1088" s="286"/>
      <c r="Q1088" s="287"/>
      <c r="S1088" s="288"/>
      <c r="T1088" s="286"/>
      <c r="U1088" s="286"/>
      <c r="V1088" s="287"/>
      <c r="X1088" s="288"/>
      <c r="Y1088" s="286"/>
      <c r="Z1088" s="286"/>
      <c r="AA1088" s="287"/>
      <c r="AC1088" s="288"/>
      <c r="AD1088" s="286"/>
      <c r="AE1088" s="286"/>
      <c r="AF1088" s="287"/>
      <c r="AH1088" s="288"/>
      <c r="AI1088" s="286"/>
      <c r="AJ1088" s="286"/>
      <c r="AK1088" s="287"/>
      <c r="AM1088" s="288"/>
      <c r="AN1088" s="286"/>
      <c r="AO1088" s="286"/>
      <c r="AP1088" s="287"/>
      <c r="AR1088" s="288"/>
      <c r="AS1088" s="286"/>
      <c r="AT1088" s="286"/>
      <c r="AU1088" s="287"/>
      <c r="AW1088" s="288"/>
      <c r="AX1088" s="286"/>
      <c r="AY1088" s="286"/>
      <c r="AZ1088" s="287"/>
      <c r="BB1088" s="288"/>
      <c r="BC1088" s="286"/>
      <c r="BD1088" s="286"/>
      <c r="BE1088" s="287"/>
      <c r="BG1088" s="288"/>
      <c r="BH1088" s="286"/>
      <c r="BI1088" s="286"/>
      <c r="BJ1088" s="287"/>
      <c r="BL1088" s="288"/>
      <c r="BM1088" s="286"/>
      <c r="BN1088" s="286"/>
      <c r="BO1088" s="289"/>
    </row>
    <row r="1089" spans="2:67" s="339" customFormat="1">
      <c r="B1089" s="365" t="s">
        <v>417</v>
      </c>
      <c r="C1089" s="339" t="s">
        <v>402</v>
      </c>
      <c r="D1089" s="330">
        <f>G1017</f>
        <v>14951.438005832253</v>
      </c>
      <c r="E1089" s="326">
        <f>H1017</f>
        <v>6119.8566666666666</v>
      </c>
      <c r="F1089" s="326">
        <f>E1089-D1089</f>
        <v>-8831.5813391655865</v>
      </c>
      <c r="G1089" s="287"/>
      <c r="H1089" s="284"/>
      <c r="I1089" s="288"/>
      <c r="J1089" s="286"/>
      <c r="K1089" s="286"/>
      <c r="L1089" s="289"/>
      <c r="M1089" s="290"/>
      <c r="N1089" s="288"/>
      <c r="O1089" s="286"/>
      <c r="P1089" s="286"/>
      <c r="Q1089" s="287"/>
      <c r="S1089" s="288"/>
      <c r="T1089" s="286"/>
      <c r="U1089" s="286"/>
      <c r="V1089" s="287"/>
      <c r="X1089" s="288"/>
      <c r="Y1089" s="286"/>
      <c r="Z1089" s="286"/>
      <c r="AA1089" s="287"/>
      <c r="AC1089" s="288"/>
      <c r="AD1089" s="286"/>
      <c r="AE1089" s="286"/>
      <c r="AF1089" s="287"/>
      <c r="AH1089" s="288"/>
      <c r="AI1089" s="286"/>
      <c r="AJ1089" s="286"/>
      <c r="AK1089" s="287"/>
      <c r="AM1089" s="288"/>
      <c r="AN1089" s="286"/>
      <c r="AO1089" s="286"/>
      <c r="AP1089" s="287"/>
      <c r="AR1089" s="288"/>
      <c r="AS1089" s="286"/>
      <c r="AT1089" s="286"/>
      <c r="AU1089" s="287"/>
      <c r="AW1089" s="288"/>
      <c r="AX1089" s="286"/>
      <c r="AY1089" s="286"/>
      <c r="AZ1089" s="287"/>
      <c r="BB1089" s="288"/>
      <c r="BC1089" s="286"/>
      <c r="BD1089" s="286"/>
      <c r="BE1089" s="287"/>
      <c r="BG1089" s="288"/>
      <c r="BH1089" s="286"/>
      <c r="BI1089" s="286"/>
      <c r="BJ1089" s="287"/>
      <c r="BL1089" s="288"/>
      <c r="BM1089" s="286"/>
      <c r="BN1089" s="286"/>
      <c r="BO1089" s="289"/>
    </row>
    <row r="1090" spans="2:67" s="339" customFormat="1">
      <c r="B1090" s="339" t="s">
        <v>396</v>
      </c>
      <c r="D1090" s="330"/>
      <c r="E1090" s="326"/>
      <c r="F1090" s="326"/>
      <c r="G1090" s="287"/>
      <c r="H1090" s="284"/>
      <c r="I1090" s="288"/>
      <c r="J1090" s="286"/>
      <c r="K1090" s="286"/>
      <c r="L1090" s="289"/>
      <c r="M1090" s="290"/>
      <c r="N1090" s="288"/>
      <c r="O1090" s="286"/>
      <c r="P1090" s="286"/>
      <c r="Q1090" s="287"/>
      <c r="S1090" s="288"/>
      <c r="T1090" s="286"/>
      <c r="U1090" s="286"/>
      <c r="V1090" s="287"/>
      <c r="X1090" s="288"/>
      <c r="Y1090" s="286"/>
      <c r="Z1090" s="286"/>
      <c r="AA1090" s="287"/>
      <c r="AC1090" s="288"/>
      <c r="AD1090" s="286"/>
      <c r="AE1090" s="286"/>
      <c r="AF1090" s="287"/>
      <c r="AH1090" s="288"/>
      <c r="AI1090" s="286"/>
      <c r="AJ1090" s="286"/>
      <c r="AK1090" s="287"/>
      <c r="AM1090" s="288"/>
      <c r="AN1090" s="286"/>
      <c r="AO1090" s="286"/>
      <c r="AP1090" s="287"/>
      <c r="AR1090" s="288"/>
      <c r="AS1090" s="286"/>
      <c r="AT1090" s="286"/>
      <c r="AU1090" s="287"/>
      <c r="AW1090" s="288"/>
      <c r="AX1090" s="286"/>
      <c r="AY1090" s="286"/>
      <c r="AZ1090" s="287"/>
      <c r="BB1090" s="288"/>
      <c r="BC1090" s="286"/>
      <c r="BD1090" s="286"/>
      <c r="BE1090" s="287"/>
      <c r="BG1090" s="288"/>
      <c r="BH1090" s="286"/>
      <c r="BI1090" s="286"/>
      <c r="BJ1090" s="287"/>
      <c r="BL1090" s="288"/>
      <c r="BM1090" s="286"/>
      <c r="BN1090" s="286"/>
      <c r="BO1090" s="289"/>
    </row>
    <row r="1091" spans="2:67" s="339" customFormat="1">
      <c r="B1091" s="339" t="s">
        <v>418</v>
      </c>
      <c r="D1091" s="330">
        <f>SUM(D1087:D1089)</f>
        <v>45054.47643360732</v>
      </c>
      <c r="E1091" s="326">
        <f>SUM(E1087:E1089)</f>
        <v>20217.623333333333</v>
      </c>
      <c r="F1091" s="326">
        <f>E1091-D1091</f>
        <v>-24836.853100273987</v>
      </c>
      <c r="G1091" s="287"/>
      <c r="H1091" s="284"/>
      <c r="I1091" s="288"/>
      <c r="J1091" s="286"/>
      <c r="K1091" s="286"/>
      <c r="L1091" s="289"/>
      <c r="M1091" s="290"/>
      <c r="N1091" s="288"/>
      <c r="O1091" s="286"/>
      <c r="P1091" s="286"/>
      <c r="Q1091" s="287"/>
      <c r="S1091" s="288"/>
      <c r="T1091" s="286"/>
      <c r="U1091" s="286"/>
      <c r="V1091" s="287"/>
      <c r="X1091" s="288"/>
      <c r="Y1091" s="286"/>
      <c r="Z1091" s="286"/>
      <c r="AA1091" s="287"/>
      <c r="AC1091" s="288"/>
      <c r="AD1091" s="286"/>
      <c r="AE1091" s="286"/>
      <c r="AF1091" s="287"/>
      <c r="AH1091" s="288"/>
      <c r="AI1091" s="286"/>
      <c r="AJ1091" s="286"/>
      <c r="AK1091" s="287"/>
      <c r="AM1091" s="288"/>
      <c r="AN1091" s="286"/>
      <c r="AO1091" s="286"/>
      <c r="AP1091" s="287"/>
      <c r="AR1091" s="288"/>
      <c r="AS1091" s="286"/>
      <c r="AT1091" s="286"/>
      <c r="AU1091" s="287"/>
      <c r="AW1091" s="288"/>
      <c r="AX1091" s="286"/>
      <c r="AY1091" s="286"/>
      <c r="AZ1091" s="287"/>
      <c r="BB1091" s="288"/>
      <c r="BC1091" s="286"/>
      <c r="BD1091" s="286"/>
      <c r="BE1091" s="287"/>
      <c r="BG1091" s="288"/>
      <c r="BH1091" s="286"/>
      <c r="BI1091" s="286"/>
      <c r="BJ1091" s="287"/>
      <c r="BL1091" s="288"/>
      <c r="BM1091" s="286"/>
      <c r="BN1091" s="286"/>
      <c r="BO1091" s="289"/>
    </row>
    <row r="1092" spans="2:67" s="339" customFormat="1">
      <c r="B1092" s="339" t="s">
        <v>396</v>
      </c>
      <c r="D1092" s="330"/>
      <c r="E1092" s="326"/>
      <c r="F1092" s="326"/>
      <c r="G1092" s="287"/>
      <c r="H1092" s="284"/>
      <c r="I1092" s="288"/>
      <c r="J1092" s="286"/>
      <c r="K1092" s="286"/>
      <c r="L1092" s="289"/>
      <c r="M1092" s="290"/>
      <c r="N1092" s="288"/>
      <c r="O1092" s="286"/>
      <c r="P1092" s="286"/>
      <c r="Q1092" s="287"/>
      <c r="S1092" s="288"/>
      <c r="T1092" s="286"/>
      <c r="U1092" s="286"/>
      <c r="V1092" s="287"/>
      <c r="X1092" s="288"/>
      <c r="Y1092" s="286"/>
      <c r="Z1092" s="286"/>
      <c r="AA1092" s="287"/>
      <c r="AC1092" s="288"/>
      <c r="AD1092" s="286"/>
      <c r="AE1092" s="286"/>
      <c r="AF1092" s="287"/>
      <c r="AH1092" s="288"/>
      <c r="AI1092" s="286"/>
      <c r="AJ1092" s="286"/>
      <c r="AK1092" s="287"/>
      <c r="AM1092" s="288"/>
      <c r="AN1092" s="286"/>
      <c r="AO1092" s="286"/>
      <c r="AP1092" s="287"/>
      <c r="AR1092" s="288"/>
      <c r="AS1092" s="286"/>
      <c r="AT1092" s="286"/>
      <c r="AU1092" s="287"/>
      <c r="AW1092" s="288"/>
      <c r="AX1092" s="286"/>
      <c r="AY1092" s="286"/>
      <c r="AZ1092" s="287"/>
      <c r="BB1092" s="288"/>
      <c r="BC1092" s="286"/>
      <c r="BD1092" s="286"/>
      <c r="BE1092" s="287"/>
      <c r="BG1092" s="288"/>
      <c r="BH1092" s="286"/>
      <c r="BI1092" s="286"/>
      <c r="BJ1092" s="287"/>
      <c r="BL1092" s="288"/>
      <c r="BM1092" s="286"/>
      <c r="BN1092" s="286"/>
      <c r="BO1092" s="289"/>
    </row>
    <row r="1093" spans="2:67" s="339" customFormat="1">
      <c r="D1093" s="305" t="s">
        <v>230</v>
      </c>
      <c r="E1093" s="306" t="s">
        <v>218</v>
      </c>
      <c r="F1093" s="306" t="s">
        <v>371</v>
      </c>
      <c r="G1093" s="287"/>
      <c r="H1093" s="284"/>
      <c r="I1093" s="288"/>
      <c r="J1093" s="286"/>
      <c r="K1093" s="286"/>
      <c r="L1093" s="289"/>
      <c r="M1093" s="290"/>
      <c r="N1093" s="288"/>
      <c r="O1093" s="286"/>
      <c r="P1093" s="286"/>
      <c r="Q1093" s="287"/>
      <c r="S1093" s="288"/>
      <c r="T1093" s="286"/>
      <c r="U1093" s="286"/>
      <c r="V1093" s="287"/>
      <c r="X1093" s="288"/>
      <c r="Y1093" s="286"/>
      <c r="Z1093" s="286"/>
      <c r="AA1093" s="287"/>
      <c r="AC1093" s="288"/>
      <c r="AD1093" s="286"/>
      <c r="AE1093" s="286"/>
      <c r="AF1093" s="287"/>
      <c r="AH1093" s="288"/>
      <c r="AI1093" s="286"/>
      <c r="AJ1093" s="286"/>
      <c r="AK1093" s="287"/>
      <c r="AM1093" s="288"/>
      <c r="AN1093" s="286"/>
      <c r="AO1093" s="286"/>
      <c r="AP1093" s="287"/>
      <c r="AR1093" s="288"/>
      <c r="AS1093" s="286"/>
      <c r="AT1093" s="286"/>
      <c r="AU1093" s="287"/>
      <c r="AW1093" s="288"/>
      <c r="AX1093" s="286"/>
      <c r="AY1093" s="286"/>
      <c r="AZ1093" s="287"/>
      <c r="BB1093" s="288"/>
      <c r="BC1093" s="286"/>
      <c r="BD1093" s="286"/>
      <c r="BE1093" s="287"/>
      <c r="BG1093" s="288"/>
      <c r="BH1093" s="286"/>
      <c r="BI1093" s="286"/>
      <c r="BJ1093" s="287"/>
      <c r="BL1093" s="288"/>
      <c r="BM1093" s="286"/>
      <c r="BN1093" s="286"/>
      <c r="BO1093" s="289"/>
    </row>
    <row r="1094" spans="2:67" s="339" customFormat="1">
      <c r="B1094" s="339" t="s">
        <v>419</v>
      </c>
      <c r="D1094" s="330">
        <f>SUM(D1091+D1083+D1081+D1075+D1065+D1057+D1085)</f>
        <v>655311.53940451029</v>
      </c>
      <c r="E1094" s="326">
        <f>SUM(E1091+E1083+E1081+E1075+E1065+E1057+E1085)</f>
        <v>503565.97</v>
      </c>
      <c r="F1094" s="326">
        <f>SUM(F1091+F1083+F1081+F1075+F1065+F1057+F1085)</f>
        <v>-151745.56940451043</v>
      </c>
      <c r="G1094" s="287"/>
      <c r="H1094" s="284"/>
      <c r="I1094" s="288"/>
      <c r="J1094" s="286"/>
      <c r="K1094" s="286"/>
      <c r="L1094" s="289"/>
      <c r="M1094" s="290"/>
      <c r="N1094" s="288"/>
      <c r="O1094" s="286"/>
      <c r="P1094" s="286"/>
      <c r="Q1094" s="287"/>
      <c r="S1094" s="288"/>
      <c r="T1094" s="286"/>
      <c r="U1094" s="286"/>
      <c r="V1094" s="287"/>
      <c r="X1094" s="288"/>
      <c r="Y1094" s="286"/>
      <c r="Z1094" s="286"/>
      <c r="AA1094" s="287"/>
      <c r="AC1094" s="288"/>
      <c r="AD1094" s="286"/>
      <c r="AE1094" s="286"/>
      <c r="AF1094" s="287"/>
      <c r="AH1094" s="288"/>
      <c r="AI1094" s="286"/>
      <c r="AJ1094" s="286"/>
      <c r="AK1094" s="287"/>
      <c r="AM1094" s="288"/>
      <c r="AN1094" s="286"/>
      <c r="AO1094" s="286"/>
      <c r="AP1094" s="287"/>
      <c r="AR1094" s="288"/>
      <c r="AS1094" s="286"/>
      <c r="AT1094" s="286"/>
      <c r="AU1094" s="287"/>
      <c r="AW1094" s="288"/>
      <c r="AX1094" s="286"/>
      <c r="AY1094" s="286"/>
      <c r="AZ1094" s="287"/>
      <c r="BB1094" s="288"/>
      <c r="BC1094" s="286"/>
      <c r="BD1094" s="286"/>
      <c r="BE1094" s="287"/>
      <c r="BG1094" s="288"/>
      <c r="BH1094" s="286"/>
      <c r="BI1094" s="286"/>
      <c r="BJ1094" s="287"/>
      <c r="BL1094" s="288"/>
      <c r="BM1094" s="286"/>
      <c r="BN1094" s="286"/>
      <c r="BO1094" s="289"/>
    </row>
    <row r="1095" spans="2:67" s="339" customFormat="1">
      <c r="B1095" s="339" t="s">
        <v>396</v>
      </c>
      <c r="D1095" s="288"/>
      <c r="E1095" s="286"/>
      <c r="F1095" s="286"/>
      <c r="G1095" s="287"/>
      <c r="H1095" s="284"/>
      <c r="I1095" s="288"/>
      <c r="J1095" s="286"/>
      <c r="K1095" s="286"/>
      <c r="L1095" s="289"/>
      <c r="M1095" s="290"/>
      <c r="N1095" s="288"/>
      <c r="O1095" s="286"/>
      <c r="P1095" s="286"/>
      <c r="Q1095" s="287"/>
      <c r="S1095" s="288"/>
      <c r="T1095" s="286"/>
      <c r="U1095" s="286"/>
      <c r="V1095" s="287"/>
      <c r="X1095" s="288"/>
      <c r="Y1095" s="286"/>
      <c r="Z1095" s="286"/>
      <c r="AA1095" s="287"/>
      <c r="AC1095" s="288"/>
      <c r="AD1095" s="286"/>
      <c r="AE1095" s="286"/>
      <c r="AF1095" s="287"/>
      <c r="AH1095" s="288"/>
      <c r="AI1095" s="286"/>
      <c r="AJ1095" s="286"/>
      <c r="AK1095" s="287"/>
      <c r="AM1095" s="288"/>
      <c r="AN1095" s="286"/>
      <c r="AO1095" s="286"/>
      <c r="AP1095" s="287"/>
      <c r="AR1095" s="288"/>
      <c r="AS1095" s="286"/>
      <c r="AT1095" s="286"/>
      <c r="AU1095" s="287"/>
      <c r="AW1095" s="288"/>
      <c r="AX1095" s="286"/>
      <c r="AY1095" s="286"/>
      <c r="AZ1095" s="287"/>
      <c r="BB1095" s="288"/>
      <c r="BC1095" s="286"/>
      <c r="BD1095" s="286"/>
      <c r="BE1095" s="287"/>
      <c r="BG1095" s="288"/>
      <c r="BH1095" s="286"/>
      <c r="BI1095" s="286"/>
      <c r="BJ1095" s="287"/>
      <c r="BL1095" s="288"/>
      <c r="BM1095" s="286"/>
      <c r="BN1095" s="286"/>
      <c r="BO1095" s="289"/>
    </row>
    <row r="1096" spans="2:67" s="339" customFormat="1">
      <c r="D1096" s="288"/>
      <c r="E1096" s="286"/>
      <c r="F1096" s="286"/>
      <c r="G1096" s="287"/>
      <c r="H1096" s="284"/>
      <c r="I1096" s="288"/>
      <c r="J1096" s="286"/>
      <c r="K1096" s="286"/>
      <c r="L1096" s="289"/>
      <c r="M1096" s="290"/>
      <c r="N1096" s="288"/>
      <c r="O1096" s="286"/>
      <c r="P1096" s="286"/>
      <c r="Q1096" s="287"/>
      <c r="S1096" s="288"/>
      <c r="T1096" s="286"/>
      <c r="U1096" s="286"/>
      <c r="V1096" s="287"/>
      <c r="X1096" s="288"/>
      <c r="Y1096" s="286"/>
      <c r="Z1096" s="286"/>
      <c r="AA1096" s="287"/>
      <c r="AC1096" s="288"/>
      <c r="AD1096" s="286"/>
      <c r="AE1096" s="286"/>
      <c r="AF1096" s="287"/>
      <c r="AH1096" s="288"/>
      <c r="AI1096" s="286"/>
      <c r="AJ1096" s="286"/>
      <c r="AK1096" s="287"/>
      <c r="AM1096" s="288"/>
      <c r="AN1096" s="286"/>
      <c r="AO1096" s="286"/>
      <c r="AP1096" s="287"/>
      <c r="AR1096" s="288"/>
      <c r="AS1096" s="286"/>
      <c r="AT1096" s="286"/>
      <c r="AU1096" s="287"/>
      <c r="AW1096" s="288"/>
      <c r="AX1096" s="286"/>
      <c r="AY1096" s="286"/>
      <c r="AZ1096" s="287"/>
      <c r="BB1096" s="288"/>
      <c r="BC1096" s="286"/>
      <c r="BD1096" s="286"/>
      <c r="BE1096" s="287"/>
      <c r="BG1096" s="288"/>
      <c r="BH1096" s="286"/>
      <c r="BI1096" s="286"/>
      <c r="BJ1096" s="287"/>
      <c r="BL1096" s="288"/>
      <c r="BM1096" s="286"/>
      <c r="BN1096" s="286"/>
      <c r="BO1096" s="289"/>
    </row>
    <row r="1097" spans="2:67" s="339" customFormat="1">
      <c r="D1097" s="288"/>
      <c r="E1097" s="286"/>
      <c r="F1097" s="286"/>
      <c r="G1097" s="287"/>
      <c r="H1097" s="284"/>
      <c r="I1097" s="288"/>
      <c r="J1097" s="286"/>
      <c r="K1097" s="286"/>
      <c r="L1097" s="289"/>
      <c r="M1097" s="290"/>
      <c r="N1097" s="288"/>
      <c r="O1097" s="286"/>
      <c r="P1097" s="286"/>
      <c r="Q1097" s="287"/>
      <c r="S1097" s="288"/>
      <c r="T1097" s="286"/>
      <c r="U1097" s="286"/>
      <c r="V1097" s="287"/>
      <c r="X1097" s="288"/>
      <c r="Y1097" s="286"/>
      <c r="Z1097" s="286"/>
      <c r="AA1097" s="287"/>
      <c r="AC1097" s="288"/>
      <c r="AD1097" s="286"/>
      <c r="AE1097" s="286"/>
      <c r="AF1097" s="287"/>
      <c r="AH1097" s="288"/>
      <c r="AI1097" s="286"/>
      <c r="AJ1097" s="286"/>
      <c r="AK1097" s="287"/>
      <c r="AM1097" s="288"/>
      <c r="AN1097" s="286"/>
      <c r="AO1097" s="286"/>
      <c r="AP1097" s="287"/>
      <c r="AR1097" s="288"/>
      <c r="AS1097" s="286"/>
      <c r="AT1097" s="286"/>
      <c r="AU1097" s="287"/>
      <c r="AW1097" s="288"/>
      <c r="AX1097" s="286"/>
      <c r="AY1097" s="286"/>
      <c r="AZ1097" s="287"/>
      <c r="BB1097" s="288"/>
      <c r="BC1097" s="286"/>
      <c r="BD1097" s="286"/>
      <c r="BE1097" s="287"/>
      <c r="BG1097" s="288"/>
      <c r="BH1097" s="286"/>
      <c r="BI1097" s="286"/>
      <c r="BJ1097" s="287"/>
      <c r="BL1097" s="288"/>
      <c r="BM1097" s="286"/>
      <c r="BN1097" s="286"/>
      <c r="BO1097" s="289"/>
    </row>
    <row r="1098" spans="2:67" s="339" customFormat="1">
      <c r="D1098" s="288"/>
      <c r="E1098" s="286"/>
      <c r="F1098" s="286"/>
      <c r="G1098" s="287"/>
      <c r="H1098" s="284"/>
      <c r="I1098" s="288"/>
      <c r="J1098" s="286"/>
      <c r="K1098" s="286"/>
      <c r="L1098" s="289"/>
      <c r="M1098" s="290"/>
      <c r="N1098" s="288"/>
      <c r="O1098" s="286"/>
      <c r="P1098" s="286"/>
      <c r="Q1098" s="287"/>
      <c r="S1098" s="288"/>
      <c r="T1098" s="286"/>
      <c r="U1098" s="286"/>
      <c r="V1098" s="287"/>
      <c r="X1098" s="288"/>
      <c r="Y1098" s="286"/>
      <c r="Z1098" s="286"/>
      <c r="AA1098" s="287"/>
      <c r="AC1098" s="288"/>
      <c r="AD1098" s="286"/>
      <c r="AE1098" s="286"/>
      <c r="AF1098" s="287"/>
      <c r="AH1098" s="288"/>
      <c r="AI1098" s="286"/>
      <c r="AJ1098" s="286"/>
      <c r="AK1098" s="287"/>
      <c r="AM1098" s="288"/>
      <c r="AN1098" s="286"/>
      <c r="AO1098" s="286"/>
      <c r="AP1098" s="287"/>
      <c r="AR1098" s="288"/>
      <c r="AS1098" s="286"/>
      <c r="AT1098" s="286"/>
      <c r="AU1098" s="287"/>
      <c r="AW1098" s="288"/>
      <c r="AX1098" s="286"/>
      <c r="AY1098" s="286"/>
      <c r="AZ1098" s="287"/>
      <c r="BB1098" s="288"/>
      <c r="BC1098" s="286"/>
      <c r="BD1098" s="286"/>
      <c r="BE1098" s="287"/>
      <c r="BG1098" s="288"/>
      <c r="BH1098" s="286"/>
      <c r="BI1098" s="286"/>
      <c r="BJ1098" s="287"/>
      <c r="BL1098" s="288"/>
      <c r="BM1098" s="286"/>
      <c r="BN1098" s="286"/>
      <c r="BO1098" s="289"/>
    </row>
    <row r="1099" spans="2:67" s="339" customFormat="1">
      <c r="D1099" s="288"/>
      <c r="E1099" s="286"/>
      <c r="F1099" s="286"/>
      <c r="G1099" s="287"/>
      <c r="H1099" s="284"/>
      <c r="I1099" s="288"/>
      <c r="J1099" s="286"/>
      <c r="K1099" s="286"/>
      <c r="L1099" s="289"/>
      <c r="M1099" s="290"/>
      <c r="N1099" s="288"/>
      <c r="O1099" s="286"/>
      <c r="P1099" s="286"/>
      <c r="Q1099" s="287"/>
      <c r="S1099" s="288"/>
      <c r="T1099" s="286"/>
      <c r="U1099" s="286"/>
      <c r="V1099" s="287"/>
      <c r="X1099" s="288"/>
      <c r="Y1099" s="286"/>
      <c r="Z1099" s="286"/>
      <c r="AA1099" s="287"/>
      <c r="AC1099" s="288"/>
      <c r="AD1099" s="286"/>
      <c r="AE1099" s="286"/>
      <c r="AF1099" s="287"/>
      <c r="AH1099" s="288"/>
      <c r="AI1099" s="286"/>
      <c r="AJ1099" s="286"/>
      <c r="AK1099" s="287"/>
      <c r="AM1099" s="288"/>
      <c r="AN1099" s="286"/>
      <c r="AO1099" s="286"/>
      <c r="AP1099" s="287"/>
      <c r="AR1099" s="288"/>
      <c r="AS1099" s="286"/>
      <c r="AT1099" s="286"/>
      <c r="AU1099" s="287"/>
      <c r="AW1099" s="288"/>
      <c r="AX1099" s="286"/>
      <c r="AY1099" s="286"/>
      <c r="AZ1099" s="287"/>
      <c r="BB1099" s="288"/>
      <c r="BC1099" s="286"/>
      <c r="BD1099" s="286"/>
      <c r="BE1099" s="287"/>
      <c r="BG1099" s="288"/>
      <c r="BH1099" s="286"/>
      <c r="BI1099" s="286"/>
      <c r="BJ1099" s="287"/>
      <c r="BL1099" s="288"/>
      <c r="BM1099" s="286"/>
      <c r="BN1099" s="286"/>
      <c r="BO1099" s="289"/>
    </row>
    <row r="1100" spans="2:67" s="339" customFormat="1">
      <c r="D1100" s="288"/>
      <c r="E1100" s="286"/>
      <c r="F1100" s="286"/>
      <c r="G1100" s="287"/>
      <c r="H1100" s="284"/>
      <c r="I1100" s="288"/>
      <c r="J1100" s="286"/>
      <c r="K1100" s="286"/>
      <c r="L1100" s="289"/>
      <c r="M1100" s="290"/>
      <c r="N1100" s="288"/>
      <c r="O1100" s="286"/>
      <c r="P1100" s="286"/>
      <c r="Q1100" s="287"/>
      <c r="S1100" s="288"/>
      <c r="T1100" s="286"/>
      <c r="U1100" s="286"/>
      <c r="V1100" s="287"/>
      <c r="X1100" s="288"/>
      <c r="Y1100" s="286"/>
      <c r="Z1100" s="286"/>
      <c r="AA1100" s="287"/>
      <c r="AC1100" s="288"/>
      <c r="AD1100" s="286"/>
      <c r="AE1100" s="286"/>
      <c r="AF1100" s="287"/>
      <c r="AH1100" s="288"/>
      <c r="AI1100" s="286"/>
      <c r="AJ1100" s="286"/>
      <c r="AK1100" s="287"/>
      <c r="AM1100" s="288"/>
      <c r="AN1100" s="286"/>
      <c r="AO1100" s="286"/>
      <c r="AP1100" s="287"/>
      <c r="AR1100" s="288"/>
      <c r="AS1100" s="286"/>
      <c r="AT1100" s="286"/>
      <c r="AU1100" s="287"/>
      <c r="AW1100" s="288"/>
      <c r="AX1100" s="286"/>
      <c r="AY1100" s="286"/>
      <c r="AZ1100" s="287"/>
      <c r="BB1100" s="288"/>
      <c r="BC1100" s="286"/>
      <c r="BD1100" s="286"/>
      <c r="BE1100" s="287"/>
      <c r="BG1100" s="288"/>
      <c r="BH1100" s="286"/>
      <c r="BI1100" s="286"/>
      <c r="BJ1100" s="287"/>
      <c r="BL1100" s="288"/>
      <c r="BM1100" s="286"/>
      <c r="BN1100" s="286"/>
      <c r="BO1100" s="289"/>
    </row>
    <row r="1101" spans="2:67" s="339" customFormat="1">
      <c r="D1101" s="288"/>
      <c r="E1101" s="286"/>
      <c r="F1101" s="286"/>
      <c r="G1101" s="287"/>
      <c r="H1101" s="284"/>
      <c r="I1101" s="288"/>
      <c r="J1101" s="286"/>
      <c r="K1101" s="286"/>
      <c r="L1101" s="289"/>
      <c r="M1101" s="290"/>
      <c r="N1101" s="288"/>
      <c r="O1101" s="286"/>
      <c r="P1101" s="286"/>
      <c r="Q1101" s="287"/>
      <c r="S1101" s="288"/>
      <c r="T1101" s="286"/>
      <c r="U1101" s="286"/>
      <c r="V1101" s="287"/>
      <c r="X1101" s="288"/>
      <c r="Y1101" s="286"/>
      <c r="Z1101" s="286"/>
      <c r="AA1101" s="287"/>
      <c r="AC1101" s="288"/>
      <c r="AD1101" s="286"/>
      <c r="AE1101" s="286"/>
      <c r="AF1101" s="287"/>
      <c r="AH1101" s="288"/>
      <c r="AI1101" s="286"/>
      <c r="AJ1101" s="286"/>
      <c r="AK1101" s="287"/>
      <c r="AM1101" s="288"/>
      <c r="AN1101" s="286"/>
      <c r="AO1101" s="286"/>
      <c r="AP1101" s="287"/>
      <c r="AR1101" s="288"/>
      <c r="AS1101" s="286"/>
      <c r="AT1101" s="286"/>
      <c r="AU1101" s="287"/>
      <c r="AW1101" s="288"/>
      <c r="AX1101" s="286"/>
      <c r="AY1101" s="286"/>
      <c r="AZ1101" s="287"/>
      <c r="BB1101" s="288"/>
      <c r="BC1101" s="286"/>
      <c r="BD1101" s="286"/>
      <c r="BE1101" s="287"/>
      <c r="BG1101" s="288"/>
      <c r="BH1101" s="286"/>
      <c r="BI1101" s="286"/>
      <c r="BJ1101" s="287"/>
      <c r="BL1101" s="288"/>
      <c r="BM1101" s="286"/>
      <c r="BN1101" s="286"/>
      <c r="BO1101" s="289"/>
    </row>
    <row r="1102" spans="2:67" s="339" customFormat="1">
      <c r="D1102" s="288"/>
      <c r="E1102" s="286"/>
      <c r="F1102" s="286"/>
      <c r="G1102" s="287"/>
      <c r="H1102" s="284"/>
      <c r="I1102" s="288"/>
      <c r="J1102" s="286"/>
      <c r="K1102" s="286"/>
      <c r="L1102" s="289"/>
      <c r="M1102" s="290"/>
      <c r="N1102" s="288"/>
      <c r="O1102" s="286"/>
      <c r="P1102" s="286"/>
      <c r="Q1102" s="287"/>
      <c r="S1102" s="288"/>
      <c r="T1102" s="286"/>
      <c r="U1102" s="286"/>
      <c r="V1102" s="287"/>
      <c r="X1102" s="288"/>
      <c r="Y1102" s="286"/>
      <c r="Z1102" s="286"/>
      <c r="AA1102" s="287"/>
      <c r="AC1102" s="288"/>
      <c r="AD1102" s="286"/>
      <c r="AE1102" s="286"/>
      <c r="AF1102" s="287"/>
      <c r="AH1102" s="288"/>
      <c r="AI1102" s="286"/>
      <c r="AJ1102" s="286"/>
      <c r="AK1102" s="287"/>
      <c r="AM1102" s="288"/>
      <c r="AN1102" s="286"/>
      <c r="AO1102" s="286"/>
      <c r="AP1102" s="287"/>
      <c r="AR1102" s="288"/>
      <c r="AS1102" s="286"/>
      <c r="AT1102" s="286"/>
      <c r="AU1102" s="287"/>
      <c r="AW1102" s="288"/>
      <c r="AX1102" s="286"/>
      <c r="AY1102" s="286"/>
      <c r="AZ1102" s="287"/>
      <c r="BB1102" s="288"/>
      <c r="BC1102" s="286"/>
      <c r="BD1102" s="286"/>
      <c r="BE1102" s="287"/>
      <c r="BG1102" s="288"/>
      <c r="BH1102" s="286"/>
      <c r="BI1102" s="286"/>
      <c r="BJ1102" s="287"/>
      <c r="BL1102" s="288"/>
      <c r="BM1102" s="286"/>
      <c r="BN1102" s="286"/>
      <c r="BO1102" s="289"/>
    </row>
    <row r="1103" spans="2:67" s="339" customFormat="1">
      <c r="D1103" s="288"/>
      <c r="E1103" s="286"/>
      <c r="F1103" s="286"/>
      <c r="G1103" s="287"/>
      <c r="H1103" s="284"/>
      <c r="I1103" s="288"/>
      <c r="J1103" s="286"/>
      <c r="K1103" s="286"/>
      <c r="L1103" s="289"/>
      <c r="M1103" s="290"/>
      <c r="N1103" s="288"/>
      <c r="O1103" s="286"/>
      <c r="P1103" s="286"/>
      <c r="Q1103" s="287"/>
      <c r="S1103" s="288"/>
      <c r="T1103" s="286"/>
      <c r="U1103" s="286"/>
      <c r="V1103" s="287"/>
      <c r="X1103" s="288"/>
      <c r="Y1103" s="286"/>
      <c r="Z1103" s="286"/>
      <c r="AA1103" s="287"/>
      <c r="AC1103" s="288"/>
      <c r="AD1103" s="286"/>
      <c r="AE1103" s="286"/>
      <c r="AF1103" s="287"/>
      <c r="AH1103" s="288"/>
      <c r="AI1103" s="286"/>
      <c r="AJ1103" s="286"/>
      <c r="AK1103" s="287"/>
      <c r="AM1103" s="288"/>
      <c r="AN1103" s="286"/>
      <c r="AO1103" s="286"/>
      <c r="AP1103" s="287"/>
      <c r="AR1103" s="288"/>
      <c r="AS1103" s="286"/>
      <c r="AT1103" s="286"/>
      <c r="AU1103" s="287"/>
      <c r="AW1103" s="288"/>
      <c r="AX1103" s="286"/>
      <c r="AY1103" s="286"/>
      <c r="AZ1103" s="287"/>
      <c r="BB1103" s="288"/>
      <c r="BC1103" s="286"/>
      <c r="BD1103" s="286"/>
      <c r="BE1103" s="287"/>
      <c r="BG1103" s="288"/>
      <c r="BH1103" s="286"/>
      <c r="BI1103" s="286"/>
      <c r="BJ1103" s="287"/>
      <c r="BL1103" s="288"/>
      <c r="BM1103" s="286"/>
      <c r="BN1103" s="286"/>
      <c r="BO1103" s="289"/>
    </row>
    <row r="1104" spans="2:67" s="339" customFormat="1">
      <c r="D1104" s="288"/>
      <c r="E1104" s="286"/>
      <c r="F1104" s="286"/>
      <c r="G1104" s="287"/>
      <c r="H1104" s="284"/>
      <c r="I1104" s="288"/>
      <c r="J1104" s="286"/>
      <c r="K1104" s="286"/>
      <c r="L1104" s="289"/>
      <c r="M1104" s="290"/>
      <c r="N1104" s="288"/>
      <c r="O1104" s="286"/>
      <c r="P1104" s="286"/>
      <c r="Q1104" s="287"/>
      <c r="S1104" s="288"/>
      <c r="T1104" s="286"/>
      <c r="U1104" s="286"/>
      <c r="V1104" s="287"/>
      <c r="X1104" s="288"/>
      <c r="Y1104" s="286"/>
      <c r="Z1104" s="286"/>
      <c r="AA1104" s="287"/>
      <c r="AC1104" s="288"/>
      <c r="AD1104" s="286"/>
      <c r="AE1104" s="286"/>
      <c r="AF1104" s="287"/>
      <c r="AH1104" s="288"/>
      <c r="AI1104" s="286"/>
      <c r="AJ1104" s="286"/>
      <c r="AK1104" s="287"/>
      <c r="AM1104" s="288"/>
      <c r="AN1104" s="286"/>
      <c r="AO1104" s="286"/>
      <c r="AP1104" s="287"/>
      <c r="AR1104" s="288"/>
      <c r="AS1104" s="286"/>
      <c r="AT1104" s="286"/>
      <c r="AU1104" s="287"/>
      <c r="AW1104" s="288"/>
      <c r="AX1104" s="286"/>
      <c r="AY1104" s="286"/>
      <c r="AZ1104" s="287"/>
      <c r="BB1104" s="288"/>
      <c r="BC1104" s="286"/>
      <c r="BD1104" s="286"/>
      <c r="BE1104" s="287"/>
      <c r="BG1104" s="288"/>
      <c r="BH1104" s="286"/>
      <c r="BI1104" s="286"/>
      <c r="BJ1104" s="287"/>
      <c r="BL1104" s="288"/>
      <c r="BM1104" s="286"/>
      <c r="BN1104" s="286"/>
      <c r="BO1104" s="289"/>
    </row>
    <row r="1105" spans="2:67" s="339" customFormat="1">
      <c r="B1105" s="339" t="s">
        <v>90</v>
      </c>
      <c r="D1105" s="288"/>
      <c r="E1105" s="286"/>
      <c r="F1105" s="286"/>
      <c r="G1105" s="287"/>
      <c r="H1105" s="284"/>
      <c r="I1105" s="288"/>
      <c r="J1105" s="286"/>
      <c r="K1105" s="286"/>
      <c r="L1105" s="289"/>
      <c r="M1105" s="290"/>
      <c r="N1105" s="288"/>
      <c r="O1105" s="286"/>
      <c r="P1105" s="286"/>
      <c r="Q1105" s="287"/>
      <c r="S1105" s="288"/>
      <c r="T1105" s="286"/>
      <c r="U1105" s="286"/>
      <c r="V1105" s="287"/>
      <c r="X1105" s="288"/>
      <c r="Y1105" s="286"/>
      <c r="Z1105" s="286"/>
      <c r="AA1105" s="287"/>
      <c r="AC1105" s="288"/>
      <c r="AD1105" s="286"/>
      <c r="AE1105" s="286"/>
      <c r="AF1105" s="287"/>
      <c r="AH1105" s="288"/>
      <c r="AI1105" s="286"/>
      <c r="AJ1105" s="286"/>
      <c r="AK1105" s="287"/>
      <c r="AM1105" s="288"/>
      <c r="AN1105" s="286"/>
      <c r="AO1105" s="286"/>
      <c r="AP1105" s="287"/>
      <c r="AR1105" s="288"/>
      <c r="AS1105" s="286"/>
      <c r="AT1105" s="286"/>
      <c r="AU1105" s="287"/>
      <c r="AW1105" s="288"/>
      <c r="AX1105" s="286"/>
      <c r="AY1105" s="286"/>
      <c r="AZ1105" s="287"/>
      <c r="BB1105" s="288"/>
      <c r="BC1105" s="286"/>
      <c r="BD1105" s="286"/>
      <c r="BE1105" s="287"/>
      <c r="BG1105" s="288"/>
      <c r="BH1105" s="286"/>
      <c r="BI1105" s="286"/>
      <c r="BJ1105" s="287"/>
      <c r="BL1105" s="288"/>
      <c r="BM1105" s="286"/>
      <c r="BN1105" s="286"/>
      <c r="BO1105" s="289"/>
    </row>
    <row r="1106" spans="2:67" s="339" customFormat="1">
      <c r="B1106" s="339" t="s">
        <v>459</v>
      </c>
      <c r="D1106" s="288"/>
      <c r="E1106" s="286"/>
      <c r="F1106" s="286"/>
      <c r="G1106" s="287"/>
      <c r="H1106" s="284"/>
      <c r="I1106" s="288"/>
      <c r="J1106" s="286"/>
      <c r="K1106" s="286"/>
      <c r="L1106" s="289"/>
      <c r="M1106" s="290"/>
      <c r="N1106" s="288"/>
      <c r="O1106" s="286"/>
      <c r="P1106" s="286"/>
      <c r="Q1106" s="287"/>
      <c r="S1106" s="288"/>
      <c r="T1106" s="286"/>
      <c r="U1106" s="286"/>
      <c r="V1106" s="287"/>
      <c r="X1106" s="288"/>
      <c r="Y1106" s="286"/>
      <c r="Z1106" s="286"/>
      <c r="AA1106" s="287"/>
      <c r="AC1106" s="288"/>
      <c r="AD1106" s="286"/>
      <c r="AE1106" s="286"/>
      <c r="AF1106" s="287"/>
      <c r="AH1106" s="288"/>
      <c r="AI1106" s="286"/>
      <c r="AJ1106" s="286"/>
      <c r="AK1106" s="287"/>
      <c r="AM1106" s="288"/>
      <c r="AN1106" s="286"/>
      <c r="AO1106" s="286"/>
      <c r="AP1106" s="287"/>
      <c r="AR1106" s="288"/>
      <c r="AS1106" s="286"/>
      <c r="AT1106" s="286"/>
      <c r="AU1106" s="287"/>
      <c r="AW1106" s="288"/>
      <c r="AX1106" s="286"/>
      <c r="AY1106" s="286"/>
      <c r="AZ1106" s="287"/>
      <c r="BB1106" s="288"/>
      <c r="BC1106" s="286"/>
      <c r="BD1106" s="286"/>
      <c r="BE1106" s="287"/>
      <c r="BG1106" s="288"/>
      <c r="BH1106" s="286"/>
      <c r="BI1106" s="286"/>
      <c r="BJ1106" s="287"/>
      <c r="BL1106" s="288"/>
      <c r="BM1106" s="286"/>
      <c r="BN1106" s="286"/>
      <c r="BO1106" s="289"/>
    </row>
    <row r="1107" spans="2:67" s="339" customFormat="1">
      <c r="B1107" s="339" t="str">
        <f>D3</f>
        <v>3-year averages</v>
      </c>
      <c r="D1107" s="288"/>
      <c r="E1107" s="286"/>
      <c r="F1107" s="286"/>
      <c r="G1107" s="287"/>
      <c r="H1107" s="284"/>
      <c r="I1107" s="288"/>
      <c r="J1107" s="286"/>
      <c r="K1107" s="286"/>
      <c r="L1107" s="289"/>
      <c r="M1107" s="290"/>
      <c r="N1107" s="288"/>
      <c r="O1107" s="286"/>
      <c r="P1107" s="286"/>
      <c r="Q1107" s="287"/>
      <c r="S1107" s="288"/>
      <c r="T1107" s="286"/>
      <c r="U1107" s="286"/>
      <c r="V1107" s="287"/>
      <c r="X1107" s="288"/>
      <c r="Y1107" s="286"/>
      <c r="Z1107" s="286"/>
      <c r="AA1107" s="287"/>
      <c r="AC1107" s="288"/>
      <c r="AD1107" s="286"/>
      <c r="AE1107" s="286"/>
      <c r="AF1107" s="287"/>
      <c r="AH1107" s="288"/>
      <c r="AI1107" s="286"/>
      <c r="AJ1107" s="286"/>
      <c r="AK1107" s="287"/>
      <c r="AM1107" s="288"/>
      <c r="AN1107" s="286"/>
      <c r="AO1107" s="286"/>
      <c r="AP1107" s="287"/>
      <c r="AR1107" s="288"/>
      <c r="AS1107" s="286"/>
      <c r="AT1107" s="286"/>
      <c r="AU1107" s="287"/>
      <c r="AW1107" s="288"/>
      <c r="AX1107" s="286"/>
      <c r="AY1107" s="286"/>
      <c r="AZ1107" s="287"/>
      <c r="BB1107" s="288"/>
      <c r="BC1107" s="286"/>
      <c r="BD1107" s="286"/>
      <c r="BE1107" s="287"/>
      <c r="BG1107" s="288"/>
      <c r="BH1107" s="286"/>
      <c r="BI1107" s="286"/>
      <c r="BJ1107" s="287"/>
      <c r="BL1107" s="288"/>
      <c r="BM1107" s="286"/>
      <c r="BN1107" s="286"/>
      <c r="BO1107" s="289"/>
    </row>
    <row r="1108" spans="2:67" s="339" customFormat="1">
      <c r="B1108" s="339" t="s">
        <v>370</v>
      </c>
      <c r="D1108" s="288"/>
      <c r="E1108" s="286"/>
      <c r="F1108" s="286" t="s">
        <v>371</v>
      </c>
      <c r="G1108" s="287" t="s">
        <v>372</v>
      </c>
      <c r="H1108" s="358">
        <f>SUM(H1130-G1130)</f>
        <v>-64910.327421735157</v>
      </c>
      <c r="I1108" s="288"/>
      <c r="J1108" s="286"/>
      <c r="K1108" s="286"/>
      <c r="L1108" s="289"/>
      <c r="M1108" s="290"/>
      <c r="N1108" s="288"/>
      <c r="O1108" s="286"/>
      <c r="P1108" s="286"/>
      <c r="Q1108" s="287"/>
      <c r="S1108" s="288"/>
      <c r="T1108" s="286"/>
      <c r="U1108" s="286"/>
      <c r="V1108" s="287"/>
      <c r="X1108" s="288"/>
      <c r="Y1108" s="286"/>
      <c r="Z1108" s="286"/>
      <c r="AA1108" s="287"/>
      <c r="AC1108" s="288"/>
      <c r="AD1108" s="286"/>
      <c r="AE1108" s="286"/>
      <c r="AF1108" s="287"/>
      <c r="AH1108" s="288"/>
      <c r="AI1108" s="286"/>
      <c r="AJ1108" s="286"/>
      <c r="AK1108" s="287"/>
      <c r="AM1108" s="288"/>
      <c r="AN1108" s="286"/>
      <c r="AO1108" s="286"/>
      <c r="AP1108" s="287"/>
      <c r="AR1108" s="288"/>
      <c r="AS1108" s="286"/>
      <c r="AT1108" s="286"/>
      <c r="AU1108" s="287"/>
      <c r="AW1108" s="288"/>
      <c r="AX1108" s="286"/>
      <c r="AY1108" s="286"/>
      <c r="AZ1108" s="287"/>
      <c r="BB1108" s="288"/>
      <c r="BC1108" s="286"/>
      <c r="BD1108" s="286"/>
      <c r="BE1108" s="287"/>
      <c r="BG1108" s="288"/>
      <c r="BH1108" s="286"/>
      <c r="BI1108" s="286"/>
      <c r="BJ1108" s="287"/>
      <c r="BL1108" s="288"/>
      <c r="BM1108" s="286"/>
      <c r="BN1108" s="286"/>
      <c r="BO1108" s="289"/>
    </row>
    <row r="1109" spans="2:67" s="339" customFormat="1">
      <c r="D1109" s="288"/>
      <c r="E1109" s="286"/>
      <c r="F1109" s="286"/>
      <c r="G1109" s="287"/>
      <c r="H1109" s="284"/>
      <c r="I1109" s="288"/>
      <c r="J1109" s="286"/>
      <c r="K1109" s="286"/>
      <c r="L1109" s="289"/>
      <c r="M1109" s="290"/>
      <c r="N1109" s="288"/>
      <c r="O1109" s="286"/>
      <c r="P1109" s="286"/>
      <c r="Q1109" s="287"/>
      <c r="S1109" s="288"/>
      <c r="T1109" s="286"/>
      <c r="U1109" s="286"/>
      <c r="V1109" s="287"/>
      <c r="X1109" s="288"/>
      <c r="Y1109" s="286"/>
      <c r="Z1109" s="286"/>
      <c r="AA1109" s="287"/>
      <c r="AC1109" s="288"/>
      <c r="AD1109" s="286"/>
      <c r="AE1109" s="286"/>
      <c r="AF1109" s="287"/>
      <c r="AH1109" s="288"/>
      <c r="AI1109" s="286"/>
      <c r="AJ1109" s="286"/>
      <c r="AK1109" s="287"/>
      <c r="AM1109" s="288"/>
      <c r="AN1109" s="286"/>
      <c r="AO1109" s="286"/>
      <c r="AP1109" s="287"/>
      <c r="AR1109" s="288"/>
      <c r="AS1109" s="286"/>
      <c r="AT1109" s="286"/>
      <c r="AU1109" s="287"/>
      <c r="AW1109" s="288"/>
      <c r="AX1109" s="286"/>
      <c r="AY1109" s="286"/>
      <c r="AZ1109" s="287"/>
      <c r="BB1109" s="288"/>
      <c r="BC1109" s="286"/>
      <c r="BD1109" s="286"/>
      <c r="BE1109" s="287"/>
      <c r="BG1109" s="288"/>
      <c r="BH1109" s="286"/>
      <c r="BI1109" s="286"/>
      <c r="BJ1109" s="287"/>
      <c r="BL1109" s="288"/>
      <c r="BM1109" s="286"/>
      <c r="BN1109" s="286"/>
      <c r="BO1109" s="289"/>
    </row>
    <row r="1110" spans="2:67">
      <c r="C1110" s="284" t="s">
        <v>216</v>
      </c>
      <c r="E1110" s="286" t="s">
        <v>374</v>
      </c>
      <c r="G1110" s="287" t="s">
        <v>345</v>
      </c>
      <c r="I1110" s="305" t="s">
        <v>218</v>
      </c>
    </row>
    <row r="1111" spans="2:67">
      <c r="C1111" s="304" t="s">
        <v>230</v>
      </c>
      <c r="D1111" s="305" t="s">
        <v>218</v>
      </c>
      <c r="E1111" s="306" t="s">
        <v>230</v>
      </c>
      <c r="F1111" s="306" t="s">
        <v>218</v>
      </c>
      <c r="G1111" s="303" t="s">
        <v>230</v>
      </c>
      <c r="H1111" s="304" t="s">
        <v>218</v>
      </c>
      <c r="I1111" s="305" t="s">
        <v>55</v>
      </c>
    </row>
    <row r="1112" spans="2:67">
      <c r="B1112" s="283" t="s">
        <v>242</v>
      </c>
      <c r="C1112" s="284">
        <f t="shared" ref="C1112:C1127" si="110">AV78+BA78+BF78</f>
        <v>928034.78604762349</v>
      </c>
      <c r="D1112" s="288">
        <f t="shared" ref="D1112:D1127" si="111">AW78+BB78+BG78</f>
        <v>968160.66666666663</v>
      </c>
      <c r="E1112" s="326">
        <f t="shared" ref="E1112:E1130" si="112">IF(C1112=0,0,+G1112/C1112)</f>
        <v>0.12337821084829395</v>
      </c>
      <c r="F1112" s="326">
        <f t="shared" ref="F1112:F1130" si="113">IF(D1112=0,0,+H1112/D1112)</f>
        <v>0.11730923104360778</v>
      </c>
      <c r="G1112" s="327">
        <f t="shared" ref="G1112:G1127" si="114">AX78+BC78+BH78</f>
        <v>114499.27150753506</v>
      </c>
      <c r="H1112" s="358">
        <f t="shared" ref="H1112:H1127" si="115">AY78+BD78+BI78</f>
        <v>113574.18333333333</v>
      </c>
      <c r="I1112" s="330">
        <f t="shared" ref="I1112:I1130" si="116">D1112/F$1136</f>
        <v>292.16225753249165</v>
      </c>
    </row>
    <row r="1113" spans="2:67">
      <c r="B1113" s="283" t="s">
        <v>127</v>
      </c>
      <c r="C1113" s="284">
        <f t="shared" si="110"/>
        <v>0</v>
      </c>
      <c r="D1113" s="288">
        <f t="shared" si="111"/>
        <v>0</v>
      </c>
      <c r="E1113" s="326">
        <f t="shared" si="112"/>
        <v>0</v>
      </c>
      <c r="F1113" s="326">
        <f t="shared" si="113"/>
        <v>0</v>
      </c>
      <c r="G1113" s="327">
        <f t="shared" si="114"/>
        <v>0</v>
      </c>
      <c r="H1113" s="358">
        <f t="shared" si="115"/>
        <v>0</v>
      </c>
      <c r="I1113" s="330">
        <f t="shared" si="116"/>
        <v>0</v>
      </c>
    </row>
    <row r="1114" spans="2:67">
      <c r="B1114" s="283" t="s">
        <v>245</v>
      </c>
      <c r="C1114" s="284">
        <f t="shared" si="110"/>
        <v>0</v>
      </c>
      <c r="D1114" s="288">
        <f t="shared" si="111"/>
        <v>0</v>
      </c>
      <c r="E1114" s="326">
        <f t="shared" si="112"/>
        <v>0</v>
      </c>
      <c r="F1114" s="326">
        <f t="shared" si="113"/>
        <v>0</v>
      </c>
      <c r="G1114" s="327">
        <f t="shared" si="114"/>
        <v>0</v>
      </c>
      <c r="H1114" s="358">
        <f t="shared" si="115"/>
        <v>0</v>
      </c>
      <c r="I1114" s="330">
        <f t="shared" si="116"/>
        <v>0</v>
      </c>
    </row>
    <row r="1115" spans="2:67">
      <c r="B1115" s="283" t="s">
        <v>61</v>
      </c>
      <c r="C1115" s="284">
        <f t="shared" si="110"/>
        <v>204952.59405922354</v>
      </c>
      <c r="D1115" s="288">
        <f t="shared" si="111"/>
        <v>190173.66666666669</v>
      </c>
      <c r="E1115" s="326">
        <f t="shared" si="112"/>
        <v>0.22536170282583004</v>
      </c>
      <c r="F1115" s="326">
        <f t="shared" si="113"/>
        <v>0.2063769782356828</v>
      </c>
      <c r="G1115" s="327">
        <f t="shared" si="114"/>
        <v>46188.465595757712</v>
      </c>
      <c r="H1115" s="358">
        <f t="shared" si="115"/>
        <v>39247.466666666667</v>
      </c>
      <c r="I1115" s="330">
        <f t="shared" si="116"/>
        <v>57.38878854463367</v>
      </c>
    </row>
    <row r="1116" spans="2:67">
      <c r="B1116" s="283" t="s">
        <v>66</v>
      </c>
      <c r="C1116" s="284">
        <f t="shared" si="110"/>
        <v>140656.84957212681</v>
      </c>
      <c r="D1116" s="288">
        <f t="shared" si="111"/>
        <v>141186.66666666669</v>
      </c>
      <c r="E1116" s="326">
        <f t="shared" si="112"/>
        <v>0.26665870953745802</v>
      </c>
      <c r="F1116" s="326">
        <f t="shared" si="113"/>
        <v>0.27337394938143356</v>
      </c>
      <c r="G1116" s="327">
        <f t="shared" si="114"/>
        <v>37507.373994507689</v>
      </c>
      <c r="H1116" s="358">
        <f t="shared" si="115"/>
        <v>38596.756666666668</v>
      </c>
      <c r="I1116" s="330">
        <f t="shared" si="116"/>
        <v>42.605960649941082</v>
      </c>
    </row>
    <row r="1117" spans="2:67">
      <c r="B1117" s="283" t="s">
        <v>60</v>
      </c>
      <c r="C1117" s="284">
        <f t="shared" si="110"/>
        <v>12734.447040691819</v>
      </c>
      <c r="D1117" s="288">
        <f t="shared" si="111"/>
        <v>5622.333333333333</v>
      </c>
      <c r="E1117" s="326">
        <f t="shared" si="112"/>
        <v>0.71621568666153823</v>
      </c>
      <c r="F1117" s="326">
        <f t="shared" si="113"/>
        <v>0.71184383707831866</v>
      </c>
      <c r="G1117" s="327">
        <f t="shared" si="114"/>
        <v>9120.6107315040845</v>
      </c>
      <c r="H1117" s="358">
        <f t="shared" si="115"/>
        <v>4002.2233333333334</v>
      </c>
      <c r="I1117" s="330">
        <f t="shared" si="116"/>
        <v>1.6966539292722544</v>
      </c>
    </row>
    <row r="1118" spans="2:67">
      <c r="B1118" s="283" t="s">
        <v>62</v>
      </c>
      <c r="C1118" s="284">
        <f t="shared" si="110"/>
        <v>6357.6000000000013</v>
      </c>
      <c r="D1118" s="288">
        <f t="shared" si="111"/>
        <v>6100</v>
      </c>
      <c r="E1118" s="326">
        <f t="shared" si="112"/>
        <v>1.4012881590537309</v>
      </c>
      <c r="F1118" s="326">
        <f t="shared" si="113"/>
        <v>1.4811540983606555</v>
      </c>
      <c r="G1118" s="327">
        <f t="shared" si="114"/>
        <v>8908.8296000000009</v>
      </c>
      <c r="H1118" s="358">
        <f t="shared" si="115"/>
        <v>9035.0399999999991</v>
      </c>
      <c r="I1118" s="330">
        <f t="shared" si="116"/>
        <v>1.840799603111535</v>
      </c>
    </row>
    <row r="1119" spans="2:67">
      <c r="B1119" s="283" t="s">
        <v>262</v>
      </c>
      <c r="C1119" s="284">
        <f t="shared" si="110"/>
        <v>70406.375403292463</v>
      </c>
      <c r="D1119" s="288">
        <f t="shared" si="111"/>
        <v>65339</v>
      </c>
      <c r="E1119" s="326">
        <f t="shared" si="112"/>
        <v>0.33913376280275609</v>
      </c>
      <c r="F1119" s="326">
        <f t="shared" si="113"/>
        <v>0.29006662687419971</v>
      </c>
      <c r="G1119" s="327">
        <f t="shared" si="114"/>
        <v>23877.179015821985</v>
      </c>
      <c r="H1119" s="358">
        <f t="shared" si="115"/>
        <v>18952.663333333334</v>
      </c>
      <c r="I1119" s="330">
        <f t="shared" si="116"/>
        <v>19.717377912738456</v>
      </c>
    </row>
    <row r="1120" spans="2:67">
      <c r="B1120" s="283" t="s">
        <v>326</v>
      </c>
      <c r="C1120" s="284">
        <f t="shared" si="110"/>
        <v>0</v>
      </c>
      <c r="D1120" s="288">
        <f t="shared" si="111"/>
        <v>0</v>
      </c>
      <c r="E1120" s="326">
        <f t="shared" si="112"/>
        <v>0</v>
      </c>
      <c r="F1120" s="326">
        <f t="shared" si="113"/>
        <v>0</v>
      </c>
      <c r="G1120" s="327">
        <f t="shared" si="114"/>
        <v>0</v>
      </c>
      <c r="H1120" s="358">
        <f t="shared" si="115"/>
        <v>4173.9466666666658</v>
      </c>
      <c r="I1120" s="330">
        <f t="shared" si="116"/>
        <v>0</v>
      </c>
    </row>
    <row r="1121" spans="2:67">
      <c r="B1121" s="283" t="s">
        <v>72</v>
      </c>
      <c r="C1121" s="284">
        <f t="shared" si="110"/>
        <v>17716.895729366184</v>
      </c>
      <c r="D1121" s="288">
        <f t="shared" si="111"/>
        <v>11726.666666666668</v>
      </c>
      <c r="E1121" s="326">
        <f t="shared" si="112"/>
        <v>0.16141880213518614</v>
      </c>
      <c r="F1121" s="326">
        <f t="shared" si="113"/>
        <v>0.16094798180784534</v>
      </c>
      <c r="G1121" s="327">
        <f t="shared" si="114"/>
        <v>2859.8400861882842</v>
      </c>
      <c r="H1121" s="358">
        <f t="shared" si="115"/>
        <v>1887.3833333333332</v>
      </c>
      <c r="I1121" s="330">
        <f t="shared" si="116"/>
        <v>3.538761204232995</v>
      </c>
    </row>
    <row r="1122" spans="2:67">
      <c r="B1122" s="283" t="s">
        <v>54</v>
      </c>
      <c r="C1122" s="284">
        <f t="shared" si="110"/>
        <v>33940.906608756435</v>
      </c>
      <c r="D1122" s="288">
        <f t="shared" si="111"/>
        <v>39329.333333333336</v>
      </c>
      <c r="E1122" s="326">
        <f t="shared" si="112"/>
        <v>0.68592819170295261</v>
      </c>
      <c r="F1122" s="326">
        <f t="shared" si="113"/>
        <v>0.36121546258941589</v>
      </c>
      <c r="G1122" s="327">
        <f t="shared" si="114"/>
        <v>23281.024694903095</v>
      </c>
      <c r="H1122" s="358">
        <f t="shared" si="115"/>
        <v>14206.363333333335</v>
      </c>
      <c r="I1122" s="330">
        <f t="shared" si="116"/>
        <v>11.868429703383814</v>
      </c>
    </row>
    <row r="1123" spans="2:67">
      <c r="B1123" s="283" t="s">
        <v>269</v>
      </c>
      <c r="C1123" s="284">
        <f t="shared" si="110"/>
        <v>108416.47425308901</v>
      </c>
      <c r="D1123" s="288">
        <f t="shared" si="111"/>
        <v>141487.33333333334</v>
      </c>
      <c r="E1123" s="326">
        <f t="shared" si="112"/>
        <v>0.26710096667538274</v>
      </c>
      <c r="F1123" s="326">
        <f t="shared" si="113"/>
        <v>0.11142764252159204</v>
      </c>
      <c r="G1123" s="327">
        <f t="shared" si="114"/>
        <v>28958.145076536817</v>
      </c>
      <c r="H1123" s="358">
        <f t="shared" si="115"/>
        <v>15765.600000000002</v>
      </c>
      <c r="I1123" s="330">
        <f t="shared" si="116"/>
        <v>42.696692958247453</v>
      </c>
    </row>
    <row r="1124" spans="2:67">
      <c r="B1124" s="283" t="s">
        <v>274</v>
      </c>
      <c r="C1124" s="284">
        <f t="shared" si="110"/>
        <v>4190.388466956997</v>
      </c>
      <c r="D1124" s="288">
        <f t="shared" si="111"/>
        <v>2624</v>
      </c>
      <c r="E1124" s="326">
        <f t="shared" si="112"/>
        <v>2.9923497935566608</v>
      </c>
      <c r="F1124" s="326">
        <f t="shared" si="113"/>
        <v>2.9653493394308943</v>
      </c>
      <c r="G1124" s="327">
        <f t="shared" si="114"/>
        <v>12539.108064020982</v>
      </c>
      <c r="H1124" s="358">
        <f t="shared" si="115"/>
        <v>7781.0766666666668</v>
      </c>
      <c r="I1124" s="330">
        <f t="shared" si="116"/>
        <v>0.79184559976469959</v>
      </c>
    </row>
    <row r="1125" spans="2:67">
      <c r="B1125" s="283" t="s">
        <v>279</v>
      </c>
      <c r="C1125" s="284">
        <f t="shared" si="110"/>
        <v>4016.1390727286689</v>
      </c>
      <c r="D1125" s="288">
        <f t="shared" si="111"/>
        <v>1710.3333333333333</v>
      </c>
      <c r="E1125" s="326">
        <f t="shared" si="112"/>
        <v>1.1646757984403251</v>
      </c>
      <c r="F1125" s="326">
        <f t="shared" si="113"/>
        <v>1.0302436172286105</v>
      </c>
      <c r="G1125" s="327">
        <f t="shared" si="114"/>
        <v>4677.4999811776497</v>
      </c>
      <c r="H1125" s="358">
        <f t="shared" si="115"/>
        <v>1762.06</v>
      </c>
      <c r="I1125" s="330">
        <f t="shared" si="116"/>
        <v>0.51612801986695545</v>
      </c>
    </row>
    <row r="1126" spans="2:67">
      <c r="B1126" s="283" t="s">
        <v>65</v>
      </c>
      <c r="C1126" s="284">
        <f t="shared" si="110"/>
        <v>263353.92669680534</v>
      </c>
      <c r="D1126" s="288">
        <f t="shared" si="111"/>
        <v>519267.33333333331</v>
      </c>
      <c r="E1126" s="326">
        <f t="shared" si="112"/>
        <v>0.15862322710260435</v>
      </c>
      <c r="F1126" s="326">
        <f t="shared" si="113"/>
        <v>0.10435575894754276</v>
      </c>
      <c r="G1126" s="327">
        <f t="shared" si="114"/>
        <v>41774.049722789969</v>
      </c>
      <c r="H1126" s="358">
        <f t="shared" si="115"/>
        <v>54188.536666666667</v>
      </c>
      <c r="I1126" s="330">
        <f t="shared" si="116"/>
        <v>156.69952477193198</v>
      </c>
    </row>
    <row r="1127" spans="2:67">
      <c r="B1127" s="283" t="s">
        <v>280</v>
      </c>
      <c r="C1127" s="284">
        <f t="shared" si="110"/>
        <v>1017</v>
      </c>
      <c r="D1127" s="288">
        <f t="shared" si="111"/>
        <v>1017</v>
      </c>
      <c r="E1127" s="326">
        <f t="shared" si="112"/>
        <v>2.4115732546705995</v>
      </c>
      <c r="F1127" s="326">
        <f t="shared" si="113"/>
        <v>2.4115732546705995</v>
      </c>
      <c r="G1127" s="327">
        <f t="shared" si="114"/>
        <v>2452.5699999999997</v>
      </c>
      <c r="H1127" s="358">
        <f t="shared" si="115"/>
        <v>2452.5699999999997</v>
      </c>
      <c r="I1127" s="330">
        <f t="shared" si="116"/>
        <v>0.30690052399416901</v>
      </c>
    </row>
    <row r="1128" spans="2:67">
      <c r="B1128" s="283" t="s">
        <v>283</v>
      </c>
      <c r="C1128" s="284">
        <f>AV77+BA77+BF77</f>
        <v>4440</v>
      </c>
      <c r="D1128" s="288">
        <f>AW77+BB77+BG77</f>
        <v>4440</v>
      </c>
      <c r="E1128" s="326">
        <f t="shared" si="112"/>
        <v>0.34289864864864866</v>
      </c>
      <c r="F1128" s="326">
        <f t="shared" si="113"/>
        <v>0.34289864864864866</v>
      </c>
      <c r="G1128" s="327">
        <f>AX77+BC77+BH77</f>
        <v>1522.47</v>
      </c>
      <c r="H1128" s="358">
        <f>AY77+BD77+BI77</f>
        <v>1522.47</v>
      </c>
      <c r="I1128" s="330">
        <f t="shared" si="116"/>
        <v>1.3398606947238059</v>
      </c>
    </row>
    <row r="1129" spans="2:67">
      <c r="B1129" s="283" t="s">
        <v>63</v>
      </c>
      <c r="C1129" s="284">
        <f>AV94+BA94+BF94</f>
        <v>111441.89635178377</v>
      </c>
      <c r="D1129" s="288">
        <f>AW94+BB94+BG94</f>
        <v>106904.66666666666</v>
      </c>
      <c r="E1129" s="326">
        <f t="shared" si="112"/>
        <v>0.74917667487857342</v>
      </c>
      <c r="F1129" s="326">
        <f t="shared" si="113"/>
        <v>0.46394083201855868</v>
      </c>
      <c r="G1129" s="327">
        <f>AX94+BC94+BH94</f>
        <v>83489.669350991986</v>
      </c>
      <c r="H1129" s="358">
        <f>AY94+BD94+BI94</f>
        <v>49597.440000000002</v>
      </c>
      <c r="I1129" s="330">
        <f t="shared" si="116"/>
        <v>32.260666880454252</v>
      </c>
    </row>
    <row r="1130" spans="2:67">
      <c r="B1130" s="283" t="s">
        <v>13</v>
      </c>
      <c r="C1130" s="284">
        <f>SUM(C1112:C1129)</f>
        <v>1911676.2793024443</v>
      </c>
      <c r="D1130" s="288">
        <f>SUM(D1112:D1129)</f>
        <v>2205088.9999999995</v>
      </c>
      <c r="E1130" s="326">
        <f t="shared" si="112"/>
        <v>0.23103080380475927</v>
      </c>
      <c r="F1130" s="326">
        <f t="shared" si="113"/>
        <v>0.17085286807017772</v>
      </c>
      <c r="G1130" s="327">
        <f>SUM(G1112:G1129)</f>
        <v>441656.10742173519</v>
      </c>
      <c r="H1130" s="358">
        <f>SUM(H1112:H1129)</f>
        <v>376745.78</v>
      </c>
      <c r="I1130" s="330">
        <f t="shared" si="116"/>
        <v>665.43064852878865</v>
      </c>
    </row>
    <row r="1132" spans="2:67">
      <c r="D1132" s="288" t="s">
        <v>230</v>
      </c>
      <c r="F1132" s="286" t="s">
        <v>218</v>
      </c>
      <c r="H1132" s="284" t="s">
        <v>231</v>
      </c>
    </row>
    <row r="1133" spans="2:67" s="339" customFormat="1">
      <c r="B1133" s="339" t="s">
        <v>243</v>
      </c>
      <c r="D1133" s="330">
        <f>BX29</f>
        <v>64102</v>
      </c>
      <c r="E1133" s="286"/>
      <c r="F1133" s="326">
        <f>BY29</f>
        <v>33116.286666666667</v>
      </c>
      <c r="G1133" s="327"/>
      <c r="H1133" s="358">
        <f>BZ29</f>
        <v>23316.49</v>
      </c>
      <c r="I1133" s="288"/>
      <c r="J1133" s="286"/>
      <c r="K1133" s="286"/>
      <c r="L1133" s="289"/>
      <c r="M1133" s="290"/>
      <c r="N1133" s="288"/>
      <c r="O1133" s="286"/>
      <c r="P1133" s="286"/>
      <c r="Q1133" s="287"/>
      <c r="S1133" s="288"/>
      <c r="T1133" s="286"/>
      <c r="U1133" s="286"/>
      <c r="V1133" s="287"/>
      <c r="X1133" s="288"/>
      <c r="Y1133" s="286"/>
      <c r="Z1133" s="286"/>
      <c r="AA1133" s="287"/>
      <c r="AC1133" s="288"/>
      <c r="AD1133" s="286"/>
      <c r="AE1133" s="286"/>
      <c r="AF1133" s="287"/>
      <c r="AH1133" s="288"/>
      <c r="AI1133" s="286"/>
      <c r="AJ1133" s="286"/>
      <c r="AK1133" s="287"/>
      <c r="AM1133" s="288"/>
      <c r="AN1133" s="286"/>
      <c r="AO1133" s="286"/>
      <c r="AP1133" s="287"/>
      <c r="AR1133" s="288"/>
      <c r="AS1133" s="286"/>
      <c r="AT1133" s="286"/>
      <c r="AU1133" s="287"/>
      <c r="AW1133" s="288"/>
      <c r="AX1133" s="286"/>
      <c r="AY1133" s="286"/>
      <c r="AZ1133" s="287"/>
      <c r="BB1133" s="288"/>
      <c r="BC1133" s="286"/>
      <c r="BD1133" s="286"/>
      <c r="BE1133" s="287"/>
      <c r="BG1133" s="288"/>
      <c r="BH1133" s="286"/>
      <c r="BI1133" s="286"/>
      <c r="BJ1133" s="287"/>
      <c r="BL1133" s="288"/>
      <c r="BM1133" s="286"/>
      <c r="BN1133" s="286"/>
      <c r="BO1133" s="289"/>
    </row>
    <row r="1135" spans="2:67">
      <c r="D1135" s="288" t="s">
        <v>230</v>
      </c>
      <c r="F1135" s="286" t="s">
        <v>218</v>
      </c>
      <c r="H1135" s="284" t="s">
        <v>231</v>
      </c>
    </row>
    <row r="1136" spans="2:67" s="344" customFormat="1">
      <c r="B1136" s="344" t="s">
        <v>296</v>
      </c>
      <c r="D1136" s="288">
        <f>BX30</f>
        <v>3798.5733979457514</v>
      </c>
      <c r="E1136" s="286"/>
      <c r="F1136" s="286">
        <f>BY30</f>
        <v>3313.777333333333</v>
      </c>
      <c r="G1136" s="332"/>
      <c r="H1136" s="284">
        <f>BZ30</f>
        <v>3558.6884056868257</v>
      </c>
      <c r="I1136" s="288"/>
      <c r="J1136" s="286"/>
      <c r="K1136" s="286"/>
      <c r="L1136" s="289"/>
      <c r="M1136" s="290"/>
      <c r="N1136" s="288"/>
      <c r="O1136" s="286"/>
      <c r="P1136" s="286"/>
      <c r="Q1136" s="287"/>
      <c r="S1136" s="288"/>
      <c r="T1136" s="286"/>
      <c r="U1136" s="286"/>
      <c r="V1136" s="287"/>
      <c r="X1136" s="288"/>
      <c r="Y1136" s="286"/>
      <c r="Z1136" s="286"/>
      <c r="AA1136" s="287"/>
      <c r="AC1136" s="288"/>
      <c r="AD1136" s="286"/>
      <c r="AE1136" s="286"/>
      <c r="AF1136" s="287"/>
      <c r="AH1136" s="288"/>
      <c r="AI1136" s="286"/>
      <c r="AJ1136" s="286"/>
      <c r="AK1136" s="287"/>
      <c r="AM1136" s="288"/>
      <c r="AN1136" s="286"/>
      <c r="AO1136" s="286"/>
      <c r="AP1136" s="287"/>
      <c r="AR1136" s="288"/>
      <c r="AS1136" s="286"/>
      <c r="AT1136" s="286"/>
      <c r="AU1136" s="287"/>
      <c r="AW1136" s="288"/>
      <c r="AX1136" s="286"/>
      <c r="AY1136" s="286"/>
      <c r="AZ1136" s="287"/>
      <c r="BB1136" s="288"/>
      <c r="BC1136" s="286"/>
      <c r="BD1136" s="286"/>
      <c r="BE1136" s="287"/>
      <c r="BG1136" s="288"/>
      <c r="BH1136" s="286"/>
      <c r="BI1136" s="286"/>
      <c r="BJ1136" s="287"/>
      <c r="BL1136" s="288"/>
      <c r="BM1136" s="286"/>
      <c r="BN1136" s="286"/>
      <c r="BO1136" s="289"/>
    </row>
    <row r="1138" spans="2:67" s="339" customFormat="1">
      <c r="B1138" s="339" t="s">
        <v>253</v>
      </c>
      <c r="D1138" s="288">
        <f>BX32</f>
        <v>26505</v>
      </c>
      <c r="E1138" s="286"/>
      <c r="F1138" s="286">
        <f>BY32</f>
        <v>29965.403333333335</v>
      </c>
      <c r="G1138" s="287"/>
      <c r="H1138" s="284">
        <f>BZ32</f>
        <v>27342</v>
      </c>
      <c r="I1138" s="288"/>
      <c r="J1138" s="286"/>
      <c r="K1138" s="286"/>
      <c r="L1138" s="289"/>
      <c r="M1138" s="290"/>
      <c r="N1138" s="288"/>
      <c r="O1138" s="286"/>
      <c r="P1138" s="286"/>
      <c r="Q1138" s="287"/>
      <c r="S1138" s="288"/>
      <c r="T1138" s="286"/>
      <c r="U1138" s="286"/>
      <c r="V1138" s="287"/>
      <c r="X1138" s="288"/>
      <c r="Y1138" s="286"/>
      <c r="Z1138" s="286"/>
      <c r="AA1138" s="287"/>
      <c r="AC1138" s="288"/>
      <c r="AD1138" s="286"/>
      <c r="AE1138" s="286"/>
      <c r="AF1138" s="287"/>
      <c r="AH1138" s="288"/>
      <c r="AI1138" s="286"/>
      <c r="AJ1138" s="286"/>
      <c r="AK1138" s="287"/>
      <c r="AM1138" s="288"/>
      <c r="AN1138" s="286"/>
      <c r="AO1138" s="286"/>
      <c r="AP1138" s="287"/>
      <c r="AR1138" s="288"/>
      <c r="AS1138" s="286"/>
      <c r="AT1138" s="286"/>
      <c r="AU1138" s="287"/>
      <c r="AW1138" s="288"/>
      <c r="AX1138" s="286"/>
      <c r="AY1138" s="286"/>
      <c r="AZ1138" s="287"/>
      <c r="BB1138" s="288"/>
      <c r="BC1138" s="286"/>
      <c r="BD1138" s="286"/>
      <c r="BE1138" s="287"/>
      <c r="BG1138" s="288"/>
      <c r="BH1138" s="286"/>
      <c r="BI1138" s="286"/>
      <c r="BJ1138" s="287"/>
      <c r="BL1138" s="288"/>
      <c r="BM1138" s="286"/>
      <c r="BN1138" s="286"/>
      <c r="BO1138" s="289"/>
    </row>
    <row r="1139" spans="2:67" s="339" customFormat="1">
      <c r="D1139" s="288"/>
      <c r="E1139" s="286"/>
      <c r="F1139" s="286"/>
      <c r="G1139" s="287"/>
      <c r="H1139" s="284"/>
      <c r="I1139" s="288"/>
      <c r="J1139" s="286"/>
      <c r="K1139" s="286"/>
      <c r="L1139" s="289"/>
      <c r="M1139" s="290"/>
      <c r="N1139" s="288"/>
      <c r="O1139" s="286"/>
      <c r="P1139" s="286"/>
      <c r="Q1139" s="287"/>
      <c r="S1139" s="288"/>
      <c r="T1139" s="286"/>
      <c r="U1139" s="286"/>
      <c r="V1139" s="287"/>
      <c r="X1139" s="288"/>
      <c r="Y1139" s="286"/>
      <c r="Z1139" s="286"/>
      <c r="AA1139" s="287"/>
      <c r="AC1139" s="288"/>
      <c r="AD1139" s="286"/>
      <c r="AE1139" s="286"/>
      <c r="AF1139" s="287"/>
      <c r="AH1139" s="288"/>
      <c r="AI1139" s="286"/>
      <c r="AJ1139" s="286"/>
      <c r="AK1139" s="287"/>
      <c r="AM1139" s="288"/>
      <c r="AN1139" s="286"/>
      <c r="AO1139" s="286"/>
      <c r="AP1139" s="287"/>
      <c r="AR1139" s="288"/>
      <c r="AS1139" s="286"/>
      <c r="AT1139" s="286"/>
      <c r="AU1139" s="287"/>
      <c r="AW1139" s="288"/>
      <c r="AX1139" s="286"/>
      <c r="AY1139" s="286"/>
      <c r="AZ1139" s="287"/>
      <c r="BB1139" s="288"/>
      <c r="BC1139" s="286"/>
      <c r="BD1139" s="286"/>
      <c r="BE1139" s="287"/>
      <c r="BG1139" s="288"/>
      <c r="BH1139" s="286"/>
      <c r="BI1139" s="286"/>
      <c r="BJ1139" s="287"/>
      <c r="BL1139" s="288"/>
      <c r="BM1139" s="286"/>
      <c r="BN1139" s="286"/>
      <c r="BO1139" s="289"/>
    </row>
    <row r="1140" spans="2:67" s="339" customFormat="1">
      <c r="B1140" s="339" t="s">
        <v>252</v>
      </c>
      <c r="D1140" s="330">
        <f>G1130/D1136</f>
        <v>116.26894129795689</v>
      </c>
      <c r="E1140" s="326"/>
      <c r="F1140" s="326">
        <f>H1130/F1136</f>
        <v>113.69073480294192</v>
      </c>
      <c r="G1140" s="332"/>
      <c r="H1140" s="358">
        <v>49.27</v>
      </c>
      <c r="I1140" s="288"/>
      <c r="J1140" s="286"/>
      <c r="K1140" s="286"/>
      <c r="L1140" s="289"/>
      <c r="M1140" s="290"/>
      <c r="N1140" s="288"/>
      <c r="O1140" s="286"/>
      <c r="P1140" s="286"/>
      <c r="Q1140" s="287"/>
      <c r="S1140" s="288"/>
      <c r="T1140" s="286"/>
      <c r="U1140" s="286"/>
      <c r="V1140" s="287"/>
      <c r="X1140" s="288"/>
      <c r="Y1140" s="286"/>
      <c r="Z1140" s="286"/>
      <c r="AA1140" s="287"/>
      <c r="AC1140" s="288"/>
      <c r="AD1140" s="286"/>
      <c r="AE1140" s="286"/>
      <c r="AF1140" s="287"/>
      <c r="AH1140" s="288"/>
      <c r="AI1140" s="286"/>
      <c r="AJ1140" s="286"/>
      <c r="AK1140" s="287"/>
      <c r="AM1140" s="288"/>
      <c r="AN1140" s="286"/>
      <c r="AO1140" s="286"/>
      <c r="AP1140" s="287"/>
      <c r="AR1140" s="288"/>
      <c r="AS1140" s="286"/>
      <c r="AT1140" s="286"/>
      <c r="AU1140" s="287"/>
      <c r="AW1140" s="288"/>
      <c r="AX1140" s="286"/>
      <c r="AY1140" s="286"/>
      <c r="AZ1140" s="287"/>
      <c r="BB1140" s="288"/>
      <c r="BC1140" s="286"/>
      <c r="BD1140" s="286"/>
      <c r="BE1140" s="287"/>
      <c r="BG1140" s="288"/>
      <c r="BH1140" s="286"/>
      <c r="BI1140" s="286"/>
      <c r="BJ1140" s="287"/>
      <c r="BL1140" s="288"/>
      <c r="BM1140" s="286"/>
      <c r="BN1140" s="286"/>
      <c r="BO1140" s="289"/>
    </row>
    <row r="1141" spans="2:67" s="339" customFormat="1">
      <c r="D1141" s="288"/>
      <c r="E1141" s="286"/>
      <c r="F1141" s="286"/>
      <c r="G1141" s="287"/>
      <c r="H1141" s="284"/>
      <c r="I1141" s="288"/>
      <c r="J1141" s="286"/>
      <c r="K1141" s="286"/>
      <c r="L1141" s="289"/>
      <c r="M1141" s="290"/>
      <c r="N1141" s="288"/>
      <c r="O1141" s="286"/>
      <c r="P1141" s="286"/>
      <c r="Q1141" s="287"/>
      <c r="S1141" s="288"/>
      <c r="T1141" s="286"/>
      <c r="U1141" s="286"/>
      <c r="V1141" s="287"/>
      <c r="X1141" s="288"/>
      <c r="Y1141" s="286"/>
      <c r="Z1141" s="286"/>
      <c r="AA1141" s="287"/>
      <c r="AC1141" s="288"/>
      <c r="AD1141" s="286"/>
      <c r="AE1141" s="286"/>
      <c r="AF1141" s="287"/>
      <c r="AH1141" s="288"/>
      <c r="AI1141" s="286"/>
      <c r="AJ1141" s="286"/>
      <c r="AK1141" s="287"/>
      <c r="AM1141" s="288"/>
      <c r="AN1141" s="286"/>
      <c r="AO1141" s="286"/>
      <c r="AP1141" s="287"/>
      <c r="AR1141" s="288"/>
      <c r="AS1141" s="286"/>
      <c r="AT1141" s="286"/>
      <c r="AU1141" s="287"/>
      <c r="AW1141" s="288"/>
      <c r="AX1141" s="286"/>
      <c r="AY1141" s="286"/>
      <c r="AZ1141" s="287"/>
      <c r="BB1141" s="288"/>
      <c r="BC1141" s="286"/>
      <c r="BD1141" s="286"/>
      <c r="BE1141" s="287"/>
      <c r="BG1141" s="288"/>
      <c r="BH1141" s="286"/>
      <c r="BI1141" s="286"/>
      <c r="BJ1141" s="287"/>
      <c r="BL1141" s="288"/>
      <c r="BM1141" s="286"/>
      <c r="BN1141" s="286"/>
      <c r="BO1141" s="289"/>
    </row>
    <row r="1143" spans="2:67">
      <c r="G1143" s="327"/>
    </row>
    <row r="1144" spans="2:67">
      <c r="G1144" s="327"/>
    </row>
    <row r="1145" spans="2:67">
      <c r="G1145" s="327"/>
    </row>
    <row r="1146" spans="2:67">
      <c r="G1146" s="327"/>
    </row>
    <row r="1149" spans="2:67">
      <c r="B1149" s="323" t="s">
        <v>327</v>
      </c>
    </row>
    <row r="1150" spans="2:67">
      <c r="B1150" s="283" t="s">
        <v>90</v>
      </c>
    </row>
    <row r="1151" spans="2:67">
      <c r="B1151" s="283" t="s">
        <v>460</v>
      </c>
    </row>
    <row r="1152" spans="2:67">
      <c r="B1152" s="283" t="s">
        <v>383</v>
      </c>
    </row>
    <row r="1153" spans="2:67">
      <c r="B1153" s="283" t="s">
        <v>384</v>
      </c>
      <c r="E1153" s="286" t="s">
        <v>385</v>
      </c>
      <c r="F1153" s="326">
        <f>F1201</f>
        <v>-64910.327421735317</v>
      </c>
    </row>
    <row r="1155" spans="2:67">
      <c r="D1155" s="305" t="s">
        <v>386</v>
      </c>
      <c r="E1155" s="306" t="s">
        <v>387</v>
      </c>
      <c r="F1155" s="306" t="s">
        <v>388</v>
      </c>
    </row>
    <row r="1157" spans="2:67" s="339" customFormat="1">
      <c r="B1157" s="339" t="s">
        <v>389</v>
      </c>
      <c r="D1157" s="288"/>
      <c r="E1157" s="286"/>
      <c r="F1157" s="286"/>
      <c r="G1157" s="287"/>
      <c r="H1157" s="284"/>
      <c r="I1157" s="288"/>
      <c r="J1157" s="286"/>
      <c r="K1157" s="286"/>
      <c r="L1157" s="289"/>
      <c r="M1157" s="290"/>
      <c r="N1157" s="288"/>
      <c r="O1157" s="286"/>
      <c r="P1157" s="286"/>
      <c r="Q1157" s="287"/>
      <c r="S1157" s="288"/>
      <c r="T1157" s="286"/>
      <c r="U1157" s="286"/>
      <c r="V1157" s="287"/>
      <c r="X1157" s="288"/>
      <c r="Y1157" s="286"/>
      <c r="Z1157" s="286"/>
      <c r="AA1157" s="287"/>
      <c r="AC1157" s="288"/>
      <c r="AD1157" s="286"/>
      <c r="AE1157" s="286"/>
      <c r="AF1157" s="287"/>
      <c r="AH1157" s="288"/>
      <c r="AI1157" s="286"/>
      <c r="AJ1157" s="286"/>
      <c r="AK1157" s="287"/>
      <c r="AM1157" s="288"/>
      <c r="AN1157" s="286"/>
      <c r="AO1157" s="286"/>
      <c r="AP1157" s="287"/>
      <c r="AR1157" s="288"/>
      <c r="AS1157" s="286"/>
      <c r="AT1157" s="286"/>
      <c r="AU1157" s="287"/>
      <c r="AW1157" s="288"/>
      <c r="AX1157" s="286"/>
      <c r="AY1157" s="286"/>
      <c r="AZ1157" s="287"/>
      <c r="BB1157" s="288"/>
      <c r="BC1157" s="286"/>
      <c r="BD1157" s="286"/>
      <c r="BE1157" s="287"/>
      <c r="BG1157" s="288"/>
      <c r="BH1157" s="286"/>
      <c r="BI1157" s="286"/>
      <c r="BJ1157" s="287"/>
      <c r="BL1157" s="288"/>
      <c r="BM1157" s="286"/>
      <c r="BN1157" s="286"/>
      <c r="BO1157" s="289"/>
    </row>
    <row r="1158" spans="2:67" s="339" customFormat="1">
      <c r="B1158" s="365" t="s">
        <v>424</v>
      </c>
      <c r="C1158" s="339" t="s">
        <v>390</v>
      </c>
      <c r="D1158" s="330">
        <f>G1113</f>
        <v>0</v>
      </c>
      <c r="E1158" s="326">
        <f>H1113</f>
        <v>0</v>
      </c>
      <c r="F1158" s="326">
        <f>E1158-D1158</f>
        <v>0</v>
      </c>
      <c r="G1158" s="287"/>
      <c r="H1158" s="284"/>
      <c r="I1158" s="288"/>
      <c r="J1158" s="286"/>
      <c r="K1158" s="286"/>
      <c r="L1158" s="289"/>
      <c r="M1158" s="290"/>
      <c r="N1158" s="288"/>
      <c r="O1158" s="286"/>
      <c r="P1158" s="286"/>
      <c r="Q1158" s="287"/>
      <c r="S1158" s="288"/>
      <c r="T1158" s="286"/>
      <c r="U1158" s="286"/>
      <c r="V1158" s="287"/>
      <c r="X1158" s="288"/>
      <c r="Y1158" s="286"/>
      <c r="Z1158" s="286"/>
      <c r="AA1158" s="287"/>
      <c r="AC1158" s="288"/>
      <c r="AD1158" s="286"/>
      <c r="AE1158" s="286"/>
      <c r="AF1158" s="287"/>
      <c r="AH1158" s="288"/>
      <c r="AI1158" s="286"/>
      <c r="AJ1158" s="286"/>
      <c r="AK1158" s="287"/>
      <c r="AM1158" s="288"/>
      <c r="AN1158" s="286"/>
      <c r="AO1158" s="286"/>
      <c r="AP1158" s="287"/>
      <c r="AR1158" s="288"/>
      <c r="AS1158" s="286"/>
      <c r="AT1158" s="286"/>
      <c r="AU1158" s="287"/>
      <c r="AW1158" s="288"/>
      <c r="AX1158" s="286"/>
      <c r="AY1158" s="286"/>
      <c r="AZ1158" s="287"/>
      <c r="BB1158" s="288"/>
      <c r="BC1158" s="286"/>
      <c r="BD1158" s="286"/>
      <c r="BE1158" s="287"/>
      <c r="BG1158" s="288"/>
      <c r="BH1158" s="286"/>
      <c r="BI1158" s="286"/>
      <c r="BJ1158" s="287"/>
      <c r="BL1158" s="288"/>
      <c r="BM1158" s="286"/>
      <c r="BN1158" s="286"/>
      <c r="BO1158" s="289"/>
    </row>
    <row r="1159" spans="2:67" s="339" customFormat="1">
      <c r="B1159" s="365" t="s">
        <v>391</v>
      </c>
      <c r="C1159" s="339" t="s">
        <v>390</v>
      </c>
      <c r="D1159" s="330">
        <f>G1126</f>
        <v>41774.049722789969</v>
      </c>
      <c r="E1159" s="326">
        <f>H1126</f>
        <v>54188.536666666667</v>
      </c>
      <c r="F1159" s="326">
        <f>E1159-D1159</f>
        <v>12414.486943876698</v>
      </c>
      <c r="G1159" s="287"/>
      <c r="H1159" s="284"/>
      <c r="I1159" s="288"/>
      <c r="J1159" s="286"/>
      <c r="K1159" s="286"/>
      <c r="L1159" s="289"/>
      <c r="M1159" s="290"/>
      <c r="N1159" s="288"/>
      <c r="O1159" s="286"/>
      <c r="P1159" s="286"/>
      <c r="Q1159" s="287"/>
      <c r="S1159" s="288"/>
      <c r="T1159" s="286"/>
      <c r="U1159" s="286"/>
      <c r="V1159" s="287"/>
      <c r="X1159" s="288"/>
      <c r="Y1159" s="286"/>
      <c r="Z1159" s="286"/>
      <c r="AA1159" s="287"/>
      <c r="AC1159" s="288"/>
      <c r="AD1159" s="286"/>
      <c r="AE1159" s="286"/>
      <c r="AF1159" s="287"/>
      <c r="AH1159" s="288"/>
      <c r="AI1159" s="286"/>
      <c r="AJ1159" s="286"/>
      <c r="AK1159" s="287"/>
      <c r="AM1159" s="288"/>
      <c r="AN1159" s="286"/>
      <c r="AO1159" s="286"/>
      <c r="AP1159" s="287"/>
      <c r="AR1159" s="288"/>
      <c r="AS1159" s="286"/>
      <c r="AT1159" s="286"/>
      <c r="AU1159" s="287"/>
      <c r="AW1159" s="288"/>
      <c r="AX1159" s="286"/>
      <c r="AY1159" s="286"/>
      <c r="AZ1159" s="287"/>
      <c r="BB1159" s="288"/>
      <c r="BC1159" s="286"/>
      <c r="BD1159" s="286"/>
      <c r="BE1159" s="287"/>
      <c r="BG1159" s="288"/>
      <c r="BH1159" s="286"/>
      <c r="BI1159" s="286"/>
      <c r="BJ1159" s="287"/>
      <c r="BL1159" s="288"/>
      <c r="BM1159" s="286"/>
      <c r="BN1159" s="286"/>
      <c r="BO1159" s="289"/>
    </row>
    <row r="1160" spans="2:67" s="339" customFormat="1">
      <c r="B1160" s="365" t="s">
        <v>392</v>
      </c>
      <c r="C1160" s="339" t="s">
        <v>393</v>
      </c>
      <c r="D1160" s="330">
        <f>G1119</f>
        <v>23877.179015821985</v>
      </c>
      <c r="E1160" s="326">
        <f>H1119</f>
        <v>18952.663333333334</v>
      </c>
      <c r="F1160" s="326">
        <f>E1160-D1160</f>
        <v>-4924.5156824886508</v>
      </c>
      <c r="G1160" s="287"/>
      <c r="H1160" s="284"/>
      <c r="I1160" s="288"/>
      <c r="J1160" s="286"/>
      <c r="K1160" s="286"/>
      <c r="L1160" s="289"/>
      <c r="M1160" s="290"/>
      <c r="N1160" s="288"/>
      <c r="O1160" s="286"/>
      <c r="P1160" s="286"/>
      <c r="Q1160" s="287"/>
      <c r="S1160" s="288"/>
      <c r="T1160" s="286"/>
      <c r="U1160" s="286"/>
      <c r="V1160" s="287"/>
      <c r="X1160" s="288"/>
      <c r="Y1160" s="286"/>
      <c r="Z1160" s="286"/>
      <c r="AA1160" s="287"/>
      <c r="AC1160" s="288"/>
      <c r="AD1160" s="286"/>
      <c r="AE1160" s="286"/>
      <c r="AF1160" s="287"/>
      <c r="AH1160" s="288"/>
      <c r="AI1160" s="286"/>
      <c r="AJ1160" s="286"/>
      <c r="AK1160" s="287"/>
      <c r="AM1160" s="288"/>
      <c r="AN1160" s="286"/>
      <c r="AO1160" s="286"/>
      <c r="AP1160" s="287"/>
      <c r="AR1160" s="288"/>
      <c r="AS1160" s="286"/>
      <c r="AT1160" s="286"/>
      <c r="AU1160" s="287"/>
      <c r="AW1160" s="288"/>
      <c r="AX1160" s="286"/>
      <c r="AY1160" s="286"/>
      <c r="AZ1160" s="287"/>
      <c r="BB1160" s="288"/>
      <c r="BC1160" s="286"/>
      <c r="BD1160" s="286"/>
      <c r="BE1160" s="287"/>
      <c r="BG1160" s="288"/>
      <c r="BH1160" s="286"/>
      <c r="BI1160" s="286"/>
      <c r="BJ1160" s="287"/>
      <c r="BL1160" s="288"/>
      <c r="BM1160" s="286"/>
      <c r="BN1160" s="286"/>
      <c r="BO1160" s="289"/>
    </row>
    <row r="1161" spans="2:67" s="339" customFormat="1">
      <c r="B1161" s="365" t="s">
        <v>425</v>
      </c>
      <c r="C1161" s="339" t="s">
        <v>393</v>
      </c>
      <c r="D1161" s="330">
        <f>G1112</f>
        <v>114499.27150753506</v>
      </c>
      <c r="E1161" s="326">
        <f>H1112</f>
        <v>113574.18333333333</v>
      </c>
      <c r="F1161" s="326">
        <f>E1161-D1161</f>
        <v>-925.08817420172272</v>
      </c>
      <c r="G1161" s="287"/>
      <c r="H1161" s="284"/>
      <c r="I1161" s="288"/>
      <c r="J1161" s="286"/>
      <c r="K1161" s="286"/>
      <c r="L1161" s="289"/>
      <c r="M1161" s="290"/>
      <c r="N1161" s="288"/>
      <c r="O1161" s="286"/>
      <c r="P1161" s="286"/>
      <c r="Q1161" s="287"/>
      <c r="S1161" s="288"/>
      <c r="T1161" s="286"/>
      <c r="U1161" s="286"/>
      <c r="V1161" s="287"/>
      <c r="X1161" s="288"/>
      <c r="Y1161" s="286"/>
      <c r="Z1161" s="286"/>
      <c r="AA1161" s="287"/>
      <c r="AC1161" s="288"/>
      <c r="AD1161" s="286"/>
      <c r="AE1161" s="286"/>
      <c r="AF1161" s="287"/>
      <c r="AH1161" s="288"/>
      <c r="AI1161" s="286"/>
      <c r="AJ1161" s="286"/>
      <c r="AK1161" s="287"/>
      <c r="AM1161" s="288"/>
      <c r="AN1161" s="286"/>
      <c r="AO1161" s="286"/>
      <c r="AP1161" s="287"/>
      <c r="AR1161" s="288"/>
      <c r="AS1161" s="286"/>
      <c r="AT1161" s="286"/>
      <c r="AU1161" s="287"/>
      <c r="AW1161" s="288"/>
      <c r="AX1161" s="286"/>
      <c r="AY1161" s="286"/>
      <c r="AZ1161" s="287"/>
      <c r="BB1161" s="288"/>
      <c r="BC1161" s="286"/>
      <c r="BD1161" s="286"/>
      <c r="BE1161" s="287"/>
      <c r="BG1161" s="288"/>
      <c r="BH1161" s="286"/>
      <c r="BI1161" s="286"/>
      <c r="BJ1161" s="287"/>
      <c r="BL1161" s="288"/>
      <c r="BM1161" s="286"/>
      <c r="BN1161" s="286"/>
      <c r="BO1161" s="289"/>
    </row>
    <row r="1162" spans="2:67" s="339" customFormat="1">
      <c r="B1162" s="365" t="s">
        <v>394</v>
      </c>
      <c r="C1162" s="339" t="s">
        <v>395</v>
      </c>
      <c r="D1162" s="330">
        <f>G1125</f>
        <v>4677.4999811776497</v>
      </c>
      <c r="E1162" s="326">
        <f>H1125</f>
        <v>1762.06</v>
      </c>
      <c r="F1162" s="326">
        <f>E1162-D1162</f>
        <v>-2915.4399811776498</v>
      </c>
      <c r="G1162" s="287"/>
      <c r="H1162" s="284"/>
      <c r="I1162" s="288"/>
      <c r="J1162" s="286"/>
      <c r="K1162" s="286"/>
      <c r="L1162" s="289"/>
      <c r="M1162" s="290"/>
      <c r="N1162" s="288"/>
      <c r="O1162" s="286"/>
      <c r="P1162" s="286"/>
      <c r="Q1162" s="287"/>
      <c r="S1162" s="288"/>
      <c r="T1162" s="286"/>
      <c r="U1162" s="286"/>
      <c r="V1162" s="287"/>
      <c r="X1162" s="288"/>
      <c r="Y1162" s="286"/>
      <c r="Z1162" s="286"/>
      <c r="AA1162" s="287"/>
      <c r="AC1162" s="288"/>
      <c r="AD1162" s="286"/>
      <c r="AE1162" s="286"/>
      <c r="AF1162" s="287"/>
      <c r="AH1162" s="288"/>
      <c r="AI1162" s="286"/>
      <c r="AJ1162" s="286"/>
      <c r="AK1162" s="287"/>
      <c r="AM1162" s="288"/>
      <c r="AN1162" s="286"/>
      <c r="AO1162" s="286"/>
      <c r="AP1162" s="287"/>
      <c r="AR1162" s="288"/>
      <c r="AS1162" s="286"/>
      <c r="AT1162" s="286"/>
      <c r="AU1162" s="287"/>
      <c r="AW1162" s="288"/>
      <c r="AX1162" s="286"/>
      <c r="AY1162" s="286"/>
      <c r="AZ1162" s="287"/>
      <c r="BB1162" s="288"/>
      <c r="BC1162" s="286"/>
      <c r="BD1162" s="286"/>
      <c r="BE1162" s="287"/>
      <c r="BG1162" s="288"/>
      <c r="BH1162" s="286"/>
      <c r="BI1162" s="286"/>
      <c r="BJ1162" s="287"/>
      <c r="BL1162" s="288"/>
      <c r="BM1162" s="286"/>
      <c r="BN1162" s="286"/>
      <c r="BO1162" s="289"/>
    </row>
    <row r="1163" spans="2:67" s="339" customFormat="1">
      <c r="B1163" s="339" t="s">
        <v>396</v>
      </c>
      <c r="D1163" s="330"/>
      <c r="E1163" s="326"/>
      <c r="F1163" s="326"/>
      <c r="G1163" s="287"/>
      <c r="H1163" s="284"/>
      <c r="I1163" s="288"/>
      <c r="J1163" s="286"/>
      <c r="K1163" s="286"/>
      <c r="L1163" s="289"/>
      <c r="M1163" s="290"/>
      <c r="N1163" s="288"/>
      <c r="O1163" s="286"/>
      <c r="P1163" s="286"/>
      <c r="Q1163" s="287"/>
      <c r="S1163" s="288"/>
      <c r="T1163" s="286"/>
      <c r="U1163" s="286"/>
      <c r="V1163" s="287"/>
      <c r="X1163" s="288"/>
      <c r="Y1163" s="286"/>
      <c r="Z1163" s="286"/>
      <c r="AA1163" s="287"/>
      <c r="AC1163" s="288"/>
      <c r="AD1163" s="286"/>
      <c r="AE1163" s="286"/>
      <c r="AF1163" s="287"/>
      <c r="AH1163" s="288"/>
      <c r="AI1163" s="286"/>
      <c r="AJ1163" s="286"/>
      <c r="AK1163" s="287"/>
      <c r="AM1163" s="288"/>
      <c r="AN1163" s="286"/>
      <c r="AO1163" s="286"/>
      <c r="AP1163" s="287"/>
      <c r="AR1163" s="288"/>
      <c r="AS1163" s="286"/>
      <c r="AT1163" s="286"/>
      <c r="AU1163" s="287"/>
      <c r="AW1163" s="288"/>
      <c r="AX1163" s="286"/>
      <c r="AY1163" s="286"/>
      <c r="AZ1163" s="287"/>
      <c r="BB1163" s="288"/>
      <c r="BC1163" s="286"/>
      <c r="BD1163" s="286"/>
      <c r="BE1163" s="287"/>
      <c r="BG1163" s="288"/>
      <c r="BH1163" s="286"/>
      <c r="BI1163" s="286"/>
      <c r="BJ1163" s="287"/>
      <c r="BL1163" s="288"/>
      <c r="BM1163" s="286"/>
      <c r="BN1163" s="286"/>
      <c r="BO1163" s="289"/>
    </row>
    <row r="1164" spans="2:67" s="339" customFormat="1">
      <c r="B1164" s="339" t="s">
        <v>397</v>
      </c>
      <c r="D1164" s="330">
        <f>SUM(D1158:D1162)</f>
        <v>184828.00022732466</v>
      </c>
      <c r="E1164" s="326">
        <f>SUM(E1158:E1162)</f>
        <v>188477.44333333333</v>
      </c>
      <c r="F1164" s="326">
        <f>E1164-D1164</f>
        <v>3649.4431060086645</v>
      </c>
      <c r="G1164" s="287"/>
      <c r="H1164" s="284"/>
      <c r="I1164" s="288"/>
      <c r="J1164" s="286"/>
      <c r="K1164" s="286"/>
      <c r="L1164" s="289"/>
      <c r="M1164" s="290"/>
      <c r="N1164" s="288"/>
      <c r="O1164" s="286"/>
      <c r="P1164" s="286"/>
      <c r="Q1164" s="287"/>
      <c r="S1164" s="288"/>
      <c r="T1164" s="286"/>
      <c r="U1164" s="286"/>
      <c r="V1164" s="287"/>
      <c r="X1164" s="288"/>
      <c r="Y1164" s="286"/>
      <c r="Z1164" s="286"/>
      <c r="AA1164" s="287"/>
      <c r="AC1164" s="288"/>
      <c r="AD1164" s="286"/>
      <c r="AE1164" s="286"/>
      <c r="AF1164" s="287"/>
      <c r="AH1164" s="288"/>
      <c r="AI1164" s="286"/>
      <c r="AJ1164" s="286"/>
      <c r="AK1164" s="287"/>
      <c r="AM1164" s="288"/>
      <c r="AN1164" s="286"/>
      <c r="AO1164" s="286"/>
      <c r="AP1164" s="287"/>
      <c r="AR1164" s="288"/>
      <c r="AS1164" s="286"/>
      <c r="AT1164" s="286"/>
      <c r="AU1164" s="287"/>
      <c r="AW1164" s="288"/>
      <c r="AX1164" s="286"/>
      <c r="AY1164" s="286"/>
      <c r="AZ1164" s="287"/>
      <c r="BB1164" s="288"/>
      <c r="BC1164" s="286"/>
      <c r="BD1164" s="286"/>
      <c r="BE1164" s="287"/>
      <c r="BG1164" s="288"/>
      <c r="BH1164" s="286"/>
      <c r="BI1164" s="286"/>
      <c r="BJ1164" s="287"/>
      <c r="BL1164" s="288"/>
      <c r="BM1164" s="286"/>
      <c r="BN1164" s="286"/>
      <c r="BO1164" s="289"/>
    </row>
    <row r="1165" spans="2:67" s="339" customFormat="1">
      <c r="B1165" s="339" t="s">
        <v>396</v>
      </c>
      <c r="D1165" s="330"/>
      <c r="E1165" s="326"/>
      <c r="F1165" s="326"/>
      <c r="G1165" s="287"/>
      <c r="H1165" s="284"/>
      <c r="I1165" s="288"/>
      <c r="J1165" s="286"/>
      <c r="K1165" s="286"/>
      <c r="L1165" s="289"/>
      <c r="M1165" s="290"/>
      <c r="N1165" s="288"/>
      <c r="O1165" s="286"/>
      <c r="P1165" s="286"/>
      <c r="Q1165" s="287"/>
      <c r="S1165" s="288"/>
      <c r="T1165" s="286"/>
      <c r="U1165" s="286"/>
      <c r="V1165" s="287"/>
      <c r="X1165" s="288"/>
      <c r="Y1165" s="286"/>
      <c r="Z1165" s="286"/>
      <c r="AA1165" s="287"/>
      <c r="AC1165" s="288"/>
      <c r="AD1165" s="286"/>
      <c r="AE1165" s="286"/>
      <c r="AF1165" s="287"/>
      <c r="AH1165" s="288"/>
      <c r="AI1165" s="286"/>
      <c r="AJ1165" s="286"/>
      <c r="AK1165" s="287"/>
      <c r="AM1165" s="288"/>
      <c r="AN1165" s="286"/>
      <c r="AO1165" s="286"/>
      <c r="AP1165" s="287"/>
      <c r="AR1165" s="288"/>
      <c r="AS1165" s="286"/>
      <c r="AT1165" s="286"/>
      <c r="AU1165" s="287"/>
      <c r="AW1165" s="288"/>
      <c r="AX1165" s="286"/>
      <c r="AY1165" s="286"/>
      <c r="AZ1165" s="287"/>
      <c r="BB1165" s="288"/>
      <c r="BC1165" s="286"/>
      <c r="BD1165" s="286"/>
      <c r="BE1165" s="287"/>
      <c r="BG1165" s="288"/>
      <c r="BH1165" s="286"/>
      <c r="BI1165" s="286"/>
      <c r="BJ1165" s="287"/>
      <c r="BL1165" s="288"/>
      <c r="BM1165" s="286"/>
      <c r="BN1165" s="286"/>
      <c r="BO1165" s="289"/>
    </row>
    <row r="1166" spans="2:67" s="339" customFormat="1">
      <c r="D1166" s="330"/>
      <c r="E1166" s="326"/>
      <c r="F1166" s="326"/>
      <c r="G1166" s="287"/>
      <c r="H1166" s="284"/>
      <c r="I1166" s="288"/>
      <c r="J1166" s="286"/>
      <c r="K1166" s="286"/>
      <c r="L1166" s="289"/>
      <c r="M1166" s="290"/>
      <c r="N1166" s="288"/>
      <c r="O1166" s="286"/>
      <c r="P1166" s="286"/>
      <c r="Q1166" s="287"/>
      <c r="S1166" s="288"/>
      <c r="T1166" s="286"/>
      <c r="U1166" s="286"/>
      <c r="V1166" s="287"/>
      <c r="X1166" s="288"/>
      <c r="Y1166" s="286"/>
      <c r="Z1166" s="286"/>
      <c r="AA1166" s="287"/>
      <c r="AC1166" s="288"/>
      <c r="AD1166" s="286"/>
      <c r="AE1166" s="286"/>
      <c r="AF1166" s="287"/>
      <c r="AH1166" s="288"/>
      <c r="AI1166" s="286"/>
      <c r="AJ1166" s="286"/>
      <c r="AK1166" s="287"/>
      <c r="AM1166" s="288"/>
      <c r="AN1166" s="286"/>
      <c r="AO1166" s="286"/>
      <c r="AP1166" s="287"/>
      <c r="AR1166" s="288"/>
      <c r="AS1166" s="286"/>
      <c r="AT1166" s="286"/>
      <c r="AU1166" s="287"/>
      <c r="AW1166" s="288"/>
      <c r="AX1166" s="286"/>
      <c r="AY1166" s="286"/>
      <c r="AZ1166" s="287"/>
      <c r="BB1166" s="288"/>
      <c r="BC1166" s="286"/>
      <c r="BD1166" s="286"/>
      <c r="BE1166" s="287"/>
      <c r="BG1166" s="288"/>
      <c r="BH1166" s="286"/>
      <c r="BI1166" s="286"/>
      <c r="BJ1166" s="287"/>
      <c r="BL1166" s="288"/>
      <c r="BM1166" s="286"/>
      <c r="BN1166" s="286"/>
      <c r="BO1166" s="289"/>
    </row>
    <row r="1167" spans="2:67" s="339" customFormat="1">
      <c r="B1167" s="339" t="s">
        <v>398</v>
      </c>
      <c r="D1167" s="330"/>
      <c r="E1167" s="326"/>
      <c r="F1167" s="326"/>
      <c r="G1167" s="287"/>
      <c r="H1167" s="284"/>
      <c r="I1167" s="288"/>
      <c r="J1167" s="286"/>
      <c r="K1167" s="286"/>
      <c r="L1167" s="289"/>
      <c r="M1167" s="290"/>
      <c r="N1167" s="288"/>
      <c r="O1167" s="286"/>
      <c r="P1167" s="286"/>
      <c r="Q1167" s="287"/>
      <c r="S1167" s="288"/>
      <c r="T1167" s="286"/>
      <c r="U1167" s="286"/>
      <c r="V1167" s="287"/>
      <c r="X1167" s="288"/>
      <c r="Y1167" s="286"/>
      <c r="Z1167" s="286"/>
      <c r="AA1167" s="287"/>
      <c r="AC1167" s="288"/>
      <c r="AD1167" s="286"/>
      <c r="AE1167" s="286"/>
      <c r="AF1167" s="287"/>
      <c r="AH1167" s="288"/>
      <c r="AI1167" s="286"/>
      <c r="AJ1167" s="286"/>
      <c r="AK1167" s="287"/>
      <c r="AM1167" s="288"/>
      <c r="AN1167" s="286"/>
      <c r="AO1167" s="286"/>
      <c r="AP1167" s="287"/>
      <c r="AR1167" s="288"/>
      <c r="AS1167" s="286"/>
      <c r="AT1167" s="286"/>
      <c r="AU1167" s="287"/>
      <c r="AW1167" s="288"/>
      <c r="AX1167" s="286"/>
      <c r="AY1167" s="286"/>
      <c r="AZ1167" s="287"/>
      <c r="BB1167" s="288"/>
      <c r="BC1167" s="286"/>
      <c r="BD1167" s="286"/>
      <c r="BE1167" s="287"/>
      <c r="BG1167" s="288"/>
      <c r="BH1167" s="286"/>
      <c r="BI1167" s="286"/>
      <c r="BJ1167" s="287"/>
      <c r="BL1167" s="288"/>
      <c r="BM1167" s="286"/>
      <c r="BN1167" s="286"/>
      <c r="BO1167" s="289"/>
    </row>
    <row r="1168" spans="2:67" s="339" customFormat="1">
      <c r="B1168" s="365" t="s">
        <v>399</v>
      </c>
      <c r="C1168" s="339" t="s">
        <v>393</v>
      </c>
      <c r="D1168" s="330">
        <f>G1115</f>
        <v>46188.465595757712</v>
      </c>
      <c r="E1168" s="326">
        <f>H1115</f>
        <v>39247.466666666667</v>
      </c>
      <c r="F1168" s="326">
        <f>E1168-D1168</f>
        <v>-6940.9989290910453</v>
      </c>
      <c r="G1168" s="287"/>
      <c r="H1168" s="284"/>
      <c r="I1168" s="288"/>
      <c r="J1168" s="286"/>
      <c r="K1168" s="286"/>
      <c r="L1168" s="289"/>
      <c r="M1168" s="290"/>
      <c r="N1168" s="288"/>
      <c r="O1168" s="286"/>
      <c r="P1168" s="286"/>
      <c r="Q1168" s="287"/>
      <c r="S1168" s="288"/>
      <c r="T1168" s="286"/>
      <c r="U1168" s="286"/>
      <c r="V1168" s="287"/>
      <c r="X1168" s="288"/>
      <c r="Y1168" s="286"/>
      <c r="Z1168" s="286"/>
      <c r="AA1168" s="287"/>
      <c r="AC1168" s="288"/>
      <c r="AD1168" s="286"/>
      <c r="AE1168" s="286"/>
      <c r="AF1168" s="287"/>
      <c r="AH1168" s="288"/>
      <c r="AI1168" s="286"/>
      <c r="AJ1168" s="286"/>
      <c r="AK1168" s="287"/>
      <c r="AM1168" s="288"/>
      <c r="AN1168" s="286"/>
      <c r="AO1168" s="286"/>
      <c r="AP1168" s="287"/>
      <c r="AR1168" s="288"/>
      <c r="AS1168" s="286"/>
      <c r="AT1168" s="286"/>
      <c r="AU1168" s="287"/>
      <c r="AW1168" s="288"/>
      <c r="AX1168" s="286"/>
      <c r="AY1168" s="286"/>
      <c r="AZ1168" s="287"/>
      <c r="BB1168" s="288"/>
      <c r="BC1168" s="286"/>
      <c r="BD1168" s="286"/>
      <c r="BE1168" s="287"/>
      <c r="BG1168" s="288"/>
      <c r="BH1168" s="286"/>
      <c r="BI1168" s="286"/>
      <c r="BJ1168" s="287"/>
      <c r="BL1168" s="288"/>
      <c r="BM1168" s="286"/>
      <c r="BN1168" s="286"/>
      <c r="BO1168" s="289"/>
    </row>
    <row r="1169" spans="2:67" s="339" customFormat="1">
      <c r="B1169" s="365" t="s">
        <v>400</v>
      </c>
      <c r="C1169" s="339" t="s">
        <v>393</v>
      </c>
      <c r="D1169" s="330">
        <f>G1122</f>
        <v>23281.024694903095</v>
      </c>
      <c r="E1169" s="326">
        <f>H1122</f>
        <v>14206.363333333335</v>
      </c>
      <c r="F1169" s="326">
        <f>E1169-D1169</f>
        <v>-9074.6613615697606</v>
      </c>
      <c r="G1169" s="287"/>
      <c r="H1169" s="284"/>
      <c r="I1169" s="288"/>
      <c r="J1169" s="286"/>
      <c r="K1169" s="286"/>
      <c r="L1169" s="289"/>
      <c r="M1169" s="290"/>
      <c r="N1169" s="288"/>
      <c r="O1169" s="286"/>
      <c r="P1169" s="286"/>
      <c r="Q1169" s="287"/>
      <c r="S1169" s="288"/>
      <c r="T1169" s="286"/>
      <c r="U1169" s="286"/>
      <c r="V1169" s="287"/>
      <c r="X1169" s="288"/>
      <c r="Y1169" s="286"/>
      <c r="Z1169" s="286"/>
      <c r="AA1169" s="287"/>
      <c r="AC1169" s="288"/>
      <c r="AD1169" s="286"/>
      <c r="AE1169" s="286"/>
      <c r="AF1169" s="287"/>
      <c r="AH1169" s="288"/>
      <c r="AI1169" s="286"/>
      <c r="AJ1169" s="286"/>
      <c r="AK1169" s="287"/>
      <c r="AM1169" s="288"/>
      <c r="AN1169" s="286"/>
      <c r="AO1169" s="286"/>
      <c r="AP1169" s="287"/>
      <c r="AR1169" s="288"/>
      <c r="AS1169" s="286"/>
      <c r="AT1169" s="286"/>
      <c r="AU1169" s="287"/>
      <c r="AW1169" s="288"/>
      <c r="AX1169" s="286"/>
      <c r="AY1169" s="286"/>
      <c r="AZ1169" s="287"/>
      <c r="BB1169" s="288"/>
      <c r="BC1169" s="286"/>
      <c r="BD1169" s="286"/>
      <c r="BE1169" s="287"/>
      <c r="BG1169" s="288"/>
      <c r="BH1169" s="286"/>
      <c r="BI1169" s="286"/>
      <c r="BJ1169" s="287"/>
      <c r="BL1169" s="288"/>
      <c r="BM1169" s="286"/>
      <c r="BN1169" s="286"/>
      <c r="BO1169" s="289"/>
    </row>
    <row r="1170" spans="2:67" s="339" customFormat="1">
      <c r="B1170" s="365" t="s">
        <v>401</v>
      </c>
      <c r="C1170" s="339" t="s">
        <v>402</v>
      </c>
      <c r="D1170" s="330">
        <f>G1121</f>
        <v>2859.8400861882842</v>
      </c>
      <c r="E1170" s="326">
        <f>H1121</f>
        <v>1887.3833333333332</v>
      </c>
      <c r="F1170" s="326">
        <f>E1170-D1170</f>
        <v>-972.45675285495099</v>
      </c>
      <c r="G1170" s="287"/>
      <c r="H1170" s="284"/>
      <c r="I1170" s="288"/>
      <c r="J1170" s="286"/>
      <c r="K1170" s="286"/>
      <c r="L1170" s="289"/>
      <c r="M1170" s="290"/>
      <c r="N1170" s="288"/>
      <c r="O1170" s="286"/>
      <c r="P1170" s="286"/>
      <c r="Q1170" s="287"/>
      <c r="S1170" s="288"/>
      <c r="T1170" s="286"/>
      <c r="U1170" s="286"/>
      <c r="V1170" s="287"/>
      <c r="X1170" s="288"/>
      <c r="Y1170" s="286"/>
      <c r="Z1170" s="286"/>
      <c r="AA1170" s="287"/>
      <c r="AC1170" s="288"/>
      <c r="AD1170" s="286"/>
      <c r="AE1170" s="286"/>
      <c r="AF1170" s="287"/>
      <c r="AH1170" s="288"/>
      <c r="AI1170" s="286"/>
      <c r="AJ1170" s="286"/>
      <c r="AK1170" s="287"/>
      <c r="AM1170" s="288"/>
      <c r="AN1170" s="286"/>
      <c r="AO1170" s="286"/>
      <c r="AP1170" s="287"/>
      <c r="AR1170" s="288"/>
      <c r="AS1170" s="286"/>
      <c r="AT1170" s="286"/>
      <c r="AU1170" s="287"/>
      <c r="AW1170" s="288"/>
      <c r="AX1170" s="286"/>
      <c r="AY1170" s="286"/>
      <c r="AZ1170" s="287"/>
      <c r="BB1170" s="288"/>
      <c r="BC1170" s="286"/>
      <c r="BD1170" s="286"/>
      <c r="BE1170" s="287"/>
      <c r="BG1170" s="288"/>
      <c r="BH1170" s="286"/>
      <c r="BI1170" s="286"/>
      <c r="BJ1170" s="287"/>
      <c r="BL1170" s="288"/>
      <c r="BM1170" s="286"/>
      <c r="BN1170" s="286"/>
      <c r="BO1170" s="289"/>
    </row>
    <row r="1171" spans="2:67" s="339" customFormat="1">
      <c r="B1171" s="339" t="s">
        <v>396</v>
      </c>
      <c r="D1171" s="330"/>
      <c r="E1171" s="326"/>
      <c r="F1171" s="326"/>
      <c r="G1171" s="287"/>
      <c r="H1171" s="284"/>
      <c r="I1171" s="288"/>
      <c r="J1171" s="286"/>
      <c r="K1171" s="286"/>
      <c r="L1171" s="289"/>
      <c r="M1171" s="290"/>
      <c r="N1171" s="288"/>
      <c r="O1171" s="286"/>
      <c r="P1171" s="286"/>
      <c r="Q1171" s="287"/>
      <c r="S1171" s="288"/>
      <c r="T1171" s="286"/>
      <c r="U1171" s="286"/>
      <c r="V1171" s="287"/>
      <c r="X1171" s="288"/>
      <c r="Y1171" s="286"/>
      <c r="Z1171" s="286"/>
      <c r="AA1171" s="287"/>
      <c r="AC1171" s="288"/>
      <c r="AD1171" s="286"/>
      <c r="AE1171" s="286"/>
      <c r="AF1171" s="287"/>
      <c r="AH1171" s="288"/>
      <c r="AI1171" s="286"/>
      <c r="AJ1171" s="286"/>
      <c r="AK1171" s="287"/>
      <c r="AM1171" s="288"/>
      <c r="AN1171" s="286"/>
      <c r="AO1171" s="286"/>
      <c r="AP1171" s="287"/>
      <c r="AR1171" s="288"/>
      <c r="AS1171" s="286"/>
      <c r="AT1171" s="286"/>
      <c r="AU1171" s="287"/>
      <c r="AW1171" s="288"/>
      <c r="AX1171" s="286"/>
      <c r="AY1171" s="286"/>
      <c r="AZ1171" s="287"/>
      <c r="BB1171" s="288"/>
      <c r="BC1171" s="286"/>
      <c r="BD1171" s="286"/>
      <c r="BE1171" s="287"/>
      <c r="BG1171" s="288"/>
      <c r="BH1171" s="286"/>
      <c r="BI1171" s="286"/>
      <c r="BJ1171" s="287"/>
      <c r="BL1171" s="288"/>
      <c r="BM1171" s="286"/>
      <c r="BN1171" s="286"/>
      <c r="BO1171" s="289"/>
    </row>
    <row r="1172" spans="2:67" s="339" customFormat="1">
      <c r="B1172" s="339" t="s">
        <v>403</v>
      </c>
      <c r="D1172" s="330">
        <f>D1168+D1170+D1169</f>
        <v>72329.330376849088</v>
      </c>
      <c r="E1172" s="326">
        <f>E1168+E1170+E1169</f>
        <v>55341.213333333333</v>
      </c>
      <c r="F1172" s="326">
        <f>E1172-D1172</f>
        <v>-16988.117043515755</v>
      </c>
      <c r="G1172" s="287"/>
      <c r="H1172" s="284"/>
      <c r="I1172" s="288"/>
      <c r="J1172" s="286"/>
      <c r="K1172" s="286"/>
      <c r="L1172" s="289"/>
      <c r="M1172" s="290"/>
      <c r="N1172" s="288"/>
      <c r="O1172" s="286"/>
      <c r="P1172" s="286"/>
      <c r="Q1172" s="287"/>
      <c r="S1172" s="288"/>
      <c r="T1172" s="286"/>
      <c r="U1172" s="286"/>
      <c r="V1172" s="287"/>
      <c r="X1172" s="288"/>
      <c r="Y1172" s="286"/>
      <c r="Z1172" s="286"/>
      <c r="AA1172" s="287"/>
      <c r="AC1172" s="288"/>
      <c r="AD1172" s="286"/>
      <c r="AE1172" s="286"/>
      <c r="AF1172" s="287"/>
      <c r="AH1172" s="288"/>
      <c r="AI1172" s="286"/>
      <c r="AJ1172" s="286"/>
      <c r="AK1172" s="287"/>
      <c r="AM1172" s="288"/>
      <c r="AN1172" s="286"/>
      <c r="AO1172" s="286"/>
      <c r="AP1172" s="287"/>
      <c r="AR1172" s="288"/>
      <c r="AS1172" s="286"/>
      <c r="AT1172" s="286"/>
      <c r="AU1172" s="287"/>
      <c r="AW1172" s="288"/>
      <c r="AX1172" s="286"/>
      <c r="AY1172" s="286"/>
      <c r="AZ1172" s="287"/>
      <c r="BB1172" s="288"/>
      <c r="BC1172" s="286"/>
      <c r="BD1172" s="286"/>
      <c r="BE1172" s="287"/>
      <c r="BG1172" s="288"/>
      <c r="BH1172" s="286"/>
      <c r="BI1172" s="286"/>
      <c r="BJ1172" s="287"/>
      <c r="BL1172" s="288"/>
      <c r="BM1172" s="286"/>
      <c r="BN1172" s="286"/>
      <c r="BO1172" s="289"/>
    </row>
    <row r="1173" spans="2:67" s="339" customFormat="1">
      <c r="B1173" s="339" t="s">
        <v>396</v>
      </c>
      <c r="D1173" s="330"/>
      <c r="E1173" s="326"/>
      <c r="F1173" s="326"/>
      <c r="G1173" s="287"/>
      <c r="H1173" s="284"/>
      <c r="I1173" s="288"/>
      <c r="J1173" s="286"/>
      <c r="K1173" s="286"/>
      <c r="L1173" s="289"/>
      <c r="M1173" s="290"/>
      <c r="N1173" s="288"/>
      <c r="O1173" s="286"/>
      <c r="P1173" s="286"/>
      <c r="Q1173" s="287"/>
      <c r="S1173" s="288"/>
      <c r="T1173" s="286"/>
      <c r="U1173" s="286"/>
      <c r="V1173" s="287"/>
      <c r="X1173" s="288"/>
      <c r="Y1173" s="286"/>
      <c r="Z1173" s="286"/>
      <c r="AA1173" s="287"/>
      <c r="AC1173" s="288"/>
      <c r="AD1173" s="286"/>
      <c r="AE1173" s="286"/>
      <c r="AF1173" s="287"/>
      <c r="AH1173" s="288"/>
      <c r="AI1173" s="286"/>
      <c r="AJ1173" s="286"/>
      <c r="AK1173" s="287"/>
      <c r="AM1173" s="288"/>
      <c r="AN1173" s="286"/>
      <c r="AO1173" s="286"/>
      <c r="AP1173" s="287"/>
      <c r="AR1173" s="288"/>
      <c r="AS1173" s="286"/>
      <c r="AT1173" s="286"/>
      <c r="AU1173" s="287"/>
      <c r="AW1173" s="288"/>
      <c r="AX1173" s="286"/>
      <c r="AY1173" s="286"/>
      <c r="AZ1173" s="287"/>
      <c r="BB1173" s="288"/>
      <c r="BC1173" s="286"/>
      <c r="BD1173" s="286"/>
      <c r="BE1173" s="287"/>
      <c r="BG1173" s="288"/>
      <c r="BH1173" s="286"/>
      <c r="BI1173" s="286"/>
      <c r="BJ1173" s="287"/>
      <c r="BL1173" s="288"/>
      <c r="BM1173" s="286"/>
      <c r="BN1173" s="286"/>
      <c r="BO1173" s="289"/>
    </row>
    <row r="1174" spans="2:67" s="339" customFormat="1">
      <c r="B1174" s="365" t="s">
        <v>406</v>
      </c>
      <c r="C1174" s="339" t="s">
        <v>395</v>
      </c>
      <c r="D1174" s="330">
        <f>G1129</f>
        <v>83489.669350991986</v>
      </c>
      <c r="E1174" s="326">
        <f>H1129</f>
        <v>49597.440000000002</v>
      </c>
      <c r="F1174" s="326">
        <f>E1174-D1174</f>
        <v>-33892.229350991984</v>
      </c>
      <c r="G1174" s="287"/>
      <c r="H1174" s="284"/>
      <c r="I1174" s="288"/>
      <c r="J1174" s="286"/>
      <c r="K1174" s="286"/>
      <c r="L1174" s="289"/>
      <c r="M1174" s="290"/>
      <c r="N1174" s="288"/>
      <c r="O1174" s="286"/>
      <c r="P1174" s="286"/>
      <c r="Q1174" s="287"/>
      <c r="S1174" s="288"/>
      <c r="T1174" s="286"/>
      <c r="U1174" s="286"/>
      <c r="V1174" s="287"/>
      <c r="X1174" s="288"/>
      <c r="Y1174" s="286"/>
      <c r="Z1174" s="286"/>
      <c r="AA1174" s="287"/>
      <c r="AC1174" s="288"/>
      <c r="AD1174" s="286"/>
      <c r="AE1174" s="286"/>
      <c r="AF1174" s="287"/>
      <c r="AH1174" s="288"/>
      <c r="AI1174" s="286"/>
      <c r="AJ1174" s="286"/>
      <c r="AK1174" s="287"/>
      <c r="AM1174" s="288"/>
      <c r="AN1174" s="286"/>
      <c r="AO1174" s="286"/>
      <c r="AP1174" s="287"/>
      <c r="AR1174" s="288"/>
      <c r="AS1174" s="286"/>
      <c r="AT1174" s="286"/>
      <c r="AU1174" s="287"/>
      <c r="AW1174" s="288"/>
      <c r="AX1174" s="286"/>
      <c r="AY1174" s="286"/>
      <c r="AZ1174" s="287"/>
      <c r="BB1174" s="288"/>
      <c r="BC1174" s="286"/>
      <c r="BD1174" s="286"/>
      <c r="BE1174" s="287"/>
      <c r="BG1174" s="288"/>
      <c r="BH1174" s="286"/>
      <c r="BI1174" s="286"/>
      <c r="BJ1174" s="287"/>
      <c r="BL1174" s="288"/>
      <c r="BM1174" s="286"/>
      <c r="BN1174" s="286"/>
      <c r="BO1174" s="289"/>
    </row>
    <row r="1175" spans="2:67" s="339" customFormat="1">
      <c r="D1175" s="330"/>
      <c r="E1175" s="326"/>
      <c r="F1175" s="326"/>
      <c r="G1175" s="287"/>
      <c r="H1175" s="284"/>
      <c r="I1175" s="288"/>
      <c r="J1175" s="286"/>
      <c r="K1175" s="286"/>
      <c r="L1175" s="289"/>
      <c r="M1175" s="290"/>
      <c r="N1175" s="288"/>
      <c r="O1175" s="286"/>
      <c r="P1175" s="286"/>
      <c r="Q1175" s="287"/>
      <c r="S1175" s="288"/>
      <c r="T1175" s="286"/>
      <c r="U1175" s="286"/>
      <c r="V1175" s="287"/>
      <c r="X1175" s="288"/>
      <c r="Y1175" s="286"/>
      <c r="Z1175" s="286"/>
      <c r="AA1175" s="287"/>
      <c r="AC1175" s="288"/>
      <c r="AD1175" s="286"/>
      <c r="AE1175" s="286"/>
      <c r="AF1175" s="287"/>
      <c r="AH1175" s="288"/>
      <c r="AI1175" s="286"/>
      <c r="AJ1175" s="286"/>
      <c r="AK1175" s="287"/>
      <c r="AM1175" s="288"/>
      <c r="AN1175" s="286"/>
      <c r="AO1175" s="286"/>
      <c r="AP1175" s="287"/>
      <c r="AR1175" s="288"/>
      <c r="AS1175" s="286"/>
      <c r="AT1175" s="286"/>
      <c r="AU1175" s="287"/>
      <c r="AW1175" s="288"/>
      <c r="AX1175" s="286"/>
      <c r="AY1175" s="286"/>
      <c r="AZ1175" s="287"/>
      <c r="BB1175" s="288"/>
      <c r="BC1175" s="286"/>
      <c r="BD1175" s="286"/>
      <c r="BE1175" s="287"/>
      <c r="BG1175" s="288"/>
      <c r="BH1175" s="286"/>
      <c r="BI1175" s="286"/>
      <c r="BJ1175" s="287"/>
      <c r="BL1175" s="288"/>
      <c r="BM1175" s="286"/>
      <c r="BN1175" s="286"/>
      <c r="BO1175" s="289"/>
    </row>
    <row r="1176" spans="2:67" s="339" customFormat="1">
      <c r="B1176" s="365" t="s">
        <v>439</v>
      </c>
      <c r="C1176" s="339" t="s">
        <v>432</v>
      </c>
      <c r="D1176" s="330">
        <f>G1114</f>
        <v>0</v>
      </c>
      <c r="E1176" s="326">
        <f>H1114</f>
        <v>0</v>
      </c>
      <c r="F1176" s="326">
        <f>E1176-D1176</f>
        <v>0</v>
      </c>
      <c r="G1176" s="287"/>
      <c r="H1176" s="284"/>
      <c r="I1176" s="288"/>
      <c r="J1176" s="286"/>
      <c r="K1176" s="286"/>
      <c r="L1176" s="289"/>
      <c r="M1176" s="290"/>
      <c r="N1176" s="288"/>
      <c r="O1176" s="286"/>
      <c r="P1176" s="286"/>
      <c r="Q1176" s="287"/>
      <c r="S1176" s="288"/>
      <c r="T1176" s="286"/>
      <c r="U1176" s="286"/>
      <c r="V1176" s="287"/>
      <c r="X1176" s="288"/>
      <c r="Y1176" s="286"/>
      <c r="Z1176" s="286"/>
      <c r="AA1176" s="287"/>
      <c r="AC1176" s="288"/>
      <c r="AD1176" s="286"/>
      <c r="AE1176" s="286"/>
      <c r="AF1176" s="287"/>
      <c r="AH1176" s="288"/>
      <c r="AI1176" s="286"/>
      <c r="AJ1176" s="286"/>
      <c r="AK1176" s="287"/>
      <c r="AM1176" s="288"/>
      <c r="AN1176" s="286"/>
      <c r="AO1176" s="286"/>
      <c r="AP1176" s="287"/>
      <c r="AR1176" s="288"/>
      <c r="AS1176" s="286"/>
      <c r="AT1176" s="286"/>
      <c r="AU1176" s="287"/>
      <c r="AW1176" s="288"/>
      <c r="AX1176" s="286"/>
      <c r="AY1176" s="286"/>
      <c r="AZ1176" s="287"/>
      <c r="BB1176" s="288"/>
      <c r="BC1176" s="286"/>
      <c r="BD1176" s="286"/>
      <c r="BE1176" s="287"/>
      <c r="BG1176" s="288"/>
      <c r="BH1176" s="286"/>
      <c r="BI1176" s="286"/>
      <c r="BJ1176" s="287"/>
      <c r="BL1176" s="288"/>
      <c r="BM1176" s="286"/>
      <c r="BN1176" s="286"/>
      <c r="BO1176" s="289"/>
    </row>
    <row r="1177" spans="2:67" s="339" customFormat="1">
      <c r="B1177" s="339" t="s">
        <v>442</v>
      </c>
      <c r="D1177" s="330"/>
      <c r="E1177" s="326"/>
      <c r="F1177" s="326"/>
      <c r="G1177" s="287"/>
      <c r="H1177" s="284"/>
      <c r="I1177" s="288"/>
      <c r="J1177" s="286"/>
      <c r="K1177" s="286"/>
      <c r="L1177" s="289"/>
      <c r="M1177" s="290"/>
      <c r="N1177" s="288"/>
      <c r="O1177" s="286"/>
      <c r="P1177" s="286"/>
      <c r="Q1177" s="287"/>
      <c r="S1177" s="288"/>
      <c r="T1177" s="286"/>
      <c r="U1177" s="286"/>
      <c r="V1177" s="287"/>
      <c r="X1177" s="288"/>
      <c r="Y1177" s="286"/>
      <c r="Z1177" s="286"/>
      <c r="AA1177" s="287"/>
      <c r="AC1177" s="288"/>
      <c r="AD1177" s="286"/>
      <c r="AE1177" s="286"/>
      <c r="AF1177" s="287"/>
      <c r="AH1177" s="288"/>
      <c r="AI1177" s="286"/>
      <c r="AJ1177" s="286"/>
      <c r="AK1177" s="287"/>
      <c r="AM1177" s="288"/>
      <c r="AN1177" s="286"/>
      <c r="AO1177" s="286"/>
      <c r="AP1177" s="287"/>
      <c r="AR1177" s="288"/>
      <c r="AS1177" s="286"/>
      <c r="AT1177" s="286"/>
      <c r="AU1177" s="287"/>
      <c r="AW1177" s="288"/>
      <c r="AX1177" s="286"/>
      <c r="AY1177" s="286"/>
      <c r="AZ1177" s="287"/>
      <c r="BB1177" s="288"/>
      <c r="BC1177" s="286"/>
      <c r="BD1177" s="286"/>
      <c r="BE1177" s="287"/>
      <c r="BG1177" s="288"/>
      <c r="BH1177" s="286"/>
      <c r="BI1177" s="286"/>
      <c r="BJ1177" s="287"/>
      <c r="BL1177" s="288"/>
      <c r="BM1177" s="286"/>
      <c r="BN1177" s="286"/>
      <c r="BO1177" s="289"/>
    </row>
    <row r="1178" spans="2:67" s="339" customFormat="1">
      <c r="B1178" s="365" t="s">
        <v>433</v>
      </c>
      <c r="C1178" s="339" t="s">
        <v>390</v>
      </c>
      <c r="D1178" s="330">
        <f>G1120</f>
        <v>0</v>
      </c>
      <c r="E1178" s="326">
        <f>H1120</f>
        <v>4173.9466666666658</v>
      </c>
      <c r="F1178" s="326">
        <f>E1178-D1178</f>
        <v>4173.9466666666658</v>
      </c>
      <c r="G1178" s="287"/>
      <c r="H1178" s="284"/>
      <c r="I1178" s="288"/>
      <c r="J1178" s="286"/>
      <c r="K1178" s="286"/>
      <c r="L1178" s="289"/>
      <c r="M1178" s="290"/>
      <c r="N1178" s="288"/>
      <c r="O1178" s="286"/>
      <c r="P1178" s="286"/>
      <c r="Q1178" s="287"/>
      <c r="S1178" s="288"/>
      <c r="T1178" s="286"/>
      <c r="U1178" s="286"/>
      <c r="V1178" s="287"/>
      <c r="X1178" s="288"/>
      <c r="Y1178" s="286"/>
      <c r="Z1178" s="286"/>
      <c r="AA1178" s="287"/>
      <c r="AC1178" s="288"/>
      <c r="AD1178" s="286"/>
      <c r="AE1178" s="286"/>
      <c r="AF1178" s="287"/>
      <c r="AH1178" s="288"/>
      <c r="AI1178" s="286"/>
      <c r="AJ1178" s="286"/>
      <c r="AK1178" s="287"/>
      <c r="AM1178" s="288"/>
      <c r="AN1178" s="286"/>
      <c r="AO1178" s="286"/>
      <c r="AP1178" s="287"/>
      <c r="AR1178" s="288"/>
      <c r="AS1178" s="286"/>
      <c r="AT1178" s="286"/>
      <c r="AU1178" s="287"/>
      <c r="AW1178" s="288"/>
      <c r="AX1178" s="286"/>
      <c r="AY1178" s="286"/>
      <c r="AZ1178" s="287"/>
      <c r="BB1178" s="288"/>
      <c r="BC1178" s="286"/>
      <c r="BD1178" s="286"/>
      <c r="BE1178" s="287"/>
      <c r="BG1178" s="288"/>
      <c r="BH1178" s="286"/>
      <c r="BI1178" s="286"/>
      <c r="BJ1178" s="287"/>
      <c r="BL1178" s="288"/>
      <c r="BM1178" s="286"/>
      <c r="BN1178" s="286"/>
      <c r="BO1178" s="289"/>
    </row>
    <row r="1179" spans="2:67" s="339" customFormat="1">
      <c r="D1179" s="330"/>
      <c r="E1179" s="326"/>
      <c r="F1179" s="326"/>
      <c r="G1179" s="287"/>
      <c r="H1179" s="284"/>
      <c r="I1179" s="288"/>
      <c r="J1179" s="286"/>
      <c r="K1179" s="286"/>
      <c r="L1179" s="289"/>
      <c r="M1179" s="290"/>
      <c r="N1179" s="288"/>
      <c r="O1179" s="286"/>
      <c r="P1179" s="286"/>
      <c r="Q1179" s="287"/>
      <c r="S1179" s="288"/>
      <c r="T1179" s="286"/>
      <c r="U1179" s="286"/>
      <c r="V1179" s="287"/>
      <c r="X1179" s="288"/>
      <c r="Y1179" s="286"/>
      <c r="Z1179" s="286"/>
      <c r="AA1179" s="287"/>
      <c r="AC1179" s="288"/>
      <c r="AD1179" s="286"/>
      <c r="AE1179" s="286"/>
      <c r="AF1179" s="287"/>
      <c r="AH1179" s="288"/>
      <c r="AI1179" s="286"/>
      <c r="AJ1179" s="286"/>
      <c r="AK1179" s="287"/>
      <c r="AM1179" s="288"/>
      <c r="AN1179" s="286"/>
      <c r="AO1179" s="286"/>
      <c r="AP1179" s="287"/>
      <c r="AR1179" s="288"/>
      <c r="AS1179" s="286"/>
      <c r="AT1179" s="286"/>
      <c r="AU1179" s="287"/>
      <c r="AW1179" s="288"/>
      <c r="AX1179" s="286"/>
      <c r="AY1179" s="286"/>
      <c r="AZ1179" s="287"/>
      <c r="BB1179" s="288"/>
      <c r="BC1179" s="286"/>
      <c r="BD1179" s="286"/>
      <c r="BE1179" s="287"/>
      <c r="BG1179" s="288"/>
      <c r="BH1179" s="286"/>
      <c r="BI1179" s="286"/>
      <c r="BJ1179" s="287"/>
      <c r="BL1179" s="288"/>
      <c r="BM1179" s="286"/>
      <c r="BN1179" s="286"/>
      <c r="BO1179" s="289"/>
    </row>
    <row r="1180" spans="2:67" s="339" customFormat="1">
      <c r="B1180" s="365" t="s">
        <v>407</v>
      </c>
      <c r="C1180" s="339" t="s">
        <v>390</v>
      </c>
      <c r="D1180" s="330">
        <f>G1123</f>
        <v>28958.145076536817</v>
      </c>
      <c r="E1180" s="326">
        <f>H1123</f>
        <v>15765.600000000002</v>
      </c>
      <c r="F1180" s="326">
        <f>E1180-D1180</f>
        <v>-13192.545076536815</v>
      </c>
      <c r="G1180" s="287"/>
      <c r="H1180" s="284"/>
      <c r="I1180" s="288"/>
      <c r="J1180" s="286"/>
      <c r="K1180" s="286"/>
      <c r="L1180" s="289"/>
      <c r="M1180" s="290"/>
      <c r="N1180" s="288"/>
      <c r="O1180" s="286"/>
      <c r="P1180" s="286"/>
      <c r="Q1180" s="287"/>
      <c r="S1180" s="288"/>
      <c r="T1180" s="286"/>
      <c r="U1180" s="286"/>
      <c r="V1180" s="287"/>
      <c r="X1180" s="288"/>
      <c r="Y1180" s="286"/>
      <c r="Z1180" s="286"/>
      <c r="AA1180" s="287"/>
      <c r="AC1180" s="288"/>
      <c r="AD1180" s="286"/>
      <c r="AE1180" s="286"/>
      <c r="AF1180" s="287"/>
      <c r="AH1180" s="288"/>
      <c r="AI1180" s="286"/>
      <c r="AJ1180" s="286"/>
      <c r="AK1180" s="287"/>
      <c r="AM1180" s="288"/>
      <c r="AN1180" s="286"/>
      <c r="AO1180" s="286"/>
      <c r="AP1180" s="287"/>
      <c r="AR1180" s="288"/>
      <c r="AS1180" s="286"/>
      <c r="AT1180" s="286"/>
      <c r="AU1180" s="287"/>
      <c r="AW1180" s="288"/>
      <c r="AX1180" s="286"/>
      <c r="AY1180" s="286"/>
      <c r="AZ1180" s="287"/>
      <c r="BB1180" s="288"/>
      <c r="BC1180" s="286"/>
      <c r="BD1180" s="286"/>
      <c r="BE1180" s="287"/>
      <c r="BG1180" s="288"/>
      <c r="BH1180" s="286"/>
      <c r="BI1180" s="286"/>
      <c r="BJ1180" s="287"/>
      <c r="BL1180" s="288"/>
      <c r="BM1180" s="286"/>
      <c r="BN1180" s="286"/>
      <c r="BO1180" s="289"/>
    </row>
    <row r="1181" spans="2:67" s="339" customFormat="1">
      <c r="B1181" s="339" t="s">
        <v>396</v>
      </c>
      <c r="D1181" s="330"/>
      <c r="E1181" s="326"/>
      <c r="F1181" s="326"/>
      <c r="G1181" s="287"/>
      <c r="H1181" s="284"/>
      <c r="I1181" s="288"/>
      <c r="J1181" s="286"/>
      <c r="K1181" s="286"/>
      <c r="L1181" s="289"/>
      <c r="M1181" s="290"/>
      <c r="N1181" s="288"/>
      <c r="O1181" s="286"/>
      <c r="P1181" s="286"/>
      <c r="Q1181" s="287"/>
      <c r="S1181" s="288"/>
      <c r="T1181" s="286"/>
      <c r="U1181" s="286"/>
      <c r="V1181" s="287"/>
      <c r="X1181" s="288"/>
      <c r="Y1181" s="286"/>
      <c r="Z1181" s="286"/>
      <c r="AA1181" s="287"/>
      <c r="AC1181" s="288"/>
      <c r="AD1181" s="286"/>
      <c r="AE1181" s="286"/>
      <c r="AF1181" s="287"/>
      <c r="AH1181" s="288"/>
      <c r="AI1181" s="286"/>
      <c r="AJ1181" s="286"/>
      <c r="AK1181" s="287"/>
      <c r="AM1181" s="288"/>
      <c r="AN1181" s="286"/>
      <c r="AO1181" s="286"/>
      <c r="AP1181" s="287"/>
      <c r="AR1181" s="288"/>
      <c r="AS1181" s="286"/>
      <c r="AT1181" s="286"/>
      <c r="AU1181" s="287"/>
      <c r="AW1181" s="288"/>
      <c r="AX1181" s="286"/>
      <c r="AY1181" s="286"/>
      <c r="AZ1181" s="287"/>
      <c r="BB1181" s="288"/>
      <c r="BC1181" s="286"/>
      <c r="BD1181" s="286"/>
      <c r="BE1181" s="287"/>
      <c r="BG1181" s="288"/>
      <c r="BH1181" s="286"/>
      <c r="BI1181" s="286"/>
      <c r="BJ1181" s="287"/>
      <c r="BL1181" s="288"/>
      <c r="BM1181" s="286"/>
      <c r="BN1181" s="286"/>
      <c r="BO1181" s="289"/>
    </row>
    <row r="1182" spans="2:67" s="339" customFormat="1">
      <c r="B1182" s="339" t="s">
        <v>408</v>
      </c>
      <c r="D1182" s="330">
        <f>SUM(D1174:D1180)</f>
        <v>112447.81442752881</v>
      </c>
      <c r="E1182" s="326">
        <f>SUM(E1174:E1180)</f>
        <v>69536.986666666664</v>
      </c>
      <c r="F1182" s="326">
        <f>E1182-D1182</f>
        <v>-42910.827760862143</v>
      </c>
      <c r="G1182" s="287"/>
      <c r="H1182" s="284"/>
      <c r="I1182" s="288"/>
      <c r="J1182" s="286"/>
      <c r="K1182" s="286"/>
      <c r="L1182" s="289"/>
      <c r="M1182" s="290"/>
      <c r="N1182" s="288"/>
      <c r="O1182" s="286"/>
      <c r="P1182" s="286"/>
      <c r="Q1182" s="287"/>
      <c r="S1182" s="288"/>
      <c r="T1182" s="286"/>
      <c r="U1182" s="286"/>
      <c r="V1182" s="287"/>
      <c r="X1182" s="288"/>
      <c r="Y1182" s="286"/>
      <c r="Z1182" s="286"/>
      <c r="AA1182" s="287"/>
      <c r="AC1182" s="288"/>
      <c r="AD1182" s="286"/>
      <c r="AE1182" s="286"/>
      <c r="AF1182" s="287"/>
      <c r="AH1182" s="288"/>
      <c r="AI1182" s="286"/>
      <c r="AJ1182" s="286"/>
      <c r="AK1182" s="287"/>
      <c r="AM1182" s="288"/>
      <c r="AN1182" s="286"/>
      <c r="AO1182" s="286"/>
      <c r="AP1182" s="287"/>
      <c r="AR1182" s="288"/>
      <c r="AS1182" s="286"/>
      <c r="AT1182" s="286"/>
      <c r="AU1182" s="287"/>
      <c r="AW1182" s="288"/>
      <c r="AX1182" s="286"/>
      <c r="AY1182" s="286"/>
      <c r="AZ1182" s="287"/>
      <c r="BB1182" s="288"/>
      <c r="BC1182" s="286"/>
      <c r="BD1182" s="286"/>
      <c r="BE1182" s="287"/>
      <c r="BG1182" s="288"/>
      <c r="BH1182" s="286"/>
      <c r="BI1182" s="286"/>
      <c r="BJ1182" s="287"/>
      <c r="BL1182" s="288"/>
      <c r="BM1182" s="286"/>
      <c r="BN1182" s="286"/>
      <c r="BO1182" s="289"/>
    </row>
    <row r="1183" spans="2:67" s="339" customFormat="1">
      <c r="B1183" s="339" t="s">
        <v>396</v>
      </c>
      <c r="D1183" s="330"/>
      <c r="E1183" s="326"/>
      <c r="F1183" s="326"/>
      <c r="G1183" s="287"/>
      <c r="H1183" s="284"/>
      <c r="I1183" s="288"/>
      <c r="J1183" s="286"/>
      <c r="K1183" s="286"/>
      <c r="L1183" s="289"/>
      <c r="M1183" s="290"/>
      <c r="N1183" s="288"/>
      <c r="O1183" s="286"/>
      <c r="P1183" s="286"/>
      <c r="Q1183" s="287"/>
      <c r="S1183" s="288"/>
      <c r="T1183" s="286"/>
      <c r="U1183" s="286"/>
      <c r="V1183" s="287"/>
      <c r="X1183" s="288"/>
      <c r="Y1183" s="286"/>
      <c r="Z1183" s="286"/>
      <c r="AA1183" s="287"/>
      <c r="AC1183" s="288"/>
      <c r="AD1183" s="286"/>
      <c r="AE1183" s="286"/>
      <c r="AF1183" s="287"/>
      <c r="AH1183" s="288"/>
      <c r="AI1183" s="286"/>
      <c r="AJ1183" s="286"/>
      <c r="AK1183" s="287"/>
      <c r="AM1183" s="288"/>
      <c r="AN1183" s="286"/>
      <c r="AO1183" s="286"/>
      <c r="AP1183" s="287"/>
      <c r="AR1183" s="288"/>
      <c r="AS1183" s="286"/>
      <c r="AT1183" s="286"/>
      <c r="AU1183" s="287"/>
      <c r="AW1183" s="288"/>
      <c r="AX1183" s="286"/>
      <c r="AY1183" s="286"/>
      <c r="AZ1183" s="287"/>
      <c r="BB1183" s="288"/>
      <c r="BC1183" s="286"/>
      <c r="BD1183" s="286"/>
      <c r="BE1183" s="287"/>
      <c r="BG1183" s="288"/>
      <c r="BH1183" s="286"/>
      <c r="BI1183" s="286"/>
      <c r="BJ1183" s="287"/>
      <c r="BL1183" s="288"/>
      <c r="BM1183" s="286"/>
      <c r="BN1183" s="286"/>
      <c r="BO1183" s="289"/>
    </row>
    <row r="1184" spans="2:67" s="339" customFormat="1">
      <c r="D1184" s="330"/>
      <c r="E1184" s="326"/>
      <c r="F1184" s="326"/>
      <c r="G1184" s="287"/>
      <c r="H1184" s="284"/>
      <c r="I1184" s="288"/>
      <c r="J1184" s="286"/>
      <c r="K1184" s="286"/>
      <c r="L1184" s="289"/>
      <c r="M1184" s="290"/>
      <c r="N1184" s="288"/>
      <c r="O1184" s="286"/>
      <c r="P1184" s="286"/>
      <c r="Q1184" s="287"/>
      <c r="S1184" s="288"/>
      <c r="T1184" s="286"/>
      <c r="U1184" s="286"/>
      <c r="V1184" s="287"/>
      <c r="X1184" s="288"/>
      <c r="Y1184" s="286"/>
      <c r="Z1184" s="286"/>
      <c r="AA1184" s="287"/>
      <c r="AC1184" s="288"/>
      <c r="AD1184" s="286"/>
      <c r="AE1184" s="286"/>
      <c r="AF1184" s="287"/>
      <c r="AH1184" s="288"/>
      <c r="AI1184" s="286"/>
      <c r="AJ1184" s="286"/>
      <c r="AK1184" s="287"/>
      <c r="AM1184" s="288"/>
      <c r="AN1184" s="286"/>
      <c r="AO1184" s="286"/>
      <c r="AP1184" s="287"/>
      <c r="AR1184" s="288"/>
      <c r="AS1184" s="286"/>
      <c r="AT1184" s="286"/>
      <c r="AU1184" s="287"/>
      <c r="AW1184" s="288"/>
      <c r="AX1184" s="286"/>
      <c r="AY1184" s="286"/>
      <c r="AZ1184" s="287"/>
      <c r="BB1184" s="288"/>
      <c r="BC1184" s="286"/>
      <c r="BD1184" s="286"/>
      <c r="BE1184" s="287"/>
      <c r="BG1184" s="288"/>
      <c r="BH1184" s="286"/>
      <c r="BI1184" s="286"/>
      <c r="BJ1184" s="287"/>
      <c r="BL1184" s="288"/>
      <c r="BM1184" s="286"/>
      <c r="BN1184" s="286"/>
      <c r="BO1184" s="289"/>
    </row>
    <row r="1185" spans="2:67" s="339" customFormat="1">
      <c r="B1185" s="339" t="s">
        <v>409</v>
      </c>
      <c r="D1185" s="330"/>
      <c r="E1185" s="326"/>
      <c r="F1185" s="326"/>
      <c r="G1185" s="287"/>
      <c r="H1185" s="284"/>
      <c r="I1185" s="288"/>
      <c r="J1185" s="286"/>
      <c r="K1185" s="286"/>
      <c r="L1185" s="289"/>
      <c r="M1185" s="290"/>
      <c r="N1185" s="288"/>
      <c r="O1185" s="286"/>
      <c r="P1185" s="286"/>
      <c r="Q1185" s="287"/>
      <c r="S1185" s="288"/>
      <c r="T1185" s="286"/>
      <c r="U1185" s="286"/>
      <c r="V1185" s="287"/>
      <c r="X1185" s="288"/>
      <c r="Y1185" s="286"/>
      <c r="Z1185" s="286"/>
      <c r="AA1185" s="287"/>
      <c r="AC1185" s="288"/>
      <c r="AD1185" s="286"/>
      <c r="AE1185" s="286"/>
      <c r="AF1185" s="287"/>
      <c r="AH1185" s="288"/>
      <c r="AI1185" s="286"/>
      <c r="AJ1185" s="286"/>
      <c r="AK1185" s="287"/>
      <c r="AM1185" s="288"/>
      <c r="AN1185" s="286"/>
      <c r="AO1185" s="286"/>
      <c r="AP1185" s="287"/>
      <c r="AR1185" s="288"/>
      <c r="AS1185" s="286"/>
      <c r="AT1185" s="286"/>
      <c r="AU1185" s="287"/>
      <c r="AW1185" s="288"/>
      <c r="AX1185" s="286"/>
      <c r="AY1185" s="286"/>
      <c r="AZ1185" s="287"/>
      <c r="BB1185" s="288"/>
      <c r="BC1185" s="286"/>
      <c r="BD1185" s="286"/>
      <c r="BE1185" s="287"/>
      <c r="BG1185" s="288"/>
      <c r="BH1185" s="286"/>
      <c r="BI1185" s="286"/>
      <c r="BJ1185" s="287"/>
      <c r="BL1185" s="288"/>
      <c r="BM1185" s="286"/>
      <c r="BN1185" s="286"/>
      <c r="BO1185" s="289"/>
    </row>
    <row r="1186" spans="2:67" s="339" customFormat="1">
      <c r="B1186" s="365" t="s">
        <v>410</v>
      </c>
      <c r="C1186" s="339" t="s">
        <v>395</v>
      </c>
      <c r="D1186" s="330">
        <f>G1116</f>
        <v>37507.373994507689</v>
      </c>
      <c r="E1186" s="326">
        <f>H1116</f>
        <v>38596.756666666668</v>
      </c>
      <c r="F1186" s="326">
        <f>E1186-D1186</f>
        <v>1089.3826721589794</v>
      </c>
      <c r="G1186" s="287"/>
      <c r="H1186" s="284"/>
      <c r="I1186" s="288"/>
      <c r="J1186" s="286"/>
      <c r="K1186" s="286"/>
      <c r="L1186" s="289"/>
      <c r="M1186" s="290"/>
      <c r="N1186" s="288"/>
      <c r="O1186" s="286"/>
      <c r="P1186" s="286"/>
      <c r="Q1186" s="287"/>
      <c r="S1186" s="288"/>
      <c r="T1186" s="286"/>
      <c r="U1186" s="286"/>
      <c r="V1186" s="287"/>
      <c r="X1186" s="288"/>
      <c r="Y1186" s="286"/>
      <c r="Z1186" s="286"/>
      <c r="AA1186" s="287"/>
      <c r="AC1186" s="288"/>
      <c r="AD1186" s="286"/>
      <c r="AE1186" s="286"/>
      <c r="AF1186" s="287"/>
      <c r="AH1186" s="288"/>
      <c r="AI1186" s="286"/>
      <c r="AJ1186" s="286"/>
      <c r="AK1186" s="287"/>
      <c r="AM1186" s="288"/>
      <c r="AN1186" s="286"/>
      <c r="AO1186" s="286"/>
      <c r="AP1186" s="287"/>
      <c r="AR1186" s="288"/>
      <c r="AS1186" s="286"/>
      <c r="AT1186" s="286"/>
      <c r="AU1186" s="287"/>
      <c r="AW1186" s="288"/>
      <c r="AX1186" s="286"/>
      <c r="AY1186" s="286"/>
      <c r="AZ1186" s="287"/>
      <c r="BB1186" s="288"/>
      <c r="BC1186" s="286"/>
      <c r="BD1186" s="286"/>
      <c r="BE1186" s="287"/>
      <c r="BG1186" s="288"/>
      <c r="BH1186" s="286"/>
      <c r="BI1186" s="286"/>
      <c r="BJ1186" s="287"/>
      <c r="BL1186" s="288"/>
      <c r="BM1186" s="286"/>
      <c r="BN1186" s="286"/>
      <c r="BO1186" s="289"/>
    </row>
    <row r="1187" spans="2:67" s="339" customFormat="1">
      <c r="B1187" s="339" t="s">
        <v>396</v>
      </c>
      <c r="D1187" s="330"/>
      <c r="E1187" s="326"/>
      <c r="F1187" s="326"/>
      <c r="G1187" s="287"/>
      <c r="H1187" s="284"/>
      <c r="I1187" s="288"/>
      <c r="J1187" s="286"/>
      <c r="K1187" s="286"/>
      <c r="L1187" s="289"/>
      <c r="M1187" s="290"/>
      <c r="N1187" s="288"/>
      <c r="O1187" s="286"/>
      <c r="P1187" s="286"/>
      <c r="Q1187" s="287"/>
      <c r="S1187" s="288"/>
      <c r="T1187" s="286"/>
      <c r="U1187" s="286"/>
      <c r="V1187" s="287"/>
      <c r="X1187" s="288"/>
      <c r="Y1187" s="286"/>
      <c r="Z1187" s="286"/>
      <c r="AA1187" s="287"/>
      <c r="AC1187" s="288"/>
      <c r="AD1187" s="286"/>
      <c r="AE1187" s="286"/>
      <c r="AF1187" s="287"/>
      <c r="AH1187" s="288"/>
      <c r="AI1187" s="286"/>
      <c r="AJ1187" s="286"/>
      <c r="AK1187" s="287"/>
      <c r="AM1187" s="288"/>
      <c r="AN1187" s="286"/>
      <c r="AO1187" s="286"/>
      <c r="AP1187" s="287"/>
      <c r="AR1187" s="288"/>
      <c r="AS1187" s="286"/>
      <c r="AT1187" s="286"/>
      <c r="AU1187" s="287"/>
      <c r="AW1187" s="288"/>
      <c r="AX1187" s="286"/>
      <c r="AY1187" s="286"/>
      <c r="AZ1187" s="287"/>
      <c r="BB1187" s="288"/>
      <c r="BC1187" s="286"/>
      <c r="BD1187" s="286"/>
      <c r="BE1187" s="287"/>
      <c r="BG1187" s="288"/>
      <c r="BH1187" s="286"/>
      <c r="BI1187" s="286"/>
      <c r="BJ1187" s="287"/>
      <c r="BL1187" s="288"/>
      <c r="BM1187" s="286"/>
      <c r="BN1187" s="286"/>
      <c r="BO1187" s="289"/>
    </row>
    <row r="1188" spans="2:67" s="339" customFormat="1">
      <c r="B1188" s="339" t="s">
        <v>411</v>
      </c>
      <c r="D1188" s="330">
        <f>D1186</f>
        <v>37507.373994507689</v>
      </c>
      <c r="E1188" s="326">
        <f>E1186</f>
        <v>38596.756666666668</v>
      </c>
      <c r="F1188" s="326">
        <f>E1188-D1188</f>
        <v>1089.3826721589794</v>
      </c>
      <c r="G1188" s="287"/>
      <c r="H1188" s="284"/>
      <c r="I1188" s="288"/>
      <c r="J1188" s="286"/>
      <c r="K1188" s="286"/>
      <c r="L1188" s="289"/>
      <c r="M1188" s="290"/>
      <c r="N1188" s="288"/>
      <c r="O1188" s="286"/>
      <c r="P1188" s="286"/>
      <c r="Q1188" s="287"/>
      <c r="S1188" s="288"/>
      <c r="T1188" s="286"/>
      <c r="U1188" s="286"/>
      <c r="V1188" s="287"/>
      <c r="X1188" s="288"/>
      <c r="Y1188" s="286"/>
      <c r="Z1188" s="286"/>
      <c r="AA1188" s="287"/>
      <c r="AC1188" s="288"/>
      <c r="AD1188" s="286"/>
      <c r="AE1188" s="286"/>
      <c r="AF1188" s="287"/>
      <c r="AH1188" s="288"/>
      <c r="AI1188" s="286"/>
      <c r="AJ1188" s="286"/>
      <c r="AK1188" s="287"/>
      <c r="AM1188" s="288"/>
      <c r="AN1188" s="286"/>
      <c r="AO1188" s="286"/>
      <c r="AP1188" s="287"/>
      <c r="AR1188" s="288"/>
      <c r="AS1188" s="286"/>
      <c r="AT1188" s="286"/>
      <c r="AU1188" s="287"/>
      <c r="AW1188" s="288"/>
      <c r="AX1188" s="286"/>
      <c r="AY1188" s="286"/>
      <c r="AZ1188" s="287"/>
      <c r="BB1188" s="288"/>
      <c r="BC1188" s="286"/>
      <c r="BD1188" s="286"/>
      <c r="BE1188" s="287"/>
      <c r="BG1188" s="288"/>
      <c r="BH1188" s="286"/>
      <c r="BI1188" s="286"/>
      <c r="BJ1188" s="287"/>
      <c r="BL1188" s="288"/>
      <c r="BM1188" s="286"/>
      <c r="BN1188" s="286"/>
      <c r="BO1188" s="289"/>
    </row>
    <row r="1189" spans="2:67" s="339" customFormat="1">
      <c r="B1189" s="339" t="s">
        <v>396</v>
      </c>
      <c r="D1189" s="330"/>
      <c r="E1189" s="326"/>
      <c r="F1189" s="326"/>
      <c r="G1189" s="287"/>
      <c r="H1189" s="284"/>
      <c r="I1189" s="288"/>
      <c r="J1189" s="286"/>
      <c r="K1189" s="286"/>
      <c r="L1189" s="289"/>
      <c r="M1189" s="290"/>
      <c r="N1189" s="288"/>
      <c r="O1189" s="286"/>
      <c r="P1189" s="286"/>
      <c r="Q1189" s="287"/>
      <c r="S1189" s="288"/>
      <c r="T1189" s="286"/>
      <c r="U1189" s="286"/>
      <c r="V1189" s="287"/>
      <c r="X1189" s="288"/>
      <c r="Y1189" s="286"/>
      <c r="Z1189" s="286"/>
      <c r="AA1189" s="287"/>
      <c r="AC1189" s="288"/>
      <c r="AD1189" s="286"/>
      <c r="AE1189" s="286"/>
      <c r="AF1189" s="287"/>
      <c r="AH1189" s="288"/>
      <c r="AI1189" s="286"/>
      <c r="AJ1189" s="286"/>
      <c r="AK1189" s="287"/>
      <c r="AM1189" s="288"/>
      <c r="AN1189" s="286"/>
      <c r="AO1189" s="286"/>
      <c r="AP1189" s="287"/>
      <c r="AR1189" s="288"/>
      <c r="AS1189" s="286"/>
      <c r="AT1189" s="286"/>
      <c r="AU1189" s="287"/>
      <c r="AW1189" s="288"/>
      <c r="AX1189" s="286"/>
      <c r="AY1189" s="286"/>
      <c r="AZ1189" s="287"/>
      <c r="BB1189" s="288"/>
      <c r="BC1189" s="286"/>
      <c r="BD1189" s="286"/>
      <c r="BE1189" s="287"/>
      <c r="BG1189" s="288"/>
      <c r="BH1189" s="286"/>
      <c r="BI1189" s="286"/>
      <c r="BJ1189" s="287"/>
      <c r="BL1189" s="288"/>
      <c r="BM1189" s="286"/>
      <c r="BN1189" s="286"/>
      <c r="BO1189" s="289"/>
    </row>
    <row r="1190" spans="2:67" s="339" customFormat="1">
      <c r="B1190" s="339" t="s">
        <v>457</v>
      </c>
      <c r="C1190" s="339" t="s">
        <v>402</v>
      </c>
      <c r="D1190" s="330">
        <f>G1127</f>
        <v>2452.5699999999997</v>
      </c>
      <c r="E1190" s="326">
        <f>H1127</f>
        <v>2452.5699999999997</v>
      </c>
      <c r="F1190" s="326">
        <f>E1190-D1190</f>
        <v>0</v>
      </c>
      <c r="G1190" s="287"/>
      <c r="H1190" s="284"/>
      <c r="I1190" s="288"/>
      <c r="J1190" s="286"/>
      <c r="K1190" s="286"/>
      <c r="L1190" s="289"/>
      <c r="M1190" s="290"/>
      <c r="N1190" s="288"/>
      <c r="O1190" s="286"/>
      <c r="P1190" s="286"/>
      <c r="Q1190" s="287"/>
      <c r="S1190" s="288"/>
      <c r="T1190" s="286"/>
      <c r="U1190" s="286"/>
      <c r="V1190" s="287"/>
      <c r="X1190" s="288"/>
      <c r="Y1190" s="286"/>
      <c r="Z1190" s="286"/>
      <c r="AA1190" s="287"/>
      <c r="AC1190" s="288"/>
      <c r="AD1190" s="286"/>
      <c r="AE1190" s="286"/>
      <c r="AF1190" s="287"/>
      <c r="AH1190" s="288"/>
      <c r="AI1190" s="286"/>
      <c r="AJ1190" s="286"/>
      <c r="AK1190" s="287"/>
      <c r="AM1190" s="288"/>
      <c r="AN1190" s="286"/>
      <c r="AO1190" s="286"/>
      <c r="AP1190" s="287"/>
      <c r="AR1190" s="288"/>
      <c r="AS1190" s="286"/>
      <c r="AT1190" s="286"/>
      <c r="AU1190" s="287"/>
      <c r="AW1190" s="288"/>
      <c r="AX1190" s="286"/>
      <c r="AY1190" s="286"/>
      <c r="AZ1190" s="287"/>
      <c r="BB1190" s="288"/>
      <c r="BC1190" s="286"/>
      <c r="BD1190" s="286"/>
      <c r="BE1190" s="287"/>
      <c r="BG1190" s="288"/>
      <c r="BH1190" s="286"/>
      <c r="BI1190" s="286"/>
      <c r="BJ1190" s="287"/>
      <c r="BL1190" s="288"/>
      <c r="BM1190" s="286"/>
      <c r="BN1190" s="286"/>
      <c r="BO1190" s="289"/>
    </row>
    <row r="1191" spans="2:67" s="339" customFormat="1">
      <c r="B1191" s="339" t="s">
        <v>396</v>
      </c>
      <c r="D1191" s="330"/>
      <c r="E1191" s="326"/>
      <c r="F1191" s="326"/>
      <c r="G1191" s="287"/>
      <c r="H1191" s="284"/>
      <c r="I1191" s="288"/>
      <c r="J1191" s="286"/>
      <c r="K1191" s="286"/>
      <c r="L1191" s="289"/>
      <c r="M1191" s="290"/>
      <c r="N1191" s="288"/>
      <c r="O1191" s="286"/>
      <c r="P1191" s="286"/>
      <c r="Q1191" s="287"/>
      <c r="S1191" s="288"/>
      <c r="T1191" s="286"/>
      <c r="U1191" s="286"/>
      <c r="V1191" s="287"/>
      <c r="X1191" s="288"/>
      <c r="Y1191" s="286"/>
      <c r="Z1191" s="286"/>
      <c r="AA1191" s="287"/>
      <c r="AC1191" s="288"/>
      <c r="AD1191" s="286"/>
      <c r="AE1191" s="286"/>
      <c r="AF1191" s="287"/>
      <c r="AH1191" s="288"/>
      <c r="AI1191" s="286"/>
      <c r="AJ1191" s="286"/>
      <c r="AK1191" s="287"/>
      <c r="AM1191" s="288"/>
      <c r="AN1191" s="286"/>
      <c r="AO1191" s="286"/>
      <c r="AP1191" s="287"/>
      <c r="AR1191" s="288"/>
      <c r="AS1191" s="286"/>
      <c r="AT1191" s="286"/>
      <c r="AU1191" s="287"/>
      <c r="AW1191" s="288"/>
      <c r="AX1191" s="286"/>
      <c r="AY1191" s="286"/>
      <c r="AZ1191" s="287"/>
      <c r="BB1191" s="288"/>
      <c r="BC1191" s="286"/>
      <c r="BD1191" s="286"/>
      <c r="BE1191" s="287"/>
      <c r="BG1191" s="288"/>
      <c r="BH1191" s="286"/>
      <c r="BI1191" s="286"/>
      <c r="BJ1191" s="287"/>
      <c r="BL1191" s="288"/>
      <c r="BM1191" s="286"/>
      <c r="BN1191" s="286"/>
      <c r="BO1191" s="289"/>
    </row>
    <row r="1192" spans="2:67" s="339" customFormat="1">
      <c r="B1192" s="339" t="s">
        <v>413</v>
      </c>
      <c r="D1192" s="330">
        <f>G1128</f>
        <v>1522.47</v>
      </c>
      <c r="E1192" s="326">
        <f>H1128</f>
        <v>1522.47</v>
      </c>
      <c r="F1192" s="326">
        <f>E1192-D1192</f>
        <v>0</v>
      </c>
      <c r="G1192" s="287"/>
      <c r="H1192" s="284"/>
      <c r="I1192" s="288"/>
      <c r="J1192" s="286"/>
      <c r="K1192" s="286"/>
      <c r="L1192" s="289"/>
      <c r="M1192" s="290"/>
      <c r="N1192" s="288"/>
      <c r="O1192" s="286"/>
      <c r="P1192" s="286"/>
      <c r="Q1192" s="287"/>
      <c r="S1192" s="288"/>
      <c r="T1192" s="286"/>
      <c r="U1192" s="286"/>
      <c r="V1192" s="287"/>
      <c r="X1192" s="288"/>
      <c r="Y1192" s="286"/>
      <c r="Z1192" s="286"/>
      <c r="AA1192" s="287"/>
      <c r="AC1192" s="288"/>
      <c r="AD1192" s="286"/>
      <c r="AE1192" s="286"/>
      <c r="AF1192" s="287"/>
      <c r="AH1192" s="288"/>
      <c r="AI1192" s="286"/>
      <c r="AJ1192" s="286"/>
      <c r="AK1192" s="287"/>
      <c r="AM1192" s="288"/>
      <c r="AN1192" s="286"/>
      <c r="AO1192" s="286"/>
      <c r="AP1192" s="287"/>
      <c r="AR1192" s="288"/>
      <c r="AS1192" s="286"/>
      <c r="AT1192" s="286"/>
      <c r="AU1192" s="287"/>
      <c r="AW1192" s="288"/>
      <c r="AX1192" s="286"/>
      <c r="AY1192" s="286"/>
      <c r="AZ1192" s="287"/>
      <c r="BB1192" s="288"/>
      <c r="BC1192" s="286"/>
      <c r="BD1192" s="286"/>
      <c r="BE1192" s="287"/>
      <c r="BG1192" s="288"/>
      <c r="BH1192" s="286"/>
      <c r="BI1192" s="286"/>
      <c r="BJ1192" s="287"/>
      <c r="BL1192" s="288"/>
      <c r="BM1192" s="286"/>
      <c r="BN1192" s="286"/>
      <c r="BO1192" s="289"/>
    </row>
    <row r="1193" spans="2:67" s="339" customFormat="1">
      <c r="B1193" s="339" t="s">
        <v>396</v>
      </c>
      <c r="D1193" s="330"/>
      <c r="E1193" s="326"/>
      <c r="F1193" s="326"/>
      <c r="G1193" s="287"/>
      <c r="H1193" s="284"/>
      <c r="I1193" s="288"/>
      <c r="J1193" s="286"/>
      <c r="K1193" s="286"/>
      <c r="L1193" s="289"/>
      <c r="M1193" s="290"/>
      <c r="N1193" s="288"/>
      <c r="O1193" s="286"/>
      <c r="P1193" s="286"/>
      <c r="Q1193" s="287"/>
      <c r="S1193" s="288"/>
      <c r="T1193" s="286"/>
      <c r="U1193" s="286"/>
      <c r="V1193" s="287"/>
      <c r="X1193" s="288"/>
      <c r="Y1193" s="286"/>
      <c r="Z1193" s="286"/>
      <c r="AA1193" s="287"/>
      <c r="AC1193" s="288"/>
      <c r="AD1193" s="286"/>
      <c r="AE1193" s="286"/>
      <c r="AF1193" s="287"/>
      <c r="AH1193" s="288"/>
      <c r="AI1193" s="286"/>
      <c r="AJ1193" s="286"/>
      <c r="AK1193" s="287"/>
      <c r="AM1193" s="288"/>
      <c r="AN1193" s="286"/>
      <c r="AO1193" s="286"/>
      <c r="AP1193" s="287"/>
      <c r="AR1193" s="288"/>
      <c r="AS1193" s="286"/>
      <c r="AT1193" s="286"/>
      <c r="AU1193" s="287"/>
      <c r="AW1193" s="288"/>
      <c r="AX1193" s="286"/>
      <c r="AY1193" s="286"/>
      <c r="AZ1193" s="287"/>
      <c r="BB1193" s="288"/>
      <c r="BC1193" s="286"/>
      <c r="BD1193" s="286"/>
      <c r="BE1193" s="287"/>
      <c r="BG1193" s="288"/>
      <c r="BH1193" s="286"/>
      <c r="BI1193" s="286"/>
      <c r="BJ1193" s="287"/>
      <c r="BL1193" s="288"/>
      <c r="BM1193" s="286"/>
      <c r="BN1193" s="286"/>
      <c r="BO1193" s="289"/>
    </row>
    <row r="1194" spans="2:67" s="339" customFormat="1">
      <c r="B1194" s="339" t="s">
        <v>461</v>
      </c>
      <c r="C1194" s="339" t="s">
        <v>402</v>
      </c>
      <c r="D1194" s="330">
        <f>G1117</f>
        <v>9120.6107315040845</v>
      </c>
      <c r="E1194" s="326">
        <f>H1117</f>
        <v>4002.2233333333334</v>
      </c>
      <c r="F1194" s="326">
        <f>E1194-D1194</f>
        <v>-5118.3873981707511</v>
      </c>
      <c r="G1194" s="287"/>
      <c r="H1194" s="284"/>
      <c r="I1194" s="288"/>
      <c r="J1194" s="286"/>
      <c r="K1194" s="286"/>
      <c r="L1194" s="289"/>
      <c r="M1194" s="290"/>
      <c r="N1194" s="288"/>
      <c r="O1194" s="286"/>
      <c r="P1194" s="286"/>
      <c r="Q1194" s="287"/>
      <c r="S1194" s="288"/>
      <c r="T1194" s="286"/>
      <c r="U1194" s="286"/>
      <c r="V1194" s="287"/>
      <c r="X1194" s="288"/>
      <c r="Y1194" s="286"/>
      <c r="Z1194" s="286"/>
      <c r="AA1194" s="287"/>
      <c r="AC1194" s="288"/>
      <c r="AD1194" s="286"/>
      <c r="AE1194" s="286"/>
      <c r="AF1194" s="287"/>
      <c r="AH1194" s="288"/>
      <c r="AI1194" s="286"/>
      <c r="AJ1194" s="286"/>
      <c r="AK1194" s="287"/>
      <c r="AM1194" s="288"/>
      <c r="AN1194" s="286"/>
      <c r="AO1194" s="286"/>
      <c r="AP1194" s="287"/>
      <c r="AR1194" s="288"/>
      <c r="AS1194" s="286"/>
      <c r="AT1194" s="286"/>
      <c r="AU1194" s="287"/>
      <c r="AW1194" s="288"/>
      <c r="AX1194" s="286"/>
      <c r="AY1194" s="286"/>
      <c r="AZ1194" s="287"/>
      <c r="BB1194" s="288"/>
      <c r="BC1194" s="286"/>
      <c r="BD1194" s="286"/>
      <c r="BE1194" s="287"/>
      <c r="BG1194" s="288"/>
      <c r="BH1194" s="286"/>
      <c r="BI1194" s="286"/>
      <c r="BJ1194" s="287"/>
      <c r="BL1194" s="288"/>
      <c r="BM1194" s="286"/>
      <c r="BN1194" s="286"/>
      <c r="BO1194" s="289"/>
    </row>
    <row r="1195" spans="2:67" s="339" customFormat="1">
      <c r="B1195" s="365" t="s">
        <v>416</v>
      </c>
      <c r="C1195" s="339" t="s">
        <v>402</v>
      </c>
      <c r="D1195" s="330">
        <f>G1118</f>
        <v>8908.8296000000009</v>
      </c>
      <c r="E1195" s="326">
        <f>H1118</f>
        <v>9035.0399999999991</v>
      </c>
      <c r="F1195" s="326">
        <f>E1195-D1195</f>
        <v>126.21039999999812</v>
      </c>
      <c r="G1195" s="287"/>
      <c r="H1195" s="284"/>
      <c r="I1195" s="288"/>
      <c r="J1195" s="286"/>
      <c r="K1195" s="286"/>
      <c r="L1195" s="289"/>
      <c r="M1195" s="290"/>
      <c r="N1195" s="288"/>
      <c r="O1195" s="286"/>
      <c r="P1195" s="286"/>
      <c r="Q1195" s="287"/>
      <c r="S1195" s="288"/>
      <c r="T1195" s="286"/>
      <c r="U1195" s="286"/>
      <c r="V1195" s="287"/>
      <c r="X1195" s="288"/>
      <c r="Y1195" s="286"/>
      <c r="Z1195" s="286"/>
      <c r="AA1195" s="287"/>
      <c r="AC1195" s="288"/>
      <c r="AD1195" s="286"/>
      <c r="AE1195" s="286"/>
      <c r="AF1195" s="287"/>
      <c r="AH1195" s="288"/>
      <c r="AI1195" s="286"/>
      <c r="AJ1195" s="286"/>
      <c r="AK1195" s="287"/>
      <c r="AM1195" s="288"/>
      <c r="AN1195" s="286"/>
      <c r="AO1195" s="286"/>
      <c r="AP1195" s="287"/>
      <c r="AR1195" s="288"/>
      <c r="AS1195" s="286"/>
      <c r="AT1195" s="286"/>
      <c r="AU1195" s="287"/>
      <c r="AW1195" s="288"/>
      <c r="AX1195" s="286"/>
      <c r="AY1195" s="286"/>
      <c r="AZ1195" s="287"/>
      <c r="BB1195" s="288"/>
      <c r="BC1195" s="286"/>
      <c r="BD1195" s="286"/>
      <c r="BE1195" s="287"/>
      <c r="BG1195" s="288"/>
      <c r="BH1195" s="286"/>
      <c r="BI1195" s="286"/>
      <c r="BJ1195" s="287"/>
      <c r="BL1195" s="288"/>
      <c r="BM1195" s="286"/>
      <c r="BN1195" s="286"/>
      <c r="BO1195" s="289"/>
    </row>
    <row r="1196" spans="2:67" s="339" customFormat="1">
      <c r="B1196" s="365" t="s">
        <v>417</v>
      </c>
      <c r="C1196" s="339" t="s">
        <v>402</v>
      </c>
      <c r="D1196" s="330">
        <f>G1124</f>
        <v>12539.108064020982</v>
      </c>
      <c r="E1196" s="326">
        <f>H1124</f>
        <v>7781.0766666666668</v>
      </c>
      <c r="F1196" s="326">
        <f>E1196-D1196</f>
        <v>-4758.0313973543152</v>
      </c>
      <c r="G1196" s="287"/>
      <c r="H1196" s="284"/>
      <c r="I1196" s="288"/>
      <c r="J1196" s="286"/>
      <c r="K1196" s="286"/>
      <c r="L1196" s="289"/>
      <c r="M1196" s="290"/>
      <c r="N1196" s="288"/>
      <c r="O1196" s="286"/>
      <c r="P1196" s="286"/>
      <c r="Q1196" s="287"/>
      <c r="S1196" s="288"/>
      <c r="T1196" s="286"/>
      <c r="U1196" s="286"/>
      <c r="V1196" s="287"/>
      <c r="X1196" s="288"/>
      <c r="Y1196" s="286"/>
      <c r="Z1196" s="286"/>
      <c r="AA1196" s="287"/>
      <c r="AC1196" s="288"/>
      <c r="AD1196" s="286"/>
      <c r="AE1196" s="286"/>
      <c r="AF1196" s="287"/>
      <c r="AH1196" s="288"/>
      <c r="AI1196" s="286"/>
      <c r="AJ1196" s="286"/>
      <c r="AK1196" s="287"/>
      <c r="AM1196" s="288"/>
      <c r="AN1196" s="286"/>
      <c r="AO1196" s="286"/>
      <c r="AP1196" s="287"/>
      <c r="AR1196" s="288"/>
      <c r="AS1196" s="286"/>
      <c r="AT1196" s="286"/>
      <c r="AU1196" s="287"/>
      <c r="AW1196" s="288"/>
      <c r="AX1196" s="286"/>
      <c r="AY1196" s="286"/>
      <c r="AZ1196" s="287"/>
      <c r="BB1196" s="288"/>
      <c r="BC1196" s="286"/>
      <c r="BD1196" s="286"/>
      <c r="BE1196" s="287"/>
      <c r="BG1196" s="288"/>
      <c r="BH1196" s="286"/>
      <c r="BI1196" s="286"/>
      <c r="BJ1196" s="287"/>
      <c r="BL1196" s="288"/>
      <c r="BM1196" s="286"/>
      <c r="BN1196" s="286"/>
      <c r="BO1196" s="289"/>
    </row>
    <row r="1197" spans="2:67" s="339" customFormat="1">
      <c r="B1197" s="339" t="s">
        <v>396</v>
      </c>
      <c r="D1197" s="330"/>
      <c r="E1197" s="326"/>
      <c r="F1197" s="326"/>
      <c r="G1197" s="287"/>
      <c r="H1197" s="284"/>
      <c r="I1197" s="288"/>
      <c r="J1197" s="286"/>
      <c r="K1197" s="286"/>
      <c r="L1197" s="289"/>
      <c r="M1197" s="290"/>
      <c r="N1197" s="288"/>
      <c r="O1197" s="286"/>
      <c r="P1197" s="286"/>
      <c r="Q1197" s="287"/>
      <c r="S1197" s="288"/>
      <c r="T1197" s="286"/>
      <c r="U1197" s="286"/>
      <c r="V1197" s="287"/>
      <c r="X1197" s="288"/>
      <c r="Y1197" s="286"/>
      <c r="Z1197" s="286"/>
      <c r="AA1197" s="287"/>
      <c r="AC1197" s="288"/>
      <c r="AD1197" s="286"/>
      <c r="AE1197" s="286"/>
      <c r="AF1197" s="287"/>
      <c r="AH1197" s="288"/>
      <c r="AI1197" s="286"/>
      <c r="AJ1197" s="286"/>
      <c r="AK1197" s="287"/>
      <c r="AM1197" s="288"/>
      <c r="AN1197" s="286"/>
      <c r="AO1197" s="286"/>
      <c r="AP1197" s="287"/>
      <c r="AR1197" s="288"/>
      <c r="AS1197" s="286"/>
      <c r="AT1197" s="286"/>
      <c r="AU1197" s="287"/>
      <c r="AW1197" s="288"/>
      <c r="AX1197" s="286"/>
      <c r="AY1197" s="286"/>
      <c r="AZ1197" s="287"/>
      <c r="BB1197" s="288"/>
      <c r="BC1197" s="286"/>
      <c r="BD1197" s="286"/>
      <c r="BE1197" s="287"/>
      <c r="BG1197" s="288"/>
      <c r="BH1197" s="286"/>
      <c r="BI1197" s="286"/>
      <c r="BJ1197" s="287"/>
      <c r="BL1197" s="288"/>
      <c r="BM1197" s="286"/>
      <c r="BN1197" s="286"/>
      <c r="BO1197" s="289"/>
    </row>
    <row r="1198" spans="2:67" s="339" customFormat="1">
      <c r="B1198" s="339" t="s">
        <v>418</v>
      </c>
      <c r="D1198" s="330">
        <f>SUM(D1194:D1196)</f>
        <v>30568.548395525067</v>
      </c>
      <c r="E1198" s="326">
        <f>SUM(E1194:E1196)</f>
        <v>20818.34</v>
      </c>
      <c r="F1198" s="326">
        <f>E1198-D1198</f>
        <v>-9750.2083955250673</v>
      </c>
      <c r="G1198" s="287"/>
      <c r="H1198" s="284"/>
      <c r="I1198" s="288"/>
      <c r="J1198" s="286"/>
      <c r="K1198" s="286"/>
      <c r="L1198" s="289"/>
      <c r="M1198" s="290"/>
      <c r="N1198" s="288"/>
      <c r="O1198" s="286"/>
      <c r="P1198" s="286"/>
      <c r="Q1198" s="287"/>
      <c r="S1198" s="288"/>
      <c r="T1198" s="286"/>
      <c r="U1198" s="286"/>
      <c r="V1198" s="287"/>
      <c r="X1198" s="288"/>
      <c r="Y1198" s="286"/>
      <c r="Z1198" s="286"/>
      <c r="AA1198" s="287"/>
      <c r="AC1198" s="288"/>
      <c r="AD1198" s="286"/>
      <c r="AE1198" s="286"/>
      <c r="AF1198" s="287"/>
      <c r="AH1198" s="288"/>
      <c r="AI1198" s="286"/>
      <c r="AJ1198" s="286"/>
      <c r="AK1198" s="287"/>
      <c r="AM1198" s="288"/>
      <c r="AN1198" s="286"/>
      <c r="AO1198" s="286"/>
      <c r="AP1198" s="287"/>
      <c r="AR1198" s="288"/>
      <c r="AS1198" s="286"/>
      <c r="AT1198" s="286"/>
      <c r="AU1198" s="287"/>
      <c r="AW1198" s="288"/>
      <c r="AX1198" s="286"/>
      <c r="AY1198" s="286"/>
      <c r="AZ1198" s="287"/>
      <c r="BB1198" s="288"/>
      <c r="BC1198" s="286"/>
      <c r="BD1198" s="286"/>
      <c r="BE1198" s="287"/>
      <c r="BG1198" s="288"/>
      <c r="BH1198" s="286"/>
      <c r="BI1198" s="286"/>
      <c r="BJ1198" s="287"/>
      <c r="BL1198" s="288"/>
      <c r="BM1198" s="286"/>
      <c r="BN1198" s="286"/>
      <c r="BO1198" s="289"/>
    </row>
    <row r="1199" spans="2:67" s="339" customFormat="1">
      <c r="B1199" s="339" t="s">
        <v>396</v>
      </c>
      <c r="D1199" s="330"/>
      <c r="E1199" s="326"/>
      <c r="F1199" s="326"/>
      <c r="G1199" s="287"/>
      <c r="H1199" s="284"/>
      <c r="I1199" s="288"/>
      <c r="J1199" s="286"/>
      <c r="K1199" s="286"/>
      <c r="L1199" s="289"/>
      <c r="M1199" s="290"/>
      <c r="N1199" s="288"/>
      <c r="O1199" s="286"/>
      <c r="P1199" s="286"/>
      <c r="Q1199" s="287"/>
      <c r="S1199" s="288"/>
      <c r="T1199" s="286"/>
      <c r="U1199" s="286"/>
      <c r="V1199" s="287"/>
      <c r="X1199" s="288"/>
      <c r="Y1199" s="286"/>
      <c r="Z1199" s="286"/>
      <c r="AA1199" s="287"/>
      <c r="AC1199" s="288"/>
      <c r="AD1199" s="286"/>
      <c r="AE1199" s="286"/>
      <c r="AF1199" s="287"/>
      <c r="AH1199" s="288"/>
      <c r="AI1199" s="286"/>
      <c r="AJ1199" s="286"/>
      <c r="AK1199" s="287"/>
      <c r="AM1199" s="288"/>
      <c r="AN1199" s="286"/>
      <c r="AO1199" s="286"/>
      <c r="AP1199" s="287"/>
      <c r="AR1199" s="288"/>
      <c r="AS1199" s="286"/>
      <c r="AT1199" s="286"/>
      <c r="AU1199" s="287"/>
      <c r="AW1199" s="288"/>
      <c r="AX1199" s="286"/>
      <c r="AY1199" s="286"/>
      <c r="AZ1199" s="287"/>
      <c r="BB1199" s="288"/>
      <c r="BC1199" s="286"/>
      <c r="BD1199" s="286"/>
      <c r="BE1199" s="287"/>
      <c r="BG1199" s="288"/>
      <c r="BH1199" s="286"/>
      <c r="BI1199" s="286"/>
      <c r="BJ1199" s="287"/>
      <c r="BL1199" s="288"/>
      <c r="BM1199" s="286"/>
      <c r="BN1199" s="286"/>
      <c r="BO1199" s="289"/>
    </row>
    <row r="1200" spans="2:67" s="339" customFormat="1">
      <c r="D1200" s="305" t="s">
        <v>230</v>
      </c>
      <c r="E1200" s="306" t="s">
        <v>218</v>
      </c>
      <c r="F1200" s="306" t="s">
        <v>371</v>
      </c>
      <c r="G1200" s="287"/>
      <c r="H1200" s="284"/>
      <c r="I1200" s="288"/>
      <c r="J1200" s="286"/>
      <c r="K1200" s="286"/>
      <c r="L1200" s="289"/>
      <c r="M1200" s="290"/>
      <c r="N1200" s="288"/>
      <c r="O1200" s="286"/>
      <c r="P1200" s="286"/>
      <c r="Q1200" s="287"/>
      <c r="S1200" s="288"/>
      <c r="T1200" s="286"/>
      <c r="U1200" s="286"/>
      <c r="V1200" s="287"/>
      <c r="X1200" s="288"/>
      <c r="Y1200" s="286"/>
      <c r="Z1200" s="286"/>
      <c r="AA1200" s="287"/>
      <c r="AC1200" s="288"/>
      <c r="AD1200" s="286"/>
      <c r="AE1200" s="286"/>
      <c r="AF1200" s="287"/>
      <c r="AH1200" s="288"/>
      <c r="AI1200" s="286"/>
      <c r="AJ1200" s="286"/>
      <c r="AK1200" s="287"/>
      <c r="AM1200" s="288"/>
      <c r="AN1200" s="286"/>
      <c r="AO1200" s="286"/>
      <c r="AP1200" s="287"/>
      <c r="AR1200" s="288"/>
      <c r="AS1200" s="286"/>
      <c r="AT1200" s="286"/>
      <c r="AU1200" s="287"/>
      <c r="AW1200" s="288"/>
      <c r="AX1200" s="286"/>
      <c r="AY1200" s="286"/>
      <c r="AZ1200" s="287"/>
      <c r="BB1200" s="288"/>
      <c r="BC1200" s="286"/>
      <c r="BD1200" s="286"/>
      <c r="BE1200" s="287"/>
      <c r="BG1200" s="288"/>
      <c r="BH1200" s="286"/>
      <c r="BI1200" s="286"/>
      <c r="BJ1200" s="287"/>
      <c r="BL1200" s="288"/>
      <c r="BM1200" s="286"/>
      <c r="BN1200" s="286"/>
      <c r="BO1200" s="289"/>
    </row>
    <row r="1201" spans="2:67" s="339" customFormat="1">
      <c r="B1201" s="339" t="s">
        <v>419</v>
      </c>
      <c r="D1201" s="330">
        <f>SUM(D1198+D1190+D1188+D1182+D1172+D1164+D1192)</f>
        <v>441656.1074217353</v>
      </c>
      <c r="E1201" s="326">
        <f>SUM(E1198+E1190+E1186+E1182+E1172+E1164+E1192)</f>
        <v>376745.77999999991</v>
      </c>
      <c r="F1201" s="326">
        <f>SUM(F1198+F1190+F1188+F1182+F1172+F1164+F1192)</f>
        <v>-64910.327421735317</v>
      </c>
      <c r="G1201" s="287"/>
      <c r="H1201" s="284"/>
      <c r="I1201" s="288"/>
      <c r="J1201" s="286"/>
      <c r="K1201" s="286"/>
      <c r="L1201" s="289"/>
      <c r="M1201" s="290"/>
      <c r="N1201" s="288"/>
      <c r="O1201" s="286"/>
      <c r="P1201" s="286"/>
      <c r="Q1201" s="287"/>
      <c r="S1201" s="288"/>
      <c r="T1201" s="286"/>
      <c r="U1201" s="286"/>
      <c r="V1201" s="287"/>
      <c r="X1201" s="288"/>
      <c r="Y1201" s="286"/>
      <c r="Z1201" s="286"/>
      <c r="AA1201" s="287"/>
      <c r="AC1201" s="288"/>
      <c r="AD1201" s="286"/>
      <c r="AE1201" s="286"/>
      <c r="AF1201" s="287"/>
      <c r="AH1201" s="288"/>
      <c r="AI1201" s="286"/>
      <c r="AJ1201" s="286"/>
      <c r="AK1201" s="287"/>
      <c r="AM1201" s="288"/>
      <c r="AN1201" s="286"/>
      <c r="AO1201" s="286"/>
      <c r="AP1201" s="287"/>
      <c r="AR1201" s="288"/>
      <c r="AS1201" s="286"/>
      <c r="AT1201" s="286"/>
      <c r="AU1201" s="287"/>
      <c r="AW1201" s="288"/>
      <c r="AX1201" s="286"/>
      <c r="AY1201" s="286"/>
      <c r="AZ1201" s="287"/>
      <c r="BB1201" s="288"/>
      <c r="BC1201" s="286"/>
      <c r="BD1201" s="286"/>
      <c r="BE1201" s="287"/>
      <c r="BG1201" s="288"/>
      <c r="BH1201" s="286"/>
      <c r="BI1201" s="286"/>
      <c r="BJ1201" s="287"/>
      <c r="BL1201" s="288"/>
      <c r="BM1201" s="286"/>
      <c r="BN1201" s="286"/>
      <c r="BO1201" s="289"/>
    </row>
    <row r="1202" spans="2:67" s="339" customFormat="1">
      <c r="B1202" s="339" t="s">
        <v>396</v>
      </c>
      <c r="D1202" s="288"/>
      <c r="E1202" s="286"/>
      <c r="F1202" s="286"/>
      <c r="G1202" s="287"/>
      <c r="H1202" s="284"/>
      <c r="I1202" s="288"/>
      <c r="J1202" s="286"/>
      <c r="K1202" s="286"/>
      <c r="L1202" s="289"/>
      <c r="M1202" s="290"/>
      <c r="N1202" s="288"/>
      <c r="O1202" s="286"/>
      <c r="P1202" s="286"/>
      <c r="Q1202" s="287"/>
      <c r="S1202" s="288"/>
      <c r="T1202" s="286"/>
      <c r="U1202" s="286"/>
      <c r="V1202" s="287"/>
      <c r="X1202" s="288"/>
      <c r="Y1202" s="286"/>
      <c r="Z1202" s="286"/>
      <c r="AA1202" s="287"/>
      <c r="AC1202" s="288"/>
      <c r="AD1202" s="286"/>
      <c r="AE1202" s="286"/>
      <c r="AF1202" s="287"/>
      <c r="AH1202" s="288"/>
      <c r="AI1202" s="286"/>
      <c r="AJ1202" s="286"/>
      <c r="AK1202" s="287"/>
      <c r="AM1202" s="288"/>
      <c r="AN1202" s="286"/>
      <c r="AO1202" s="286"/>
      <c r="AP1202" s="287"/>
      <c r="AR1202" s="288"/>
      <c r="AS1202" s="286"/>
      <c r="AT1202" s="286"/>
      <c r="AU1202" s="287"/>
      <c r="AW1202" s="288"/>
      <c r="AX1202" s="286"/>
      <c r="AY1202" s="286"/>
      <c r="AZ1202" s="287"/>
      <c r="BB1202" s="288"/>
      <c r="BC1202" s="286"/>
      <c r="BD1202" s="286"/>
      <c r="BE1202" s="287"/>
      <c r="BG1202" s="288"/>
      <c r="BH1202" s="286"/>
      <c r="BI1202" s="286"/>
      <c r="BJ1202" s="287"/>
      <c r="BL1202" s="288"/>
      <c r="BM1202" s="286"/>
      <c r="BN1202" s="286"/>
      <c r="BO1202" s="289"/>
    </row>
    <row r="1203" spans="2:67" s="339" customFormat="1">
      <c r="D1203" s="288"/>
      <c r="E1203" s="286"/>
      <c r="F1203" s="286"/>
      <c r="G1203" s="287"/>
      <c r="H1203" s="284"/>
      <c r="I1203" s="288"/>
      <c r="J1203" s="286"/>
      <c r="K1203" s="286"/>
      <c r="L1203" s="289"/>
      <c r="M1203" s="290"/>
      <c r="N1203" s="288"/>
      <c r="O1203" s="286"/>
      <c r="P1203" s="286"/>
      <c r="Q1203" s="287"/>
      <c r="S1203" s="288"/>
      <c r="T1203" s="286"/>
      <c r="U1203" s="286"/>
      <c r="V1203" s="287"/>
      <c r="X1203" s="288"/>
      <c r="Y1203" s="286"/>
      <c r="Z1203" s="286"/>
      <c r="AA1203" s="287"/>
      <c r="AC1203" s="288"/>
      <c r="AD1203" s="286"/>
      <c r="AE1203" s="286"/>
      <c r="AF1203" s="287"/>
      <c r="AH1203" s="288"/>
      <c r="AI1203" s="286"/>
      <c r="AJ1203" s="286"/>
      <c r="AK1203" s="287"/>
      <c r="AM1203" s="288"/>
      <c r="AN1203" s="286"/>
      <c r="AO1203" s="286"/>
      <c r="AP1203" s="287"/>
      <c r="AR1203" s="288"/>
      <c r="AS1203" s="286"/>
      <c r="AT1203" s="286"/>
      <c r="AU1203" s="287"/>
      <c r="AW1203" s="288"/>
      <c r="AX1203" s="286"/>
      <c r="AY1203" s="286"/>
      <c r="AZ1203" s="287"/>
      <c r="BB1203" s="288"/>
      <c r="BC1203" s="286"/>
      <c r="BD1203" s="286"/>
      <c r="BE1203" s="287"/>
      <c r="BG1203" s="288"/>
      <c r="BH1203" s="286"/>
      <c r="BI1203" s="286"/>
      <c r="BJ1203" s="287"/>
      <c r="BL1203" s="288"/>
      <c r="BM1203" s="286"/>
      <c r="BN1203" s="286"/>
      <c r="BO1203" s="289"/>
    </row>
    <row r="1204" spans="2:67" s="339" customFormat="1">
      <c r="D1204" s="288"/>
      <c r="E1204" s="286"/>
      <c r="F1204" s="286"/>
      <c r="G1204" s="287"/>
      <c r="H1204" s="284"/>
      <c r="I1204" s="288"/>
      <c r="J1204" s="286"/>
      <c r="K1204" s="286"/>
      <c r="L1204" s="289"/>
      <c r="M1204" s="290"/>
      <c r="N1204" s="288"/>
      <c r="O1204" s="286"/>
      <c r="P1204" s="286"/>
      <c r="Q1204" s="287"/>
      <c r="S1204" s="288"/>
      <c r="T1204" s="286"/>
      <c r="U1204" s="286"/>
      <c r="V1204" s="287"/>
      <c r="X1204" s="288"/>
      <c r="Y1204" s="286"/>
      <c r="Z1204" s="286"/>
      <c r="AA1204" s="287"/>
      <c r="AC1204" s="288"/>
      <c r="AD1204" s="286"/>
      <c r="AE1204" s="286"/>
      <c r="AF1204" s="287"/>
      <c r="AH1204" s="288"/>
      <c r="AI1204" s="286"/>
      <c r="AJ1204" s="286"/>
      <c r="AK1204" s="287"/>
      <c r="AM1204" s="288"/>
      <c r="AN1204" s="286"/>
      <c r="AO1204" s="286"/>
      <c r="AP1204" s="287"/>
      <c r="AR1204" s="288"/>
      <c r="AS1204" s="286"/>
      <c r="AT1204" s="286"/>
      <c r="AU1204" s="287"/>
      <c r="AW1204" s="288"/>
      <c r="AX1204" s="286"/>
      <c r="AY1204" s="286"/>
      <c r="AZ1204" s="287"/>
      <c r="BB1204" s="288"/>
      <c r="BC1204" s="286"/>
      <c r="BD1204" s="286"/>
      <c r="BE1204" s="287"/>
      <c r="BG1204" s="288"/>
      <c r="BH1204" s="286"/>
      <c r="BI1204" s="286"/>
      <c r="BJ1204" s="287"/>
      <c r="BL1204" s="288"/>
      <c r="BM1204" s="286"/>
      <c r="BN1204" s="286"/>
      <c r="BO1204" s="289"/>
    </row>
    <row r="1205" spans="2:67" s="339" customFormat="1">
      <c r="D1205" s="288"/>
      <c r="E1205" s="286"/>
      <c r="F1205" s="286"/>
      <c r="G1205" s="287"/>
      <c r="H1205" s="284"/>
      <c r="I1205" s="288"/>
      <c r="J1205" s="286"/>
      <c r="K1205" s="286"/>
      <c r="L1205" s="289"/>
      <c r="M1205" s="290"/>
      <c r="N1205" s="288"/>
      <c r="O1205" s="286"/>
      <c r="P1205" s="286"/>
      <c r="Q1205" s="287"/>
      <c r="S1205" s="288"/>
      <c r="T1205" s="286"/>
      <c r="U1205" s="286"/>
      <c r="V1205" s="287"/>
      <c r="X1205" s="288"/>
      <c r="Y1205" s="286"/>
      <c r="Z1205" s="286"/>
      <c r="AA1205" s="287"/>
      <c r="AC1205" s="288"/>
      <c r="AD1205" s="286"/>
      <c r="AE1205" s="286"/>
      <c r="AF1205" s="287"/>
      <c r="AH1205" s="288"/>
      <c r="AI1205" s="286"/>
      <c r="AJ1205" s="286"/>
      <c r="AK1205" s="287"/>
      <c r="AM1205" s="288"/>
      <c r="AN1205" s="286"/>
      <c r="AO1205" s="286"/>
      <c r="AP1205" s="287"/>
      <c r="AR1205" s="288"/>
      <c r="AS1205" s="286"/>
      <c r="AT1205" s="286"/>
      <c r="AU1205" s="287"/>
      <c r="AW1205" s="288"/>
      <c r="AX1205" s="286"/>
      <c r="AY1205" s="286"/>
      <c r="AZ1205" s="287"/>
      <c r="BB1205" s="288"/>
      <c r="BC1205" s="286"/>
      <c r="BD1205" s="286"/>
      <c r="BE1205" s="287"/>
      <c r="BG1205" s="288"/>
      <c r="BH1205" s="286"/>
      <c r="BI1205" s="286"/>
      <c r="BJ1205" s="287"/>
      <c r="BL1205" s="288"/>
      <c r="BM1205" s="286"/>
      <c r="BN1205" s="286"/>
      <c r="BO1205" s="289"/>
    </row>
    <row r="1206" spans="2:67" s="339" customFormat="1">
      <c r="D1206" s="288"/>
      <c r="E1206" s="286"/>
      <c r="F1206" s="286"/>
      <c r="G1206" s="287"/>
      <c r="H1206" s="284"/>
      <c r="I1206" s="288"/>
      <c r="J1206" s="286"/>
      <c r="K1206" s="286"/>
      <c r="L1206" s="289"/>
      <c r="M1206" s="290"/>
      <c r="N1206" s="288"/>
      <c r="O1206" s="286"/>
      <c r="P1206" s="286"/>
      <c r="Q1206" s="287"/>
      <c r="S1206" s="288"/>
      <c r="T1206" s="286"/>
      <c r="U1206" s="286"/>
      <c r="V1206" s="287"/>
      <c r="X1206" s="288"/>
      <c r="Y1206" s="286"/>
      <c r="Z1206" s="286"/>
      <c r="AA1206" s="287"/>
      <c r="AC1206" s="288"/>
      <c r="AD1206" s="286"/>
      <c r="AE1206" s="286"/>
      <c r="AF1206" s="287"/>
      <c r="AH1206" s="288"/>
      <c r="AI1206" s="286"/>
      <c r="AJ1206" s="286"/>
      <c r="AK1206" s="287"/>
      <c r="AM1206" s="288"/>
      <c r="AN1206" s="286"/>
      <c r="AO1206" s="286"/>
      <c r="AP1206" s="287"/>
      <c r="AR1206" s="288"/>
      <c r="AS1206" s="286"/>
      <c r="AT1206" s="286"/>
      <c r="AU1206" s="287"/>
      <c r="AW1206" s="288"/>
      <c r="AX1206" s="286"/>
      <c r="AY1206" s="286"/>
      <c r="AZ1206" s="287"/>
      <c r="BB1206" s="288"/>
      <c r="BC1206" s="286"/>
      <c r="BD1206" s="286"/>
      <c r="BE1206" s="287"/>
      <c r="BG1206" s="288"/>
      <c r="BH1206" s="286"/>
      <c r="BI1206" s="286"/>
      <c r="BJ1206" s="287"/>
      <c r="BL1206" s="288"/>
      <c r="BM1206" s="286"/>
      <c r="BN1206" s="286"/>
      <c r="BO1206" s="289"/>
    </row>
    <row r="1207" spans="2:67" s="339" customFormat="1">
      <c r="D1207" s="288"/>
      <c r="E1207" s="286"/>
      <c r="F1207" s="286"/>
      <c r="G1207" s="287"/>
      <c r="H1207" s="284"/>
      <c r="I1207" s="288"/>
      <c r="J1207" s="286"/>
      <c r="K1207" s="286"/>
      <c r="L1207" s="289"/>
      <c r="M1207" s="290"/>
      <c r="N1207" s="288"/>
      <c r="O1207" s="286"/>
      <c r="P1207" s="286"/>
      <c r="Q1207" s="287"/>
      <c r="S1207" s="288"/>
      <c r="T1207" s="286"/>
      <c r="U1207" s="286"/>
      <c r="V1207" s="287"/>
      <c r="X1207" s="288"/>
      <c r="Y1207" s="286"/>
      <c r="Z1207" s="286"/>
      <c r="AA1207" s="287"/>
      <c r="AC1207" s="288"/>
      <c r="AD1207" s="286"/>
      <c r="AE1207" s="286"/>
      <c r="AF1207" s="287"/>
      <c r="AH1207" s="288"/>
      <c r="AI1207" s="286"/>
      <c r="AJ1207" s="286"/>
      <c r="AK1207" s="287"/>
      <c r="AM1207" s="288"/>
      <c r="AN1207" s="286"/>
      <c r="AO1207" s="286"/>
      <c r="AP1207" s="287"/>
      <c r="AR1207" s="288"/>
      <c r="AS1207" s="286"/>
      <c r="AT1207" s="286"/>
      <c r="AU1207" s="287"/>
      <c r="AW1207" s="288"/>
      <c r="AX1207" s="286"/>
      <c r="AY1207" s="286"/>
      <c r="AZ1207" s="287"/>
      <c r="BB1207" s="288"/>
      <c r="BC1207" s="286"/>
      <c r="BD1207" s="286"/>
      <c r="BE1207" s="287"/>
      <c r="BG1207" s="288"/>
      <c r="BH1207" s="286"/>
      <c r="BI1207" s="286"/>
      <c r="BJ1207" s="287"/>
      <c r="BL1207" s="288"/>
      <c r="BM1207" s="286"/>
      <c r="BN1207" s="286"/>
      <c r="BO1207" s="289"/>
    </row>
    <row r="1208" spans="2:67" s="339" customFormat="1">
      <c r="D1208" s="288"/>
      <c r="E1208" s="286"/>
      <c r="F1208" s="286"/>
      <c r="G1208" s="287"/>
      <c r="H1208" s="284"/>
      <c r="I1208" s="288"/>
      <c r="J1208" s="286"/>
      <c r="K1208" s="286"/>
      <c r="L1208" s="289"/>
      <c r="M1208" s="290"/>
      <c r="N1208" s="288"/>
      <c r="O1208" s="286"/>
      <c r="P1208" s="286"/>
      <c r="Q1208" s="287"/>
      <c r="S1208" s="288"/>
      <c r="T1208" s="286"/>
      <c r="U1208" s="286"/>
      <c r="V1208" s="287"/>
      <c r="X1208" s="288"/>
      <c r="Y1208" s="286"/>
      <c r="Z1208" s="286"/>
      <c r="AA1208" s="287"/>
      <c r="AC1208" s="288"/>
      <c r="AD1208" s="286"/>
      <c r="AE1208" s="286"/>
      <c r="AF1208" s="287"/>
      <c r="AH1208" s="288"/>
      <c r="AI1208" s="286"/>
      <c r="AJ1208" s="286"/>
      <c r="AK1208" s="287"/>
      <c r="AM1208" s="288"/>
      <c r="AN1208" s="286"/>
      <c r="AO1208" s="286"/>
      <c r="AP1208" s="287"/>
      <c r="AR1208" s="288"/>
      <c r="AS1208" s="286"/>
      <c r="AT1208" s="286"/>
      <c r="AU1208" s="287"/>
      <c r="AW1208" s="288"/>
      <c r="AX1208" s="286"/>
      <c r="AY1208" s="286"/>
      <c r="AZ1208" s="287"/>
      <c r="BB1208" s="288"/>
      <c r="BC1208" s="286"/>
      <c r="BD1208" s="286"/>
      <c r="BE1208" s="287"/>
      <c r="BG1208" s="288"/>
      <c r="BH1208" s="286"/>
      <c r="BI1208" s="286"/>
      <c r="BJ1208" s="287"/>
      <c r="BL1208" s="288"/>
      <c r="BM1208" s="286"/>
      <c r="BN1208" s="286"/>
      <c r="BO1208" s="289"/>
    </row>
    <row r="1209" spans="2:67" s="339" customFormat="1">
      <c r="D1209" s="288"/>
      <c r="E1209" s="286"/>
      <c r="F1209" s="286"/>
      <c r="G1209" s="287"/>
      <c r="H1209" s="284"/>
      <c r="I1209" s="288"/>
      <c r="J1209" s="286"/>
      <c r="K1209" s="286"/>
      <c r="L1209" s="289"/>
      <c r="M1209" s="290"/>
      <c r="N1209" s="288"/>
      <c r="O1209" s="286"/>
      <c r="P1209" s="286"/>
      <c r="Q1209" s="287"/>
      <c r="S1209" s="288"/>
      <c r="T1209" s="286"/>
      <c r="U1209" s="286"/>
      <c r="V1209" s="287"/>
      <c r="X1209" s="288"/>
      <c r="Y1209" s="286"/>
      <c r="Z1209" s="286"/>
      <c r="AA1209" s="287"/>
      <c r="AC1209" s="288"/>
      <c r="AD1209" s="286"/>
      <c r="AE1209" s="286"/>
      <c r="AF1209" s="287"/>
      <c r="AH1209" s="288"/>
      <c r="AI1209" s="286"/>
      <c r="AJ1209" s="286"/>
      <c r="AK1209" s="287"/>
      <c r="AM1209" s="288"/>
      <c r="AN1209" s="286"/>
      <c r="AO1209" s="286"/>
      <c r="AP1209" s="287"/>
      <c r="AR1209" s="288"/>
      <c r="AS1209" s="286"/>
      <c r="AT1209" s="286"/>
      <c r="AU1209" s="287"/>
      <c r="AW1209" s="288"/>
      <c r="AX1209" s="286"/>
      <c r="AY1209" s="286"/>
      <c r="AZ1209" s="287"/>
      <c r="BB1209" s="288"/>
      <c r="BC1209" s="286"/>
      <c r="BD1209" s="286"/>
      <c r="BE1209" s="287"/>
      <c r="BG1209" s="288"/>
      <c r="BH1209" s="286"/>
      <c r="BI1209" s="286"/>
      <c r="BJ1209" s="287"/>
      <c r="BL1209" s="288"/>
      <c r="BM1209" s="286"/>
      <c r="BN1209" s="286"/>
      <c r="BO1209" s="289"/>
    </row>
    <row r="1210" spans="2:67" s="339" customFormat="1">
      <c r="D1210" s="288"/>
      <c r="E1210" s="286"/>
      <c r="F1210" s="286"/>
      <c r="G1210" s="287"/>
      <c r="H1210" s="284"/>
      <c r="I1210" s="288"/>
      <c r="J1210" s="286"/>
      <c r="K1210" s="286"/>
      <c r="L1210" s="289"/>
      <c r="M1210" s="290"/>
      <c r="N1210" s="288"/>
      <c r="O1210" s="286"/>
      <c r="P1210" s="286"/>
      <c r="Q1210" s="287"/>
      <c r="S1210" s="288"/>
      <c r="T1210" s="286"/>
      <c r="U1210" s="286"/>
      <c r="V1210" s="287"/>
      <c r="X1210" s="288"/>
      <c r="Y1210" s="286"/>
      <c r="Z1210" s="286"/>
      <c r="AA1210" s="287"/>
      <c r="AC1210" s="288"/>
      <c r="AD1210" s="286"/>
      <c r="AE1210" s="286"/>
      <c r="AF1210" s="287"/>
      <c r="AH1210" s="288"/>
      <c r="AI1210" s="286"/>
      <c r="AJ1210" s="286"/>
      <c r="AK1210" s="287"/>
      <c r="AM1210" s="288"/>
      <c r="AN1210" s="286"/>
      <c r="AO1210" s="286"/>
      <c r="AP1210" s="287"/>
      <c r="AR1210" s="288"/>
      <c r="AS1210" s="286"/>
      <c r="AT1210" s="286"/>
      <c r="AU1210" s="287"/>
      <c r="AW1210" s="288"/>
      <c r="AX1210" s="286"/>
      <c r="AY1210" s="286"/>
      <c r="AZ1210" s="287"/>
      <c r="BB1210" s="288"/>
      <c r="BC1210" s="286"/>
      <c r="BD1210" s="286"/>
      <c r="BE1210" s="287"/>
      <c r="BG1210" s="288"/>
      <c r="BH1210" s="286"/>
      <c r="BI1210" s="286"/>
      <c r="BJ1210" s="287"/>
      <c r="BL1210" s="288"/>
      <c r="BM1210" s="286"/>
      <c r="BN1210" s="286"/>
      <c r="BO1210" s="289"/>
    </row>
    <row r="1211" spans="2:67" s="339" customFormat="1">
      <c r="D1211" s="288"/>
      <c r="E1211" s="286"/>
      <c r="F1211" s="286"/>
      <c r="G1211" s="287"/>
      <c r="H1211" s="284"/>
      <c r="I1211" s="288"/>
      <c r="J1211" s="286"/>
      <c r="K1211" s="286"/>
      <c r="L1211" s="289"/>
      <c r="M1211" s="290"/>
      <c r="N1211" s="288"/>
      <c r="O1211" s="286"/>
      <c r="P1211" s="286"/>
      <c r="Q1211" s="287"/>
      <c r="S1211" s="288"/>
      <c r="T1211" s="286"/>
      <c r="U1211" s="286"/>
      <c r="V1211" s="287"/>
      <c r="X1211" s="288"/>
      <c r="Y1211" s="286"/>
      <c r="Z1211" s="286"/>
      <c r="AA1211" s="287"/>
      <c r="AC1211" s="288"/>
      <c r="AD1211" s="286"/>
      <c r="AE1211" s="286"/>
      <c r="AF1211" s="287"/>
      <c r="AH1211" s="288"/>
      <c r="AI1211" s="286"/>
      <c r="AJ1211" s="286"/>
      <c r="AK1211" s="287"/>
      <c r="AM1211" s="288"/>
      <c r="AN1211" s="286"/>
      <c r="AO1211" s="286"/>
      <c r="AP1211" s="287"/>
      <c r="AR1211" s="288"/>
      <c r="AS1211" s="286"/>
      <c r="AT1211" s="286"/>
      <c r="AU1211" s="287"/>
      <c r="AW1211" s="288"/>
      <c r="AX1211" s="286"/>
      <c r="AY1211" s="286"/>
      <c r="AZ1211" s="287"/>
      <c r="BB1211" s="288"/>
      <c r="BC1211" s="286"/>
      <c r="BD1211" s="286"/>
      <c r="BE1211" s="287"/>
      <c r="BG1211" s="288"/>
      <c r="BH1211" s="286"/>
      <c r="BI1211" s="286"/>
      <c r="BJ1211" s="287"/>
      <c r="BL1211" s="288"/>
      <c r="BM1211" s="286"/>
      <c r="BN1211" s="286"/>
      <c r="BO1211" s="289"/>
    </row>
    <row r="1212" spans="2:67" s="339" customFormat="1">
      <c r="D1212" s="288"/>
      <c r="E1212" s="286"/>
      <c r="F1212" s="286"/>
      <c r="G1212" s="287"/>
      <c r="H1212" s="284"/>
      <c r="I1212" s="288"/>
      <c r="J1212" s="286"/>
      <c r="K1212" s="286"/>
      <c r="L1212" s="289"/>
      <c r="M1212" s="290"/>
      <c r="N1212" s="288"/>
      <c r="O1212" s="286"/>
      <c r="P1212" s="286"/>
      <c r="Q1212" s="287"/>
      <c r="S1212" s="288"/>
      <c r="T1212" s="286"/>
      <c r="U1212" s="286"/>
      <c r="V1212" s="287"/>
      <c r="X1212" s="288"/>
      <c r="Y1212" s="286"/>
      <c r="Z1212" s="286"/>
      <c r="AA1212" s="287"/>
      <c r="AC1212" s="288"/>
      <c r="AD1212" s="286"/>
      <c r="AE1212" s="286"/>
      <c r="AF1212" s="287"/>
      <c r="AH1212" s="288"/>
      <c r="AI1212" s="286"/>
      <c r="AJ1212" s="286"/>
      <c r="AK1212" s="287"/>
      <c r="AM1212" s="288"/>
      <c r="AN1212" s="286"/>
      <c r="AO1212" s="286"/>
      <c r="AP1212" s="287"/>
      <c r="AR1212" s="288"/>
      <c r="AS1212" s="286"/>
      <c r="AT1212" s="286"/>
      <c r="AU1212" s="287"/>
      <c r="AW1212" s="288"/>
      <c r="AX1212" s="286"/>
      <c r="AY1212" s="286"/>
      <c r="AZ1212" s="287"/>
      <c r="BB1212" s="288"/>
      <c r="BC1212" s="286"/>
      <c r="BD1212" s="286"/>
      <c r="BE1212" s="287"/>
      <c r="BG1212" s="288"/>
      <c r="BH1212" s="286"/>
      <c r="BI1212" s="286"/>
      <c r="BJ1212" s="287"/>
      <c r="BL1212" s="288"/>
      <c r="BM1212" s="286"/>
      <c r="BN1212" s="286"/>
      <c r="BO1212" s="289"/>
    </row>
    <row r="1213" spans="2:67" s="339" customFormat="1">
      <c r="D1213" s="288"/>
      <c r="E1213" s="286"/>
      <c r="F1213" s="286"/>
      <c r="G1213" s="287"/>
      <c r="H1213" s="284"/>
      <c r="I1213" s="288"/>
      <c r="J1213" s="286"/>
      <c r="K1213" s="286"/>
      <c r="L1213" s="289"/>
      <c r="M1213" s="290"/>
      <c r="N1213" s="288"/>
      <c r="O1213" s="286"/>
      <c r="P1213" s="286"/>
      <c r="Q1213" s="287"/>
      <c r="S1213" s="288"/>
      <c r="T1213" s="286"/>
      <c r="U1213" s="286"/>
      <c r="V1213" s="287"/>
      <c r="X1213" s="288"/>
      <c r="Y1213" s="286"/>
      <c r="Z1213" s="286"/>
      <c r="AA1213" s="287"/>
      <c r="AC1213" s="288"/>
      <c r="AD1213" s="286"/>
      <c r="AE1213" s="286"/>
      <c r="AF1213" s="287"/>
      <c r="AH1213" s="288"/>
      <c r="AI1213" s="286"/>
      <c r="AJ1213" s="286"/>
      <c r="AK1213" s="287"/>
      <c r="AM1213" s="288"/>
      <c r="AN1213" s="286"/>
      <c r="AO1213" s="286"/>
      <c r="AP1213" s="287"/>
      <c r="AR1213" s="288"/>
      <c r="AS1213" s="286"/>
      <c r="AT1213" s="286"/>
      <c r="AU1213" s="287"/>
      <c r="AW1213" s="288"/>
      <c r="AX1213" s="286"/>
      <c r="AY1213" s="286"/>
      <c r="AZ1213" s="287"/>
      <c r="BB1213" s="288"/>
      <c r="BC1213" s="286"/>
      <c r="BD1213" s="286"/>
      <c r="BE1213" s="287"/>
      <c r="BG1213" s="288"/>
      <c r="BH1213" s="286"/>
      <c r="BI1213" s="286"/>
      <c r="BJ1213" s="287"/>
      <c r="BL1213" s="288"/>
      <c r="BM1213" s="286"/>
      <c r="BN1213" s="286"/>
      <c r="BO1213" s="289"/>
    </row>
    <row r="1214" spans="2:67" s="339" customFormat="1">
      <c r="D1214" s="288"/>
      <c r="E1214" s="286"/>
      <c r="F1214" s="286"/>
      <c r="G1214" s="287"/>
      <c r="H1214" s="284"/>
      <c r="I1214" s="288"/>
      <c r="J1214" s="286"/>
      <c r="K1214" s="286"/>
      <c r="L1214" s="289"/>
      <c r="M1214" s="290"/>
      <c r="N1214" s="288"/>
      <c r="O1214" s="286"/>
      <c r="P1214" s="286"/>
      <c r="Q1214" s="287"/>
      <c r="S1214" s="288"/>
      <c r="T1214" s="286"/>
      <c r="U1214" s="286"/>
      <c r="V1214" s="287"/>
      <c r="X1214" s="288"/>
      <c r="Y1214" s="286"/>
      <c r="Z1214" s="286"/>
      <c r="AA1214" s="287"/>
      <c r="AC1214" s="288"/>
      <c r="AD1214" s="286"/>
      <c r="AE1214" s="286"/>
      <c r="AF1214" s="287"/>
      <c r="AH1214" s="288"/>
      <c r="AI1214" s="286"/>
      <c r="AJ1214" s="286"/>
      <c r="AK1214" s="287"/>
      <c r="AM1214" s="288"/>
      <c r="AN1214" s="286"/>
      <c r="AO1214" s="286"/>
      <c r="AP1214" s="287"/>
      <c r="AR1214" s="288"/>
      <c r="AS1214" s="286"/>
      <c r="AT1214" s="286"/>
      <c r="AU1214" s="287"/>
      <c r="AW1214" s="288"/>
      <c r="AX1214" s="286"/>
      <c r="AY1214" s="286"/>
      <c r="AZ1214" s="287"/>
      <c r="BB1214" s="288"/>
      <c r="BC1214" s="286"/>
      <c r="BD1214" s="286"/>
      <c r="BE1214" s="287"/>
      <c r="BG1214" s="288"/>
      <c r="BH1214" s="286"/>
      <c r="BI1214" s="286"/>
      <c r="BJ1214" s="287"/>
      <c r="BL1214" s="288"/>
      <c r="BM1214" s="286"/>
      <c r="BN1214" s="286"/>
      <c r="BO1214" s="289"/>
    </row>
    <row r="1215" spans="2:67" s="339" customFormat="1">
      <c r="D1215" s="288"/>
      <c r="E1215" s="286"/>
      <c r="F1215" s="286"/>
      <c r="G1215" s="287"/>
      <c r="H1215" s="284"/>
      <c r="I1215" s="288"/>
      <c r="J1215" s="286"/>
      <c r="K1215" s="286"/>
      <c r="L1215" s="289"/>
      <c r="M1215" s="290"/>
      <c r="N1215" s="288"/>
      <c r="O1215" s="286"/>
      <c r="P1215" s="286"/>
      <c r="Q1215" s="287"/>
      <c r="S1215" s="288"/>
      <c r="T1215" s="286"/>
      <c r="U1215" s="286"/>
      <c r="V1215" s="287"/>
      <c r="X1215" s="288"/>
      <c r="Y1215" s="286"/>
      <c r="Z1215" s="286"/>
      <c r="AA1215" s="287"/>
      <c r="AC1215" s="288"/>
      <c r="AD1215" s="286"/>
      <c r="AE1215" s="286"/>
      <c r="AF1215" s="287"/>
      <c r="AH1215" s="288"/>
      <c r="AI1215" s="286"/>
      <c r="AJ1215" s="286"/>
      <c r="AK1215" s="287"/>
      <c r="AM1215" s="288"/>
      <c r="AN1215" s="286"/>
      <c r="AO1215" s="286"/>
      <c r="AP1215" s="287"/>
      <c r="AR1215" s="288"/>
      <c r="AS1215" s="286"/>
      <c r="AT1215" s="286"/>
      <c r="AU1215" s="287"/>
      <c r="AW1215" s="288"/>
      <c r="AX1215" s="286"/>
      <c r="AY1215" s="286"/>
      <c r="AZ1215" s="287"/>
      <c r="BB1215" s="288"/>
      <c r="BC1215" s="286"/>
      <c r="BD1215" s="286"/>
      <c r="BE1215" s="287"/>
      <c r="BG1215" s="288"/>
      <c r="BH1215" s="286"/>
      <c r="BI1215" s="286"/>
      <c r="BJ1215" s="287"/>
      <c r="BL1215" s="288"/>
      <c r="BM1215" s="286"/>
      <c r="BN1215" s="286"/>
      <c r="BO1215" s="289"/>
    </row>
    <row r="1216" spans="2:67" s="339" customFormat="1">
      <c r="D1216" s="288"/>
      <c r="E1216" s="286"/>
      <c r="F1216" s="286"/>
      <c r="G1216" s="287"/>
      <c r="H1216" s="284"/>
      <c r="I1216" s="288"/>
      <c r="J1216" s="286"/>
      <c r="K1216" s="286"/>
      <c r="L1216" s="289"/>
      <c r="M1216" s="290"/>
      <c r="N1216" s="288"/>
      <c r="O1216" s="286"/>
      <c r="P1216" s="286"/>
      <c r="Q1216" s="287"/>
      <c r="S1216" s="288"/>
      <c r="T1216" s="286"/>
      <c r="U1216" s="286"/>
      <c r="V1216" s="287"/>
      <c r="X1216" s="288"/>
      <c r="Y1216" s="286"/>
      <c r="Z1216" s="286"/>
      <c r="AA1216" s="287"/>
      <c r="AC1216" s="288"/>
      <c r="AD1216" s="286"/>
      <c r="AE1216" s="286"/>
      <c r="AF1216" s="287"/>
      <c r="AH1216" s="288"/>
      <c r="AI1216" s="286"/>
      <c r="AJ1216" s="286"/>
      <c r="AK1216" s="287"/>
      <c r="AM1216" s="288"/>
      <c r="AN1216" s="286"/>
      <c r="AO1216" s="286"/>
      <c r="AP1216" s="287"/>
      <c r="AR1216" s="288"/>
      <c r="AS1216" s="286"/>
      <c r="AT1216" s="286"/>
      <c r="AU1216" s="287"/>
      <c r="AW1216" s="288"/>
      <c r="AX1216" s="286"/>
      <c r="AY1216" s="286"/>
      <c r="AZ1216" s="287"/>
      <c r="BB1216" s="288"/>
      <c r="BC1216" s="286"/>
      <c r="BD1216" s="286"/>
      <c r="BE1216" s="287"/>
      <c r="BG1216" s="288"/>
      <c r="BH1216" s="286"/>
      <c r="BI1216" s="286"/>
      <c r="BJ1216" s="287"/>
      <c r="BL1216" s="288"/>
      <c r="BM1216" s="286"/>
      <c r="BN1216" s="286"/>
      <c r="BO1216" s="289"/>
    </row>
    <row r="1217" spans="4:67" s="339" customFormat="1">
      <c r="D1217" s="288"/>
      <c r="E1217" s="286"/>
      <c r="F1217" s="286"/>
      <c r="G1217" s="287"/>
      <c r="H1217" s="284"/>
      <c r="I1217" s="288"/>
      <c r="J1217" s="286"/>
      <c r="K1217" s="286"/>
      <c r="L1217" s="289"/>
      <c r="M1217" s="290"/>
      <c r="N1217" s="288"/>
      <c r="O1217" s="286"/>
      <c r="P1217" s="286"/>
      <c r="Q1217" s="287"/>
      <c r="S1217" s="288"/>
      <c r="T1217" s="286"/>
      <c r="U1217" s="286"/>
      <c r="V1217" s="287"/>
      <c r="X1217" s="288"/>
      <c r="Y1217" s="286"/>
      <c r="Z1217" s="286"/>
      <c r="AA1217" s="287"/>
      <c r="AC1217" s="288"/>
      <c r="AD1217" s="286"/>
      <c r="AE1217" s="286"/>
      <c r="AF1217" s="287"/>
      <c r="AH1217" s="288"/>
      <c r="AI1217" s="286"/>
      <c r="AJ1217" s="286"/>
      <c r="AK1217" s="287"/>
      <c r="AM1217" s="288"/>
      <c r="AN1217" s="286"/>
      <c r="AO1217" s="286"/>
      <c r="AP1217" s="287"/>
      <c r="AR1217" s="288"/>
      <c r="AS1217" s="286"/>
      <c r="AT1217" s="286"/>
      <c r="AU1217" s="287"/>
      <c r="AW1217" s="288"/>
      <c r="AX1217" s="286"/>
      <c r="AY1217" s="286"/>
      <c r="AZ1217" s="287"/>
      <c r="BB1217" s="288"/>
      <c r="BC1217" s="286"/>
      <c r="BD1217" s="286"/>
      <c r="BE1217" s="287"/>
      <c r="BG1217" s="288"/>
      <c r="BH1217" s="286"/>
      <c r="BI1217" s="286"/>
      <c r="BJ1217" s="287"/>
      <c r="BL1217" s="288"/>
      <c r="BM1217" s="286"/>
      <c r="BN1217" s="286"/>
      <c r="BO1217" s="289"/>
    </row>
  </sheetData>
  <phoneticPr fontId="17" type="noConversion"/>
  <printOptions horizontalCentered="1" gridLines="1"/>
  <pageMargins left="0" right="0" top="0" bottom="0" header="0" footer="0"/>
  <pageSetup scale="18"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dimension ref="A1:AY997"/>
  <sheetViews>
    <sheetView topLeftCell="A462" zoomScaleNormal="100" workbookViewId="0">
      <selection activeCell="A462" sqref="A1:IV65536"/>
    </sheetView>
  </sheetViews>
  <sheetFormatPr defaultColWidth="21" defaultRowHeight="12.75"/>
  <cols>
    <col min="1" max="1" width="40.140625" style="180" bestFit="1" customWidth="1"/>
    <col min="2" max="2" width="18.85546875" customWidth="1"/>
    <col min="3" max="3" width="13" style="5" customWidth="1"/>
    <col min="4" max="4" width="14.140625" style="14" customWidth="1"/>
    <col min="5" max="5" width="12" style="5" customWidth="1"/>
    <col min="6" max="6" width="12" style="14" customWidth="1"/>
    <col min="7" max="7" width="12.5703125" style="5" customWidth="1"/>
    <col min="8" max="8" width="13.7109375" style="14" customWidth="1"/>
    <col min="9" max="9" width="13" style="5" customWidth="1"/>
    <col min="10" max="10" width="12.42578125" style="14" customWidth="1"/>
    <col min="11" max="11" width="12.5703125" style="5" customWidth="1"/>
    <col min="12" max="12" width="12" style="14" customWidth="1"/>
    <col min="13" max="13" width="12.85546875" style="5" customWidth="1"/>
    <col min="14" max="14" width="12" style="14" customWidth="1"/>
    <col min="15" max="15" width="14.28515625" style="1" bestFit="1" customWidth="1"/>
    <col min="16" max="16" width="15.28515625" customWidth="1"/>
    <col min="17" max="17" width="4.85546875" customWidth="1"/>
    <col min="18" max="20" width="17.7109375" customWidth="1"/>
    <col min="21" max="21" width="16.42578125" customWidth="1"/>
    <col min="22" max="22" width="13.85546875" customWidth="1"/>
    <col min="32" max="34" width="16.42578125" customWidth="1"/>
    <col min="35" max="35" width="19" customWidth="1"/>
  </cols>
  <sheetData>
    <row r="1" spans="1:51" ht="42" customHeight="1" thickBot="1">
      <c r="A1" s="583" t="s">
        <v>504</v>
      </c>
      <c r="B1" s="584"/>
      <c r="C1" s="584"/>
      <c r="D1" s="584"/>
      <c r="E1" s="584"/>
      <c r="F1" s="584"/>
      <c r="G1" s="584"/>
      <c r="H1" s="584"/>
      <c r="I1" s="584"/>
      <c r="J1" s="584"/>
      <c r="K1" s="584"/>
      <c r="L1" s="584"/>
      <c r="M1" s="584"/>
      <c r="N1" s="584"/>
      <c r="O1" s="585"/>
    </row>
    <row r="2" spans="1:51" ht="49.5" customHeight="1" thickBot="1">
      <c r="A2" s="580" t="s">
        <v>46</v>
      </c>
      <c r="B2" s="586"/>
      <c r="C2" s="586"/>
      <c r="D2" s="586"/>
      <c r="E2" s="586"/>
      <c r="F2" s="586"/>
      <c r="G2" s="586"/>
      <c r="H2" s="586"/>
      <c r="I2" s="586"/>
      <c r="J2" s="586"/>
      <c r="K2" s="586"/>
      <c r="L2" s="586"/>
      <c r="M2" s="586"/>
      <c r="N2" s="586"/>
      <c r="O2" s="587"/>
      <c r="Y2" s="8"/>
      <c r="Z2" s="9"/>
      <c r="AA2" s="9"/>
      <c r="AB2" s="9"/>
      <c r="AC2" s="9"/>
      <c r="AD2" s="9"/>
      <c r="AE2" s="9"/>
      <c r="AF2" s="9"/>
      <c r="AG2" s="9"/>
      <c r="AH2" s="9"/>
      <c r="AI2" s="9"/>
      <c r="AJ2" s="9"/>
      <c r="AK2" s="9"/>
      <c r="AL2" s="9"/>
      <c r="AM2" s="9"/>
      <c r="AN2" s="9"/>
      <c r="AO2" s="9"/>
      <c r="AP2" s="9"/>
      <c r="AQ2" s="8"/>
      <c r="AX2" s="8" t="s">
        <v>47</v>
      </c>
      <c r="AY2" s="8" t="s">
        <v>48</v>
      </c>
    </row>
    <row r="3" spans="1:51" ht="15.75">
      <c r="A3" s="10" t="s">
        <v>1</v>
      </c>
      <c r="B3" s="11"/>
      <c r="C3" s="12"/>
      <c r="D3" s="13"/>
      <c r="O3" s="2"/>
      <c r="Y3" s="15"/>
      <c r="AE3" s="16"/>
      <c r="AQ3" s="15"/>
    </row>
    <row r="4" spans="1:51" ht="15.75">
      <c r="A4" s="17" t="s">
        <v>505</v>
      </c>
      <c r="B4" s="3"/>
      <c r="F4" s="18"/>
      <c r="O4" s="2"/>
    </row>
    <row r="5" spans="1:51">
      <c r="A5" s="19" t="s">
        <v>49</v>
      </c>
      <c r="B5" s="3"/>
      <c r="C5" s="20" t="s">
        <v>50</v>
      </c>
      <c r="D5" s="21" t="s">
        <v>50</v>
      </c>
      <c r="E5" s="20" t="s">
        <v>50</v>
      </c>
      <c r="F5" s="21" t="s">
        <v>50</v>
      </c>
      <c r="G5" s="20" t="s">
        <v>51</v>
      </c>
      <c r="H5" s="21" t="s">
        <v>51</v>
      </c>
      <c r="I5" s="20" t="s">
        <v>51</v>
      </c>
      <c r="J5" s="21" t="s">
        <v>51</v>
      </c>
      <c r="K5" s="20" t="s">
        <v>51</v>
      </c>
      <c r="L5" s="21" t="s">
        <v>51</v>
      </c>
      <c r="M5" s="20" t="s">
        <v>51</v>
      </c>
      <c r="N5" s="21" t="s">
        <v>50</v>
      </c>
      <c r="O5" s="2"/>
    </row>
    <row r="6" spans="1:51">
      <c r="A6" s="4"/>
      <c r="B6" s="3"/>
      <c r="C6" s="22" t="s">
        <v>2</v>
      </c>
      <c r="D6" s="23" t="s">
        <v>3</v>
      </c>
      <c r="E6" s="22" t="s">
        <v>4</v>
      </c>
      <c r="F6" s="23" t="s">
        <v>5</v>
      </c>
      <c r="G6" s="22" t="s">
        <v>6</v>
      </c>
      <c r="H6" s="23" t="s">
        <v>7</v>
      </c>
      <c r="I6" s="22" t="s">
        <v>8</v>
      </c>
      <c r="J6" s="23" t="s">
        <v>52</v>
      </c>
      <c r="K6" s="22" t="s">
        <v>9</v>
      </c>
      <c r="L6" s="23" t="s">
        <v>10</v>
      </c>
      <c r="M6" s="22" t="s">
        <v>11</v>
      </c>
      <c r="N6" s="23" t="s">
        <v>12</v>
      </c>
      <c r="O6" s="24" t="s">
        <v>13</v>
      </c>
      <c r="T6" s="15"/>
      <c r="V6" s="15"/>
      <c r="Y6" s="8"/>
      <c r="Z6" s="9"/>
      <c r="AA6" s="9"/>
      <c r="AB6" s="9"/>
      <c r="AC6" s="9"/>
      <c r="AD6" s="9"/>
      <c r="AE6" s="9"/>
      <c r="AF6" s="9"/>
      <c r="AG6" s="9"/>
      <c r="AH6" s="9"/>
      <c r="AI6" s="9"/>
      <c r="AJ6" s="9"/>
      <c r="AK6" s="9"/>
      <c r="AL6" s="9"/>
      <c r="AM6" s="9"/>
      <c r="AN6" s="9"/>
      <c r="AO6" s="9"/>
      <c r="AP6" s="9"/>
      <c r="AQ6" s="8"/>
    </row>
    <row r="7" spans="1:51" ht="13.5" thickBot="1">
      <c r="A7" s="19" t="s">
        <v>53</v>
      </c>
      <c r="B7" s="3"/>
      <c r="C7" s="25">
        <v>357.84</v>
      </c>
      <c r="D7" s="26">
        <v>334.91</v>
      </c>
      <c r="E7" s="25">
        <v>360.85</v>
      </c>
      <c r="F7" s="26">
        <v>360.15</v>
      </c>
      <c r="G7" s="25">
        <v>351.86</v>
      </c>
      <c r="H7" s="26">
        <v>402.02</v>
      </c>
      <c r="I7" s="25">
        <v>361.62</v>
      </c>
      <c r="J7" s="26">
        <v>395.46</v>
      </c>
      <c r="K7" s="25">
        <v>367.67</v>
      </c>
      <c r="L7" s="26">
        <v>368.59</v>
      </c>
      <c r="M7" s="25">
        <v>360.09</v>
      </c>
      <c r="N7" s="26">
        <v>323.92</v>
      </c>
      <c r="O7" s="27">
        <f>SUM(C7:N7)</f>
        <v>4344.9800000000005</v>
      </c>
      <c r="R7" s="15"/>
      <c r="S7" s="15"/>
      <c r="T7" s="15"/>
      <c r="U7" s="15"/>
      <c r="V7" s="15"/>
      <c r="Y7" s="15"/>
      <c r="AC7" s="8"/>
      <c r="AD7" s="8"/>
      <c r="AQ7" s="15"/>
    </row>
    <row r="8" spans="1:51">
      <c r="A8" s="28" t="s">
        <v>54</v>
      </c>
      <c r="B8" s="29" t="s">
        <v>55</v>
      </c>
      <c r="C8" s="30">
        <f>C9/C$7</f>
        <v>7.5312989045383416</v>
      </c>
      <c r="D8" s="31">
        <f t="shared" ref="D8:O8" si="0">D9/D$7</f>
        <v>8.1992177002776856</v>
      </c>
      <c r="E8" s="30">
        <f t="shared" si="0"/>
        <v>21.892753221560202</v>
      </c>
      <c r="F8" s="31">
        <f t="shared" si="0"/>
        <v>3.1320283215326947</v>
      </c>
      <c r="G8" s="30">
        <f t="shared" si="0"/>
        <v>2.5663616210993005</v>
      </c>
      <c r="H8" s="31">
        <f t="shared" si="0"/>
        <v>8.8702054624148055</v>
      </c>
      <c r="I8" s="30">
        <f t="shared" si="0"/>
        <v>8.1300813008130088</v>
      </c>
      <c r="J8" s="31">
        <f t="shared" si="0"/>
        <v>19.642947453598342</v>
      </c>
      <c r="K8" s="30">
        <f t="shared" si="0"/>
        <v>8.8992846846356777</v>
      </c>
      <c r="L8" s="31">
        <f t="shared" si="0"/>
        <v>8.4972462627852092</v>
      </c>
      <c r="M8" s="30">
        <f t="shared" si="0"/>
        <v>6.9621483518009395</v>
      </c>
      <c r="N8" s="31">
        <f t="shared" si="0"/>
        <v>21.008273647814274</v>
      </c>
      <c r="O8" s="32">
        <f t="shared" si="0"/>
        <v>10.440094085588425</v>
      </c>
      <c r="Q8" s="33"/>
    </row>
    <row r="9" spans="1:51">
      <c r="A9" s="34" t="s">
        <v>56</v>
      </c>
      <c r="B9" s="35" t="s">
        <v>57</v>
      </c>
      <c r="C9" s="36">
        <v>2695</v>
      </c>
      <c r="D9" s="37">
        <v>2746</v>
      </c>
      <c r="E9" s="36">
        <v>7900</v>
      </c>
      <c r="F9" s="37">
        <v>1128</v>
      </c>
      <c r="G9" s="36">
        <v>903</v>
      </c>
      <c r="H9" s="37">
        <v>3566</v>
      </c>
      <c r="I9" s="36">
        <f>-'[9]July 2011 RRS'!$J$7</f>
        <v>2940</v>
      </c>
      <c r="J9" s="37">
        <v>7768</v>
      </c>
      <c r="K9" s="36">
        <v>3272</v>
      </c>
      <c r="L9" s="37">
        <v>3132</v>
      </c>
      <c r="M9" s="36">
        <v>2507</v>
      </c>
      <c r="N9" s="37">
        <v>6805</v>
      </c>
      <c r="O9" s="38">
        <f>SUM(C9:N9)</f>
        <v>45362</v>
      </c>
      <c r="Q9" s="33"/>
      <c r="R9" s="39"/>
      <c r="S9" s="40"/>
      <c r="T9" s="39"/>
      <c r="U9" s="39"/>
      <c r="V9" s="41"/>
      <c r="W9" s="8"/>
    </row>
    <row r="10" spans="1:51" ht="15.75">
      <c r="A10" s="42"/>
      <c r="B10" s="35" t="s">
        <v>58</v>
      </c>
      <c r="C10" s="43">
        <f>C11/C9</f>
        <v>0.38739888682745827</v>
      </c>
      <c r="D10" s="44">
        <f>D11/D9</f>
        <v>0.3871085214857975</v>
      </c>
      <c r="E10" s="43">
        <f>D10</f>
        <v>0.3871085214857975</v>
      </c>
      <c r="F10" s="44">
        <f>F11/F9</f>
        <v>0.49350177304964538</v>
      </c>
      <c r="G10" s="43">
        <f>G11/G9</f>
        <v>0.49349944629014397</v>
      </c>
      <c r="H10" s="44">
        <f>H11/H9</f>
        <v>0.4934997195737521</v>
      </c>
      <c r="I10" s="43">
        <f>H10</f>
        <v>0.4934997195737521</v>
      </c>
      <c r="J10" s="44">
        <f>J11/J9</f>
        <v>0.50640061791967039</v>
      </c>
      <c r="K10" s="43">
        <f>K11/K9</f>
        <v>0.50639975550122251</v>
      </c>
      <c r="L10" s="44">
        <f>L11/L9</f>
        <v>0.50639846743295014</v>
      </c>
      <c r="M10" s="43">
        <f>M11/M9</f>
        <v>0.50639808536098918</v>
      </c>
      <c r="N10" s="44">
        <f>N11/N9</f>
        <v>0.50839970609845697</v>
      </c>
      <c r="O10" s="45">
        <f>IF(O9=0,0,+O11/O9)</f>
        <v>0.48773422688593981</v>
      </c>
      <c r="Q10" s="33"/>
      <c r="R10" s="46"/>
      <c r="S10" s="46"/>
      <c r="T10" s="47"/>
      <c r="U10" s="47"/>
      <c r="V10" s="41"/>
      <c r="W10" s="8"/>
    </row>
    <row r="11" spans="1:51">
      <c r="A11" s="42"/>
      <c r="B11" s="35" t="s">
        <v>15</v>
      </c>
      <c r="C11" s="48">
        <v>1044.04</v>
      </c>
      <c r="D11" s="49">
        <v>1063</v>
      </c>
      <c r="E11" s="48">
        <v>3898.65</v>
      </c>
      <c r="F11" s="49">
        <v>556.66999999999996</v>
      </c>
      <c r="G11" s="48">
        <v>445.63</v>
      </c>
      <c r="H11" s="49">
        <v>1759.82</v>
      </c>
      <c r="I11" s="36">
        <f>'[9]July 2011 RRS'!$L$7</f>
        <v>1450.89</v>
      </c>
      <c r="J11" s="49">
        <v>3933.72</v>
      </c>
      <c r="K11" s="48">
        <v>1656.94</v>
      </c>
      <c r="L11" s="49">
        <v>1586.04</v>
      </c>
      <c r="M11" s="48">
        <v>1269.54</v>
      </c>
      <c r="N11" s="49">
        <v>3459.66</v>
      </c>
      <c r="O11" s="50">
        <f>SUM(C11:N11)</f>
        <v>22124.600000000002</v>
      </c>
      <c r="Q11" s="33"/>
      <c r="R11" s="40"/>
      <c r="S11" s="40"/>
      <c r="T11" s="40"/>
      <c r="U11" s="40"/>
      <c r="V11" s="41"/>
      <c r="W11" s="8"/>
    </row>
    <row r="12" spans="1:51" ht="16.5" thickBot="1">
      <c r="A12" s="51"/>
      <c r="B12" s="52" t="s">
        <v>59</v>
      </c>
      <c r="C12" s="53">
        <f t="shared" ref="C12:O12" si="1">C11/C$7</f>
        <v>2.9176168119830095</v>
      </c>
      <c r="D12" s="54">
        <f t="shared" si="1"/>
        <v>3.173987041294676</v>
      </c>
      <c r="E12" s="53">
        <f t="shared" si="1"/>
        <v>10.80407371483996</v>
      </c>
      <c r="F12" s="54">
        <f t="shared" si="1"/>
        <v>1.5456615299180896</v>
      </c>
      <c r="G12" s="53">
        <f t="shared" si="1"/>
        <v>1.2664980389927811</v>
      </c>
      <c r="H12" s="54">
        <f t="shared" si="1"/>
        <v>4.3774439082632703</v>
      </c>
      <c r="I12" s="53">
        <f t="shared" si="1"/>
        <v>4.01219512195122</v>
      </c>
      <c r="J12" s="54">
        <f t="shared" si="1"/>
        <v>9.9472007282658179</v>
      </c>
      <c r="K12" s="53">
        <f t="shared" si="1"/>
        <v>4.5065955884352817</v>
      </c>
      <c r="L12" s="54">
        <f t="shared" si="1"/>
        <v>4.3029924848747934</v>
      </c>
      <c r="M12" s="53">
        <f t="shared" si="1"/>
        <v>3.5256185953511623</v>
      </c>
      <c r="N12" s="54">
        <f t="shared" si="1"/>
        <v>10.680600148184736</v>
      </c>
      <c r="O12" s="55">
        <f t="shared" si="1"/>
        <v>5.0919912174509436</v>
      </c>
      <c r="Q12" s="33"/>
      <c r="R12" s="46"/>
      <c r="S12" s="56"/>
      <c r="T12" s="57"/>
      <c r="U12" s="57"/>
      <c r="V12" s="41"/>
      <c r="W12" s="8"/>
    </row>
    <row r="13" spans="1:51">
      <c r="A13" s="28" t="s">
        <v>60</v>
      </c>
      <c r="B13" s="29" t="s">
        <v>55</v>
      </c>
      <c r="C13" s="30">
        <f>C14/C$7</f>
        <v>0</v>
      </c>
      <c r="D13" s="31">
        <f t="shared" ref="D13:N13" si="2">D14/D$7</f>
        <v>1.3585739452390193</v>
      </c>
      <c r="E13" s="30">
        <f t="shared" si="2"/>
        <v>0</v>
      </c>
      <c r="F13" s="31">
        <f t="shared" si="2"/>
        <v>0</v>
      </c>
      <c r="G13" s="30">
        <f t="shared" si="2"/>
        <v>0</v>
      </c>
      <c r="H13" s="31">
        <f t="shared" si="2"/>
        <v>0</v>
      </c>
      <c r="I13" s="30">
        <f t="shared" si="2"/>
        <v>0.95404015264642439</v>
      </c>
      <c r="J13" s="31">
        <f t="shared" si="2"/>
        <v>0</v>
      </c>
      <c r="K13" s="30">
        <f t="shared" si="2"/>
        <v>1.1695270215138576</v>
      </c>
      <c r="L13" s="31">
        <f t="shared" si="2"/>
        <v>3.7168669795707969</v>
      </c>
      <c r="M13" s="30">
        <f t="shared" si="2"/>
        <v>2.2772084756588633</v>
      </c>
      <c r="N13" s="31">
        <f t="shared" si="2"/>
        <v>0</v>
      </c>
      <c r="O13" s="32">
        <f>O14/O$7</f>
        <v>0.78711524563979574</v>
      </c>
      <c r="Q13" s="33"/>
      <c r="R13" s="58"/>
      <c r="S13" s="58"/>
      <c r="T13" s="58"/>
      <c r="U13" s="58"/>
      <c r="V13" s="41"/>
    </row>
    <row r="14" spans="1:51">
      <c r="A14" s="34" t="s">
        <v>56</v>
      </c>
      <c r="B14" s="35" t="s">
        <v>57</v>
      </c>
      <c r="C14" s="36">
        <v>0</v>
      </c>
      <c r="D14" s="37">
        <v>455</v>
      </c>
      <c r="E14" s="36">
        <v>0</v>
      </c>
      <c r="F14" s="37">
        <v>0</v>
      </c>
      <c r="G14" s="36">
        <v>0</v>
      </c>
      <c r="H14" s="37">
        <v>0</v>
      </c>
      <c r="I14" s="36">
        <f>-'[9]July 2011 RRS'!$J$9</f>
        <v>345</v>
      </c>
      <c r="J14" s="37">
        <v>0</v>
      </c>
      <c r="K14" s="36">
        <v>430</v>
      </c>
      <c r="L14" s="37">
        <v>1370</v>
      </c>
      <c r="M14" s="36">
        <v>820</v>
      </c>
      <c r="N14" s="37">
        <v>0</v>
      </c>
      <c r="O14" s="38">
        <f>SUM(C14:N14)</f>
        <v>3420</v>
      </c>
      <c r="Q14" s="33"/>
      <c r="R14" s="57"/>
      <c r="S14" s="57"/>
      <c r="T14" s="57"/>
      <c r="U14" s="57"/>
      <c r="V14" s="41"/>
      <c r="W14" s="8"/>
    </row>
    <row r="15" spans="1:51" ht="15.75">
      <c r="A15" s="42"/>
      <c r="B15" s="35" t="s">
        <v>58</v>
      </c>
      <c r="C15" s="43">
        <f>'[10]Price Changes'!$F$4</f>
        <v>0.88580000000000003</v>
      </c>
      <c r="D15" s="44">
        <f>D16/D14</f>
        <v>0.90540659340659335</v>
      </c>
      <c r="E15" s="43">
        <f>'[10]Price Changes'!$F$4</f>
        <v>0.88580000000000003</v>
      </c>
      <c r="F15" s="44">
        <f>'[10]Price Changes'!$F$4</f>
        <v>0.88580000000000003</v>
      </c>
      <c r="G15" s="43">
        <f>'[10]Price Changes'!$F$4</f>
        <v>0.88580000000000003</v>
      </c>
      <c r="H15" s="44">
        <f>'[10]Price Changes'!$F$4</f>
        <v>0.88580000000000003</v>
      </c>
      <c r="I15" s="43">
        <f>I16/I14</f>
        <v>0.90539130434782611</v>
      </c>
      <c r="J15" s="44">
        <f>'[10]Price Changes'!$F$4</f>
        <v>0.88580000000000003</v>
      </c>
      <c r="K15" s="43">
        <f>K16/K14</f>
        <v>0.90539534883720929</v>
      </c>
      <c r="L15" s="44">
        <f>L16/L14</f>
        <v>0.9051094890510949</v>
      </c>
      <c r="M15" s="43">
        <f>M16/M14</f>
        <v>0.90540243902439022</v>
      </c>
      <c r="N15" s="44">
        <f>'[10]Price Changes'!$F$4</f>
        <v>0.88580000000000003</v>
      </c>
      <c r="O15" s="45">
        <f>IF(O14=0,0,+O16/O14)</f>
        <v>0.90528362573099408</v>
      </c>
      <c r="Q15" s="33"/>
      <c r="R15" s="46"/>
      <c r="S15" s="46"/>
      <c r="T15" s="47"/>
      <c r="U15" s="47"/>
      <c r="V15" s="41"/>
      <c r="W15" s="8"/>
    </row>
    <row r="16" spans="1:51">
      <c r="A16" s="42"/>
      <c r="B16" s="35" t="s">
        <v>15</v>
      </c>
      <c r="C16" s="48">
        <f>C14*C15</f>
        <v>0</v>
      </c>
      <c r="D16" s="49">
        <v>411.96</v>
      </c>
      <c r="E16" s="48">
        <f>E14*E15</f>
        <v>0</v>
      </c>
      <c r="F16" s="49">
        <f>F14*F15</f>
        <v>0</v>
      </c>
      <c r="G16" s="48">
        <f>G14*G15</f>
        <v>0</v>
      </c>
      <c r="H16" s="49">
        <f>H14*H15</f>
        <v>0</v>
      </c>
      <c r="I16" s="36">
        <f>'[9]July 2011 RRS'!$L$9</f>
        <v>312.36</v>
      </c>
      <c r="J16" s="49">
        <f>J14*J15</f>
        <v>0</v>
      </c>
      <c r="K16" s="48">
        <v>389.32</v>
      </c>
      <c r="L16" s="49">
        <v>1240</v>
      </c>
      <c r="M16" s="48">
        <v>742.43</v>
      </c>
      <c r="N16" s="49">
        <f>N14*N15</f>
        <v>0</v>
      </c>
      <c r="O16" s="50">
        <f>SUM(C16:N16)</f>
        <v>3096.0699999999997</v>
      </c>
      <c r="Q16" s="33"/>
      <c r="R16" s="40"/>
      <c r="S16" s="59"/>
      <c r="T16" s="40"/>
      <c r="U16" s="40"/>
      <c r="V16" s="41"/>
      <c r="W16" s="8"/>
    </row>
    <row r="17" spans="1:43" ht="16.5" thickBot="1">
      <c r="A17" s="51"/>
      <c r="B17" s="52" t="s">
        <v>59</v>
      </c>
      <c r="C17" s="53">
        <f t="shared" ref="C17:O17" si="3">C16/C$7</f>
        <v>0</v>
      </c>
      <c r="D17" s="54">
        <f t="shared" si="3"/>
        <v>1.2300618076498162</v>
      </c>
      <c r="E17" s="53">
        <f t="shared" si="3"/>
        <v>0</v>
      </c>
      <c r="F17" s="54">
        <f t="shared" si="3"/>
        <v>0</v>
      </c>
      <c r="G17" s="53">
        <f t="shared" si="3"/>
        <v>0</v>
      </c>
      <c r="H17" s="54">
        <f t="shared" si="3"/>
        <v>0</v>
      </c>
      <c r="I17" s="53">
        <f t="shared" si="3"/>
        <v>0.86377965820474534</v>
      </c>
      <c r="J17" s="54">
        <f t="shared" si="3"/>
        <v>0</v>
      </c>
      <c r="K17" s="53">
        <f t="shared" si="3"/>
        <v>1.0588843256180813</v>
      </c>
      <c r="L17" s="54">
        <f t="shared" si="3"/>
        <v>3.3641715727502106</v>
      </c>
      <c r="M17" s="53">
        <f t="shared" si="3"/>
        <v>2.0617901080285486</v>
      </c>
      <c r="N17" s="54">
        <f t="shared" si="3"/>
        <v>0</v>
      </c>
      <c r="O17" s="55">
        <f t="shared" si="3"/>
        <v>0.71256254344093628</v>
      </c>
      <c r="Q17" s="33"/>
      <c r="R17" s="46"/>
      <c r="S17" s="56"/>
      <c r="T17" s="57"/>
      <c r="U17" s="57"/>
      <c r="V17" s="41"/>
      <c r="W17" s="8"/>
    </row>
    <row r="18" spans="1:43">
      <c r="A18" s="28" t="s">
        <v>61</v>
      </c>
      <c r="B18" s="29" t="s">
        <v>55</v>
      </c>
      <c r="C18" s="30">
        <f>C19/C$7</f>
        <v>55.535993740219098</v>
      </c>
      <c r="D18" s="31">
        <f t="shared" ref="D18:O18" si="4">D19/D$7</f>
        <v>63.494670209907135</v>
      </c>
      <c r="E18" s="30">
        <f t="shared" si="4"/>
        <v>70.029097963142576</v>
      </c>
      <c r="F18" s="31">
        <f t="shared" si="4"/>
        <v>69.970845481049565</v>
      </c>
      <c r="G18" s="30">
        <f t="shared" si="4"/>
        <v>73.480929915307215</v>
      </c>
      <c r="H18" s="31">
        <f t="shared" si="4"/>
        <v>70.270135814138598</v>
      </c>
      <c r="I18" s="30">
        <f t="shared" si="4"/>
        <v>91.878214700514349</v>
      </c>
      <c r="J18" s="31">
        <f t="shared" si="4"/>
        <v>76.480554291205181</v>
      </c>
      <c r="K18" s="30">
        <f t="shared" si="4"/>
        <v>74.931324285364596</v>
      </c>
      <c r="L18" s="31">
        <f t="shared" si="4"/>
        <v>73.971078976640712</v>
      </c>
      <c r="M18" s="30">
        <f t="shared" si="4"/>
        <v>68.13574384181733</v>
      </c>
      <c r="N18" s="31">
        <f t="shared" si="4"/>
        <v>61.465794023215608</v>
      </c>
      <c r="O18" s="32">
        <f t="shared" si="4"/>
        <v>70.98835897978816</v>
      </c>
      <c r="Q18" s="33"/>
      <c r="Y18" s="15"/>
      <c r="AQ18" s="15"/>
    </row>
    <row r="19" spans="1:43" ht="15.75">
      <c r="A19" s="34" t="s">
        <v>56</v>
      </c>
      <c r="B19" s="35" t="s">
        <v>57</v>
      </c>
      <c r="C19" s="36">
        <v>19873</v>
      </c>
      <c r="D19" s="37">
        <v>21265</v>
      </c>
      <c r="E19" s="36">
        <v>25270</v>
      </c>
      <c r="F19" s="37">
        <v>25200</v>
      </c>
      <c r="G19" s="36">
        <v>25855</v>
      </c>
      <c r="H19" s="37">
        <v>28250</v>
      </c>
      <c r="I19" s="36">
        <f>-'[9]July 2011 RRS'!$J$10</f>
        <v>33225</v>
      </c>
      <c r="J19" s="37">
        <v>30245</v>
      </c>
      <c r="K19" s="36">
        <v>27550</v>
      </c>
      <c r="L19" s="37">
        <v>27265</v>
      </c>
      <c r="M19" s="36">
        <v>24535</v>
      </c>
      <c r="N19" s="37">
        <v>19910</v>
      </c>
      <c r="O19" s="38">
        <f>SUM(C19:N19)</f>
        <v>308443</v>
      </c>
      <c r="Q19" s="33"/>
      <c r="R19" s="60"/>
      <c r="S19" s="60"/>
      <c r="T19" s="60"/>
      <c r="U19" s="57"/>
      <c r="V19" s="41"/>
      <c r="W19" s="8"/>
      <c r="Y19" s="15"/>
      <c r="AA19" s="16"/>
      <c r="AH19" s="16"/>
      <c r="AJ19" s="8"/>
      <c r="AK19" s="16"/>
      <c r="AQ19" s="15"/>
    </row>
    <row r="20" spans="1:43" ht="15.75">
      <c r="A20" s="42"/>
      <c r="B20" s="35" t="s">
        <v>58</v>
      </c>
      <c r="C20" s="43">
        <f>C21/C19</f>
        <v>0.20069994464851809</v>
      </c>
      <c r="D20" s="44">
        <f>D21/D19</f>
        <v>0.20040018810251589</v>
      </c>
      <c r="E20" s="43">
        <f>E21/E19</f>
        <v>0.20040007914523147</v>
      </c>
      <c r="F20" s="44">
        <f t="shared" ref="F20:N20" si="5">F21/F19</f>
        <v>0.20030000000000001</v>
      </c>
      <c r="G20" s="43">
        <f t="shared" si="5"/>
        <v>0.20030013537033456</v>
      </c>
      <c r="H20" s="44">
        <f t="shared" si="5"/>
        <v>0.20030017699115044</v>
      </c>
      <c r="I20" s="43">
        <f t="shared" si="5"/>
        <v>0.20030007524454477</v>
      </c>
      <c r="J20" s="44">
        <f t="shared" si="5"/>
        <v>0.20029988427839313</v>
      </c>
      <c r="K20" s="43">
        <f t="shared" si="5"/>
        <v>0.20030018148820328</v>
      </c>
      <c r="L20" s="44">
        <f t="shared" si="5"/>
        <v>0.20030001833852926</v>
      </c>
      <c r="M20" s="43">
        <f t="shared" si="5"/>
        <v>0.20029997962094964</v>
      </c>
      <c r="N20" s="44">
        <f t="shared" si="5"/>
        <v>0.20029984932194875</v>
      </c>
      <c r="O20" s="45">
        <f>IF(O19=0,0,+O21/O19)</f>
        <v>0.20034090577513514</v>
      </c>
      <c r="Q20" s="33"/>
      <c r="R20" s="46"/>
      <c r="S20" s="46"/>
      <c r="T20" s="47"/>
      <c r="U20" s="47"/>
      <c r="V20" s="41"/>
      <c r="W20" s="61"/>
      <c r="X20" s="40"/>
      <c r="Y20" s="62"/>
      <c r="Z20" s="40"/>
      <c r="AA20" s="40"/>
      <c r="AB20" s="40"/>
      <c r="AC20" s="40"/>
      <c r="AD20" s="40"/>
      <c r="AQ20" s="15"/>
    </row>
    <row r="21" spans="1:43" ht="15.75">
      <c r="A21" s="42"/>
      <c r="B21" s="35" t="s">
        <v>15</v>
      </c>
      <c r="C21" s="48">
        <v>3988.51</v>
      </c>
      <c r="D21" s="49">
        <v>4261.51</v>
      </c>
      <c r="E21" s="48">
        <v>5064.1099999999997</v>
      </c>
      <c r="F21" s="49">
        <v>5047.5600000000004</v>
      </c>
      <c r="G21" s="48">
        <v>5178.76</v>
      </c>
      <c r="H21" s="49">
        <v>5658.48</v>
      </c>
      <c r="I21" s="36">
        <f>'[9]July 2011 RRS'!$L$10</f>
        <v>6654.97</v>
      </c>
      <c r="J21" s="49">
        <v>6058.07</v>
      </c>
      <c r="K21" s="48">
        <v>5518.27</v>
      </c>
      <c r="L21" s="49">
        <v>5461.18</v>
      </c>
      <c r="M21" s="48">
        <v>4914.3599999999997</v>
      </c>
      <c r="N21" s="49">
        <v>3987.97</v>
      </c>
      <c r="O21" s="50">
        <f>SUM(C21:N21)</f>
        <v>61793.750000000007</v>
      </c>
      <c r="Q21" s="33"/>
      <c r="R21" s="40"/>
      <c r="S21" s="40"/>
      <c r="T21" s="40"/>
      <c r="U21" s="40"/>
      <c r="V21" s="41"/>
      <c r="W21" s="8"/>
      <c r="Y21" s="15"/>
      <c r="AA21" s="16"/>
      <c r="AB21" s="8"/>
      <c r="AK21" s="8"/>
      <c r="AQ21" s="15"/>
    </row>
    <row r="22" spans="1:43" ht="16.5" thickBot="1">
      <c r="A22" s="51"/>
      <c r="B22" s="52" t="s">
        <v>59</v>
      </c>
      <c r="C22" s="53">
        <f t="shared" ref="C22:O22" si="6">C21/C$7</f>
        <v>11.14607086966242</v>
      </c>
      <c r="D22" s="54">
        <f t="shared" si="6"/>
        <v>12.724343853572602</v>
      </c>
      <c r="E22" s="53">
        <f t="shared" si="6"/>
        <v>14.033836774282941</v>
      </c>
      <c r="F22" s="54">
        <f t="shared" si="6"/>
        <v>14.015160349854229</v>
      </c>
      <c r="G22" s="53">
        <f t="shared" si="6"/>
        <v>14.718240209174104</v>
      </c>
      <c r="H22" s="54">
        <f t="shared" si="6"/>
        <v>14.07512064076414</v>
      </c>
      <c r="I22" s="53">
        <f t="shared" si="6"/>
        <v>18.403213317847463</v>
      </c>
      <c r="J22" s="54">
        <f t="shared" si="6"/>
        <v>15.31904617407576</v>
      </c>
      <c r="K22" s="53">
        <f t="shared" si="6"/>
        <v>15.008757853509941</v>
      </c>
      <c r="L22" s="54">
        <f t="shared" si="6"/>
        <v>14.816408475541932</v>
      </c>
      <c r="M22" s="53">
        <f t="shared" si="6"/>
        <v>13.647588102974256</v>
      </c>
      <c r="N22" s="54">
        <f t="shared" si="6"/>
        <v>12.311589281304025</v>
      </c>
      <c r="O22" s="55">
        <f t="shared" si="6"/>
        <v>14.221872137501208</v>
      </c>
      <c r="Q22" s="33"/>
      <c r="R22" s="46"/>
      <c r="S22" s="56"/>
      <c r="T22" s="57"/>
      <c r="U22" s="57"/>
      <c r="V22" s="41"/>
      <c r="W22" s="8"/>
      <c r="Y22" s="15"/>
      <c r="AA22" s="63"/>
      <c r="AB22" s="8"/>
      <c r="AQ22" s="15"/>
    </row>
    <row r="23" spans="1:43">
      <c r="A23" s="28" t="s">
        <v>62</v>
      </c>
      <c r="B23" s="29" t="s">
        <v>55</v>
      </c>
      <c r="C23" s="30">
        <f>C24/C$7</f>
        <v>0</v>
      </c>
      <c r="D23" s="31">
        <f t="shared" ref="D23:N23" si="7">D24/D$7</f>
        <v>0</v>
      </c>
      <c r="E23" s="30">
        <f t="shared" si="7"/>
        <v>0</v>
      </c>
      <c r="F23" s="31">
        <f t="shared" si="7"/>
        <v>0</v>
      </c>
      <c r="G23" s="30">
        <f t="shared" si="7"/>
        <v>0</v>
      </c>
      <c r="H23" s="31">
        <f t="shared" si="7"/>
        <v>14.924630615392269</v>
      </c>
      <c r="I23" s="30">
        <f t="shared" si="7"/>
        <v>0</v>
      </c>
      <c r="J23" s="31">
        <f t="shared" si="7"/>
        <v>0</v>
      </c>
      <c r="K23" s="30">
        <f t="shared" si="7"/>
        <v>0</v>
      </c>
      <c r="L23" s="31">
        <f t="shared" si="7"/>
        <v>0</v>
      </c>
      <c r="M23" s="30">
        <f t="shared" si="7"/>
        <v>0</v>
      </c>
      <c r="N23" s="31">
        <f t="shared" si="7"/>
        <v>0</v>
      </c>
      <c r="O23" s="32">
        <f>O24/O$7</f>
        <v>1.3809039397189398</v>
      </c>
      <c r="Q23" s="33"/>
    </row>
    <row r="24" spans="1:43">
      <c r="A24" s="34" t="s">
        <v>56</v>
      </c>
      <c r="B24" s="35" t="s">
        <v>57</v>
      </c>
      <c r="C24" s="36">
        <v>0</v>
      </c>
      <c r="D24" s="37">
        <v>0</v>
      </c>
      <c r="E24" s="36">
        <v>0</v>
      </c>
      <c r="F24" s="37">
        <v>0</v>
      </c>
      <c r="G24" s="36">
        <v>0</v>
      </c>
      <c r="H24" s="37">
        <v>6000</v>
      </c>
      <c r="I24" s="36">
        <v>0</v>
      </c>
      <c r="J24" s="37">
        <v>0</v>
      </c>
      <c r="K24" s="36">
        <v>0</v>
      </c>
      <c r="L24" s="37">
        <v>0</v>
      </c>
      <c r="M24" s="36">
        <v>0</v>
      </c>
      <c r="N24" s="37">
        <v>0</v>
      </c>
      <c r="O24" s="38">
        <f>SUM(C24:N24)</f>
        <v>6000</v>
      </c>
      <c r="Q24" s="33"/>
      <c r="R24" s="57"/>
      <c r="S24" s="60"/>
      <c r="T24" s="57"/>
      <c r="U24" s="57"/>
      <c r="V24" s="41"/>
      <c r="W24" s="8"/>
    </row>
    <row r="25" spans="1:43" ht="15.75">
      <c r="A25" s="42"/>
      <c r="B25" s="35" t="s">
        <v>58</v>
      </c>
      <c r="C25" s="43">
        <f>'[10]Price Changes'!$F$6</f>
        <v>1.4008</v>
      </c>
      <c r="D25" s="44">
        <f>'[10]Price Changes'!$F$6</f>
        <v>1.4008</v>
      </c>
      <c r="E25" s="43">
        <f>'[10]Price Changes'!$F$6</f>
        <v>1.4008</v>
      </c>
      <c r="F25" s="44">
        <f>'[10]Price Changes'!$F$6</f>
        <v>1.4008</v>
      </c>
      <c r="G25" s="43">
        <f>'[10]Price Changes'!$F$6</f>
        <v>1.4008</v>
      </c>
      <c r="H25" s="44">
        <f>H26/H24</f>
        <v>1.361</v>
      </c>
      <c r="I25" s="43">
        <f>'[10]Price Changes'!$F$6</f>
        <v>1.4008</v>
      </c>
      <c r="J25" s="44">
        <f>'[10]Price Changes'!$F$6</f>
        <v>1.4008</v>
      </c>
      <c r="K25" s="43">
        <f>'[10]Price Changes'!$F$6</f>
        <v>1.4008</v>
      </c>
      <c r="L25" s="44">
        <f>'[10]Price Changes'!$F$6</f>
        <v>1.4008</v>
      </c>
      <c r="M25" s="43">
        <f>'[10]Price Changes'!$F$6</f>
        <v>1.4008</v>
      </c>
      <c r="N25" s="44">
        <f>'[10]Price Changes'!$F$6</f>
        <v>1.4008</v>
      </c>
      <c r="O25" s="45">
        <f>IF(O24=0,0,+O26/O24)</f>
        <v>1.361</v>
      </c>
      <c r="Q25" s="33"/>
      <c r="R25" s="46"/>
      <c r="S25" s="46"/>
      <c r="T25" s="47"/>
      <c r="U25" s="47"/>
      <c r="V25" s="41"/>
      <c r="W25" s="8"/>
    </row>
    <row r="26" spans="1:43">
      <c r="A26" s="42"/>
      <c r="B26" s="35" t="s">
        <v>15</v>
      </c>
      <c r="C26" s="48">
        <f>C24*C25</f>
        <v>0</v>
      </c>
      <c r="D26" s="49">
        <f>D24*D25</f>
        <v>0</v>
      </c>
      <c r="E26" s="48">
        <f>E24*E25</f>
        <v>0</v>
      </c>
      <c r="F26" s="49">
        <f>F24*F25</f>
        <v>0</v>
      </c>
      <c r="G26" s="48">
        <f>G24*G25</f>
        <v>0</v>
      </c>
      <c r="H26" s="49">
        <v>8166</v>
      </c>
      <c r="I26" s="48">
        <f t="shared" ref="I26:N26" si="8">I24*I25</f>
        <v>0</v>
      </c>
      <c r="J26" s="49">
        <f t="shared" si="8"/>
        <v>0</v>
      </c>
      <c r="K26" s="48">
        <f t="shared" si="8"/>
        <v>0</v>
      </c>
      <c r="L26" s="49">
        <f t="shared" si="8"/>
        <v>0</v>
      </c>
      <c r="M26" s="48">
        <f t="shared" si="8"/>
        <v>0</v>
      </c>
      <c r="N26" s="49">
        <f t="shared" si="8"/>
        <v>0</v>
      </c>
      <c r="O26" s="50">
        <f>SUM(C26:N26)</f>
        <v>8166</v>
      </c>
      <c r="Q26" s="33"/>
      <c r="R26" s="40"/>
      <c r="S26" s="40"/>
      <c r="T26" s="40"/>
      <c r="U26" s="40"/>
      <c r="V26" s="41"/>
      <c r="W26" s="8"/>
    </row>
    <row r="27" spans="1:43" ht="16.5" thickBot="1">
      <c r="A27" s="51"/>
      <c r="B27" s="52" t="s">
        <v>59</v>
      </c>
      <c r="C27" s="53">
        <f t="shared" ref="C27:O27" si="9">C26/C$7</f>
        <v>0</v>
      </c>
      <c r="D27" s="54">
        <f t="shared" si="9"/>
        <v>0</v>
      </c>
      <c r="E27" s="53">
        <f t="shared" si="9"/>
        <v>0</v>
      </c>
      <c r="F27" s="54">
        <f t="shared" si="9"/>
        <v>0</v>
      </c>
      <c r="G27" s="53">
        <f t="shared" si="9"/>
        <v>0</v>
      </c>
      <c r="H27" s="54">
        <f t="shared" si="9"/>
        <v>20.312422267548879</v>
      </c>
      <c r="I27" s="53">
        <f t="shared" si="9"/>
        <v>0</v>
      </c>
      <c r="J27" s="54">
        <f t="shared" si="9"/>
        <v>0</v>
      </c>
      <c r="K27" s="53">
        <f t="shared" si="9"/>
        <v>0</v>
      </c>
      <c r="L27" s="54">
        <f t="shared" si="9"/>
        <v>0</v>
      </c>
      <c r="M27" s="53">
        <f t="shared" si="9"/>
        <v>0</v>
      </c>
      <c r="N27" s="54">
        <f t="shared" si="9"/>
        <v>0</v>
      </c>
      <c r="O27" s="55">
        <f t="shared" si="9"/>
        <v>1.8794102619574771</v>
      </c>
      <c r="Q27" s="33"/>
      <c r="R27" s="46"/>
      <c r="S27" s="56"/>
      <c r="T27" s="57"/>
      <c r="U27" s="57"/>
      <c r="V27" s="41"/>
    </row>
    <row r="28" spans="1:43">
      <c r="A28" s="181" t="s">
        <v>63</v>
      </c>
      <c r="B28" s="29" t="s">
        <v>55</v>
      </c>
      <c r="C28" s="30">
        <f>C29/C$7</f>
        <v>22.918063939190702</v>
      </c>
      <c r="D28" s="31">
        <f t="shared" ref="D28:O28" si="10">D29/D$7</f>
        <v>26.711653877161027</v>
      </c>
      <c r="E28" s="30">
        <f t="shared" si="10"/>
        <v>23.28114174864902</v>
      </c>
      <c r="F28" s="31">
        <f t="shared" si="10"/>
        <v>23.348604748021661</v>
      </c>
      <c r="G28" s="30">
        <f t="shared" si="10"/>
        <v>22.477689990337065</v>
      </c>
      <c r="H28" s="31">
        <f t="shared" si="10"/>
        <v>22.859559225909159</v>
      </c>
      <c r="I28" s="30">
        <f t="shared" si="10"/>
        <v>22.413030252751508</v>
      </c>
      <c r="J28" s="31">
        <f t="shared" si="10"/>
        <v>24.346330855206595</v>
      </c>
      <c r="K28" s="30">
        <f t="shared" si="10"/>
        <v>23.643484646558054</v>
      </c>
      <c r="L28" s="31">
        <f t="shared" si="10"/>
        <v>25.974660191540739</v>
      </c>
      <c r="M28" s="30">
        <f t="shared" si="10"/>
        <v>23.266405620817018</v>
      </c>
      <c r="N28" s="31">
        <f t="shared" si="10"/>
        <v>23.37305507532724</v>
      </c>
      <c r="O28" s="32">
        <f t="shared" si="10"/>
        <v>23.7066683851249</v>
      </c>
    </row>
    <row r="29" spans="1:43">
      <c r="A29" s="34" t="s">
        <v>64</v>
      </c>
      <c r="B29" s="35" t="s">
        <v>57</v>
      </c>
      <c r="C29" s="36">
        <v>8201</v>
      </c>
      <c r="D29" s="37">
        <v>8946</v>
      </c>
      <c r="E29" s="36">
        <v>8401</v>
      </c>
      <c r="F29" s="37">
        <v>8409</v>
      </c>
      <c r="G29" s="36">
        <v>7909</v>
      </c>
      <c r="H29" s="37">
        <v>9190</v>
      </c>
      <c r="I29" s="36">
        <f>-'[9]July 2011 RRS'!$J$6</f>
        <v>8105</v>
      </c>
      <c r="J29" s="37">
        <v>9628</v>
      </c>
      <c r="K29" s="36">
        <v>8693</v>
      </c>
      <c r="L29" s="37">
        <v>9574</v>
      </c>
      <c r="M29" s="36">
        <v>8378</v>
      </c>
      <c r="N29" s="37">
        <v>7571</v>
      </c>
      <c r="O29" s="38">
        <f>SUM(C29:N29)</f>
        <v>103005</v>
      </c>
    </row>
    <row r="30" spans="1:43">
      <c r="A30" s="34"/>
      <c r="B30" s="35" t="s">
        <v>58</v>
      </c>
      <c r="C30" s="43">
        <f>C31/C29</f>
        <v>0.45099987806365077</v>
      </c>
      <c r="D30" s="44">
        <f>D31/D29</f>
        <v>0.45100044712720772</v>
      </c>
      <c r="E30" s="43">
        <f t="shared" ref="E30:N30" si="11">E31/E29</f>
        <v>0.44069991667658615</v>
      </c>
      <c r="F30" s="44">
        <f t="shared" si="11"/>
        <v>0.44070044000475678</v>
      </c>
      <c r="G30" s="43">
        <f t="shared" si="11"/>
        <v>0.4299001137944114</v>
      </c>
      <c r="H30" s="44">
        <f t="shared" si="11"/>
        <v>0.4298911860718172</v>
      </c>
      <c r="I30" s="43">
        <f t="shared" si="11"/>
        <v>0.42459962985811228</v>
      </c>
      <c r="J30" s="44">
        <f t="shared" si="11"/>
        <v>0.42200041545492312</v>
      </c>
      <c r="K30" s="43">
        <f t="shared" si="11"/>
        <v>0.42200046014034276</v>
      </c>
      <c r="L30" s="44">
        <f t="shared" si="11"/>
        <v>0.41909964487152707</v>
      </c>
      <c r="M30" s="43">
        <f t="shared" si="11"/>
        <v>0.41910002387204581</v>
      </c>
      <c r="N30" s="44">
        <f t="shared" si="11"/>
        <v>0.41740060758156122</v>
      </c>
      <c r="O30" s="45">
        <f>IF(O29=0,0,+O31/O29)</f>
        <v>0.43055113829425762</v>
      </c>
    </row>
    <row r="31" spans="1:43">
      <c r="A31" s="42"/>
      <c r="B31" s="35" t="s">
        <v>15</v>
      </c>
      <c r="C31" s="48">
        <v>3698.65</v>
      </c>
      <c r="D31" s="49">
        <v>4034.65</v>
      </c>
      <c r="E31" s="48">
        <v>3702.32</v>
      </c>
      <c r="F31" s="49">
        <v>3705.85</v>
      </c>
      <c r="G31" s="48">
        <v>3400.08</v>
      </c>
      <c r="H31" s="49">
        <v>3950.7</v>
      </c>
      <c r="I31" s="36">
        <f>'[9]July 2011 RRS'!$L$6</f>
        <v>3441.38</v>
      </c>
      <c r="J31" s="49">
        <v>4063.02</v>
      </c>
      <c r="K31" s="48">
        <v>3668.45</v>
      </c>
      <c r="L31" s="49">
        <v>4012.46</v>
      </c>
      <c r="M31" s="48">
        <v>3511.22</v>
      </c>
      <c r="N31" s="49">
        <v>3160.14</v>
      </c>
      <c r="O31" s="50">
        <f>SUM(C31:N31)</f>
        <v>44348.920000000006</v>
      </c>
    </row>
    <row r="32" spans="1:43" ht="13.5" thickBot="1">
      <c r="A32" s="51"/>
      <c r="B32" s="52" t="s">
        <v>59</v>
      </c>
      <c r="C32" s="53">
        <f t="shared" ref="C32:O32" si="12">C31/C$7</f>
        <v>10.336044042029959</v>
      </c>
      <c r="D32" s="54">
        <f t="shared" si="12"/>
        <v>12.046967842106834</v>
      </c>
      <c r="E32" s="53">
        <f t="shared" si="12"/>
        <v>10.259997228765414</v>
      </c>
      <c r="F32" s="54">
        <f t="shared" si="12"/>
        <v>10.289740385950299</v>
      </c>
      <c r="G32" s="53">
        <f t="shared" si="12"/>
        <v>9.6631614846814067</v>
      </c>
      <c r="H32" s="54">
        <f t="shared" si="12"/>
        <v>9.8271230287050404</v>
      </c>
      <c r="I32" s="53">
        <f t="shared" si="12"/>
        <v>9.5165643493169636</v>
      </c>
      <c r="J32" s="54">
        <f t="shared" si="12"/>
        <v>10.274161735700197</v>
      </c>
      <c r="K32" s="53">
        <f t="shared" si="12"/>
        <v>9.9775614001686286</v>
      </c>
      <c r="L32" s="54">
        <f t="shared" si="12"/>
        <v>10.885970861933314</v>
      </c>
      <c r="M32" s="53">
        <f t="shared" si="12"/>
        <v>9.7509511511011144</v>
      </c>
      <c r="N32" s="54">
        <f t="shared" si="12"/>
        <v>9.7559273894788827</v>
      </c>
      <c r="O32" s="55">
        <f t="shared" si="12"/>
        <v>10.206933058380015</v>
      </c>
    </row>
    <row r="33" spans="1:43">
      <c r="A33" s="28" t="s">
        <v>65</v>
      </c>
      <c r="B33" s="29" t="s">
        <v>55</v>
      </c>
      <c r="C33" s="30">
        <f>C34/C$7</f>
        <v>0</v>
      </c>
      <c r="D33" s="31">
        <f t="shared" ref="D33:N33" si="13">D34/D$7</f>
        <v>0</v>
      </c>
      <c r="E33" s="30">
        <f t="shared" si="13"/>
        <v>0</v>
      </c>
      <c r="F33" s="31">
        <f t="shared" si="13"/>
        <v>0</v>
      </c>
      <c r="G33" s="30">
        <f t="shared" si="13"/>
        <v>0</v>
      </c>
      <c r="H33" s="31">
        <f t="shared" si="13"/>
        <v>0</v>
      </c>
      <c r="I33" s="30">
        <f t="shared" si="13"/>
        <v>0</v>
      </c>
      <c r="J33" s="31">
        <f t="shared" si="13"/>
        <v>0</v>
      </c>
      <c r="K33" s="30">
        <f t="shared" si="13"/>
        <v>0</v>
      </c>
      <c r="L33" s="31">
        <f t="shared" si="13"/>
        <v>0</v>
      </c>
      <c r="M33" s="30">
        <f t="shared" si="13"/>
        <v>0</v>
      </c>
      <c r="N33" s="31">
        <f t="shared" si="13"/>
        <v>0</v>
      </c>
      <c r="O33" s="32">
        <f>O34/O$7</f>
        <v>0</v>
      </c>
      <c r="Q33" s="33"/>
      <c r="Y33" s="8"/>
      <c r="Z33" s="9"/>
      <c r="AA33" s="9"/>
      <c r="AB33" s="9"/>
      <c r="AC33" s="9"/>
      <c r="AD33" s="9"/>
      <c r="AE33" s="9"/>
      <c r="AF33" s="9"/>
      <c r="AG33" s="9"/>
      <c r="AH33" s="9"/>
      <c r="AI33" s="9"/>
      <c r="AJ33" s="9"/>
      <c r="AK33" s="9"/>
      <c r="AL33" s="9"/>
      <c r="AM33" s="9"/>
      <c r="AN33" s="9"/>
      <c r="AO33" s="9"/>
      <c r="AP33" s="9"/>
      <c r="AQ33" s="8"/>
    </row>
    <row r="34" spans="1:43">
      <c r="A34" s="34" t="s">
        <v>64</v>
      </c>
      <c r="B34" s="35" t="s">
        <v>57</v>
      </c>
      <c r="C34" s="65">
        <v>0</v>
      </c>
      <c r="D34" s="66">
        <v>0</v>
      </c>
      <c r="E34" s="65">
        <v>0</v>
      </c>
      <c r="F34" s="66">
        <v>0</v>
      </c>
      <c r="G34" s="65">
        <v>0</v>
      </c>
      <c r="H34" s="66">
        <v>0</v>
      </c>
      <c r="I34" s="65">
        <v>0</v>
      </c>
      <c r="J34" s="66">
        <v>0</v>
      </c>
      <c r="K34" s="65">
        <v>0</v>
      </c>
      <c r="L34" s="66">
        <v>0</v>
      </c>
      <c r="M34" s="65">
        <v>0</v>
      </c>
      <c r="N34" s="66">
        <v>0</v>
      </c>
      <c r="O34" s="67">
        <f>SUM(C34:N34)</f>
        <v>0</v>
      </c>
      <c r="Q34" s="33"/>
      <c r="R34" s="57"/>
      <c r="S34" s="57"/>
      <c r="T34" s="57"/>
      <c r="U34" s="57"/>
      <c r="V34" s="41"/>
      <c r="W34" s="8"/>
    </row>
    <row r="35" spans="1:43" ht="15.75">
      <c r="A35" s="42"/>
      <c r="B35" s="35" t="s">
        <v>58</v>
      </c>
      <c r="C35" s="43">
        <f>'[10]Price Changes'!$F$8</f>
        <v>0.10692</v>
      </c>
      <c r="D35" s="44">
        <f>'[10]Price Changes'!$F$8</f>
        <v>0.10692</v>
      </c>
      <c r="E35" s="43">
        <f>'[10]Price Changes'!$F$8</f>
        <v>0.10692</v>
      </c>
      <c r="F35" s="44">
        <f>'[10]Price Changes'!$F$8</f>
        <v>0.10692</v>
      </c>
      <c r="G35" s="43">
        <f>'[10]Price Changes'!$F$8</f>
        <v>0.10692</v>
      </c>
      <c r="H35" s="44">
        <f>'[10]Price Changes'!$F$8</f>
        <v>0.10692</v>
      </c>
      <c r="I35" s="43">
        <f>'[10]Price Changes'!$F$8</f>
        <v>0.10692</v>
      </c>
      <c r="J35" s="44">
        <f>'[10]Price Changes'!$F$8</f>
        <v>0.10692</v>
      </c>
      <c r="K35" s="43">
        <f>'[10]Price Changes'!$F$8</f>
        <v>0.10692</v>
      </c>
      <c r="L35" s="44">
        <f>'[10]Price Changes'!$F$8</f>
        <v>0.10692</v>
      </c>
      <c r="M35" s="43">
        <f>'[10]Price Changes'!$F$8</f>
        <v>0.10692</v>
      </c>
      <c r="N35" s="44">
        <f>'[10]Price Changes'!$F$8</f>
        <v>0.10692</v>
      </c>
      <c r="O35" s="45">
        <f>IF(O34=0,0,+O36/O34)</f>
        <v>0</v>
      </c>
      <c r="Q35" s="33"/>
      <c r="R35" s="46"/>
      <c r="S35" s="46"/>
      <c r="T35" s="68"/>
      <c r="U35" s="47"/>
      <c r="V35" s="41"/>
      <c r="W35" s="8"/>
    </row>
    <row r="36" spans="1:43">
      <c r="A36" s="42"/>
      <c r="B36" s="35" t="s">
        <v>15</v>
      </c>
      <c r="C36" s="48">
        <f t="shared" ref="C36:N36" si="14">C34*C35</f>
        <v>0</v>
      </c>
      <c r="D36" s="49">
        <f t="shared" si="14"/>
        <v>0</v>
      </c>
      <c r="E36" s="48">
        <f t="shared" si="14"/>
        <v>0</v>
      </c>
      <c r="F36" s="49">
        <f t="shared" si="14"/>
        <v>0</v>
      </c>
      <c r="G36" s="48">
        <f t="shared" si="14"/>
        <v>0</v>
      </c>
      <c r="H36" s="49">
        <f t="shared" si="14"/>
        <v>0</v>
      </c>
      <c r="I36" s="48">
        <f t="shared" si="14"/>
        <v>0</v>
      </c>
      <c r="J36" s="49">
        <f t="shared" si="14"/>
        <v>0</v>
      </c>
      <c r="K36" s="48">
        <f t="shared" si="14"/>
        <v>0</v>
      </c>
      <c r="L36" s="49">
        <f t="shared" si="14"/>
        <v>0</v>
      </c>
      <c r="M36" s="48">
        <f t="shared" si="14"/>
        <v>0</v>
      </c>
      <c r="N36" s="49">
        <f t="shared" si="14"/>
        <v>0</v>
      </c>
      <c r="O36" s="50">
        <f>SUM(C36:N36)</f>
        <v>0</v>
      </c>
      <c r="Q36" s="33"/>
      <c r="R36" s="40"/>
      <c r="S36" s="40"/>
      <c r="T36" s="40"/>
      <c r="U36" s="40"/>
      <c r="V36" s="41"/>
    </row>
    <row r="37" spans="1:43" ht="16.5" thickBot="1">
      <c r="A37" s="51"/>
      <c r="B37" s="52" t="s">
        <v>59</v>
      </c>
      <c r="C37" s="53">
        <f t="shared" ref="C37:O37" si="15">C36/C$7</f>
        <v>0</v>
      </c>
      <c r="D37" s="54">
        <f t="shared" si="15"/>
        <v>0</v>
      </c>
      <c r="E37" s="53">
        <f t="shared" si="15"/>
        <v>0</v>
      </c>
      <c r="F37" s="54">
        <f t="shared" si="15"/>
        <v>0</v>
      </c>
      <c r="G37" s="53">
        <f t="shared" si="15"/>
        <v>0</v>
      </c>
      <c r="H37" s="54">
        <f t="shared" si="15"/>
        <v>0</v>
      </c>
      <c r="I37" s="53">
        <f t="shared" si="15"/>
        <v>0</v>
      </c>
      <c r="J37" s="54">
        <f t="shared" si="15"/>
        <v>0</v>
      </c>
      <c r="K37" s="53">
        <f t="shared" si="15"/>
        <v>0</v>
      </c>
      <c r="L37" s="54">
        <f t="shared" si="15"/>
        <v>0</v>
      </c>
      <c r="M37" s="53">
        <f t="shared" si="15"/>
        <v>0</v>
      </c>
      <c r="N37" s="54">
        <f t="shared" si="15"/>
        <v>0</v>
      </c>
      <c r="O37" s="55">
        <f t="shared" si="15"/>
        <v>0</v>
      </c>
      <c r="Q37" s="33"/>
      <c r="R37" s="56"/>
      <c r="S37" s="56"/>
      <c r="T37" s="57"/>
      <c r="U37" s="57"/>
      <c r="V37" s="41"/>
    </row>
    <row r="38" spans="1:43">
      <c r="A38" s="34" t="s">
        <v>66</v>
      </c>
      <c r="B38" s="35" t="s">
        <v>55</v>
      </c>
      <c r="C38" s="30">
        <f>C39/C$7</f>
        <v>37.678850883076237</v>
      </c>
      <c r="D38" s="31">
        <f t="shared" ref="D38:O38" si="16">D39/D$7</f>
        <v>36.588934340569104</v>
      </c>
      <c r="E38" s="30">
        <f t="shared" si="16"/>
        <v>34.598863793820144</v>
      </c>
      <c r="F38" s="31">
        <f t="shared" si="16"/>
        <v>35.057614882687773</v>
      </c>
      <c r="G38" s="30">
        <f t="shared" si="16"/>
        <v>38.074802478258398</v>
      </c>
      <c r="H38" s="31">
        <f t="shared" si="16"/>
        <v>36.431023332172529</v>
      </c>
      <c r="I38" s="30">
        <f t="shared" si="16"/>
        <v>34.685581549693048</v>
      </c>
      <c r="J38" s="31">
        <f t="shared" si="16"/>
        <v>35.288019015829668</v>
      </c>
      <c r="K38" s="30">
        <f t="shared" si="16"/>
        <v>34.182826991595725</v>
      </c>
      <c r="L38" s="31">
        <f t="shared" si="16"/>
        <v>33.335142027727287</v>
      </c>
      <c r="M38" s="30">
        <f t="shared" si="16"/>
        <v>32.083645755227863</v>
      </c>
      <c r="N38" s="31">
        <f t="shared" si="16"/>
        <v>32.403062484564089</v>
      </c>
      <c r="O38" s="32">
        <f t="shared" si="16"/>
        <v>35.050333948602749</v>
      </c>
      <c r="Q38" s="33"/>
    </row>
    <row r="39" spans="1:43">
      <c r="A39" s="34" t="s">
        <v>64</v>
      </c>
      <c r="B39" s="35" t="s">
        <v>57</v>
      </c>
      <c r="C39" s="36">
        <v>13483</v>
      </c>
      <c r="D39" s="37">
        <v>12254</v>
      </c>
      <c r="E39" s="36">
        <v>12485</v>
      </c>
      <c r="F39" s="37">
        <v>12626</v>
      </c>
      <c r="G39" s="36">
        <v>13397</v>
      </c>
      <c r="H39" s="37">
        <v>14646</v>
      </c>
      <c r="I39" s="36">
        <f>-'[9]July 2011 RRS'!$J$12</f>
        <v>12543</v>
      </c>
      <c r="J39" s="37">
        <v>13955</v>
      </c>
      <c r="K39" s="36">
        <v>12568</v>
      </c>
      <c r="L39" s="37">
        <v>12287</v>
      </c>
      <c r="M39" s="36">
        <v>11553</v>
      </c>
      <c r="N39" s="37">
        <v>10496</v>
      </c>
      <c r="O39" s="38">
        <f>SUM(C39:N39)</f>
        <v>152293</v>
      </c>
      <c r="Q39" s="33"/>
      <c r="R39" s="57"/>
      <c r="S39" s="57"/>
      <c r="T39" s="57"/>
      <c r="U39" s="57"/>
      <c r="V39" s="41"/>
      <c r="W39" s="8"/>
    </row>
    <row r="40" spans="1:43" ht="15.75">
      <c r="A40" s="42"/>
      <c r="B40" s="35" t="s">
        <v>58</v>
      </c>
      <c r="C40" s="43">
        <f>C41/C39</f>
        <v>0.32029963657939631</v>
      </c>
      <c r="D40" s="44">
        <f t="shared" ref="D40:N40" si="17">D41/D39</f>
        <v>0.30790027746042109</v>
      </c>
      <c r="E40" s="43">
        <f t="shared" si="17"/>
        <v>0.30300040048057669</v>
      </c>
      <c r="F40" s="44">
        <f t="shared" si="17"/>
        <v>0.2973000158403295</v>
      </c>
      <c r="G40" s="43">
        <f t="shared" si="17"/>
        <v>0.29559976114055386</v>
      </c>
      <c r="H40" s="44">
        <f t="shared" si="17"/>
        <v>0.29560016386726751</v>
      </c>
      <c r="I40" s="43">
        <f t="shared" si="17"/>
        <v>0.29259985649366183</v>
      </c>
      <c r="J40" s="44">
        <f t="shared" si="17"/>
        <v>0.29169974919383734</v>
      </c>
      <c r="K40" s="43">
        <f t="shared" si="17"/>
        <v>0.29109961807765755</v>
      </c>
      <c r="L40" s="44">
        <f t="shared" si="17"/>
        <v>0.29055098885000408</v>
      </c>
      <c r="M40" s="43">
        <f t="shared" si="17"/>
        <v>0.29059984419631268</v>
      </c>
      <c r="N40" s="44">
        <f t="shared" si="17"/>
        <v>0.29030011432926828</v>
      </c>
      <c r="O40" s="45">
        <f>IF(O39=0,0,+O41/O39)</f>
        <v>0.2973962690340331</v>
      </c>
      <c r="Q40" s="33"/>
      <c r="R40" s="46"/>
      <c r="S40" s="46"/>
      <c r="T40" s="47"/>
      <c r="U40" s="47"/>
      <c r="V40" s="41"/>
      <c r="W40" s="8"/>
    </row>
    <row r="41" spans="1:43">
      <c r="A41" s="42"/>
      <c r="B41" s="35" t="s">
        <v>15</v>
      </c>
      <c r="C41" s="48">
        <v>4318.6000000000004</v>
      </c>
      <c r="D41" s="49">
        <v>3773.01</v>
      </c>
      <c r="E41" s="48">
        <v>3782.96</v>
      </c>
      <c r="F41" s="49">
        <v>3753.71</v>
      </c>
      <c r="G41" s="48">
        <v>3960.15</v>
      </c>
      <c r="H41" s="49">
        <v>4329.3599999999997</v>
      </c>
      <c r="I41" s="36">
        <f>'[9]July 2011 RRS'!$L$12</f>
        <v>3670.08</v>
      </c>
      <c r="J41" s="49">
        <v>4070.67</v>
      </c>
      <c r="K41" s="48">
        <v>3658.54</v>
      </c>
      <c r="L41" s="49">
        <v>3570</v>
      </c>
      <c r="M41" s="48">
        <v>3357.3</v>
      </c>
      <c r="N41" s="49">
        <v>3046.99</v>
      </c>
      <c r="O41" s="50">
        <f>SUM(C41:N41)</f>
        <v>45291.37</v>
      </c>
      <c r="Q41" s="33"/>
      <c r="R41" s="40"/>
      <c r="S41" s="40"/>
      <c r="T41" s="40"/>
      <c r="U41" s="40"/>
      <c r="V41" s="41"/>
    </row>
    <row r="42" spans="1:43" ht="16.5" thickBot="1">
      <c r="A42" s="51"/>
      <c r="B42" s="52" t="s">
        <v>59</v>
      </c>
      <c r="C42" s="53">
        <f t="shared" ref="C42:O42" si="18">C41/C$7</f>
        <v>12.068522244578585</v>
      </c>
      <c r="D42" s="54">
        <f t="shared" si="18"/>
        <v>11.265743035442357</v>
      </c>
      <c r="E42" s="53">
        <f t="shared" si="18"/>
        <v>10.48346958570043</v>
      </c>
      <c r="F42" s="54">
        <f t="shared" si="18"/>
        <v>10.422629459947245</v>
      </c>
      <c r="G42" s="53">
        <f t="shared" si="18"/>
        <v>11.254902518046951</v>
      </c>
      <c r="H42" s="54">
        <f t="shared" si="18"/>
        <v>10.769016466842446</v>
      </c>
      <c r="I42" s="53">
        <f t="shared" si="18"/>
        <v>10.148996183839389</v>
      </c>
      <c r="J42" s="54">
        <f t="shared" si="18"/>
        <v>10.293506296464876</v>
      </c>
      <c r="K42" s="53">
        <f t="shared" si="18"/>
        <v>9.9506078820681587</v>
      </c>
      <c r="L42" s="54">
        <f t="shared" si="18"/>
        <v>9.685558479611494</v>
      </c>
      <c r="M42" s="53">
        <f t="shared" si="18"/>
        <v>9.3235024577189041</v>
      </c>
      <c r="N42" s="54">
        <f t="shared" si="18"/>
        <v>9.4066127438873792</v>
      </c>
      <c r="O42" s="55">
        <f t="shared" si="18"/>
        <v>10.423838544711368</v>
      </c>
      <c r="Q42" s="33"/>
      <c r="R42" s="56"/>
      <c r="S42" s="56"/>
      <c r="T42" s="57"/>
      <c r="U42" s="57"/>
      <c r="V42" s="41"/>
    </row>
    <row r="43" spans="1:43">
      <c r="A43" s="69" t="s">
        <v>67</v>
      </c>
      <c r="B43" s="29" t="s">
        <v>55</v>
      </c>
      <c r="C43" s="30">
        <f>C44/C$7</f>
        <v>625.30181086519121</v>
      </c>
      <c r="D43" s="31">
        <f t="shared" ref="D43:O43" si="19">D44/D$7</f>
        <v>543.3549311755396</v>
      </c>
      <c r="E43" s="30">
        <f t="shared" si="19"/>
        <v>483.47512816959954</v>
      </c>
      <c r="F43" s="31">
        <f t="shared" si="19"/>
        <v>562.65167291406362</v>
      </c>
      <c r="G43" s="30">
        <f t="shared" si="19"/>
        <v>458.90695162848857</v>
      </c>
      <c r="H43" s="31">
        <f t="shared" si="19"/>
        <v>499.95771354658973</v>
      </c>
      <c r="I43" s="30">
        <f t="shared" si="19"/>
        <v>490.48725181129362</v>
      </c>
      <c r="J43" s="31">
        <f t="shared" si="19"/>
        <v>449.51196075456431</v>
      </c>
      <c r="K43" s="30">
        <f t="shared" si="19"/>
        <v>485.1742051295999</v>
      </c>
      <c r="L43" s="31">
        <f t="shared" si="19"/>
        <v>527.97417184405435</v>
      </c>
      <c r="M43" s="30">
        <f t="shared" si="19"/>
        <v>494.85961842872621</v>
      </c>
      <c r="N43" s="31">
        <f t="shared" si="19"/>
        <v>529.76969622128922</v>
      </c>
      <c r="O43" s="32">
        <f t="shared" si="19"/>
        <v>511.67531265966699</v>
      </c>
    </row>
    <row r="44" spans="1:43">
      <c r="A44" s="34" t="s">
        <v>64</v>
      </c>
      <c r="B44" s="35" t="s">
        <v>57</v>
      </c>
      <c r="C44" s="36">
        <v>223758</v>
      </c>
      <c r="D44" s="37">
        <v>181975</v>
      </c>
      <c r="E44" s="36">
        <v>174462</v>
      </c>
      <c r="F44" s="37">
        <v>202639</v>
      </c>
      <c r="G44" s="36">
        <v>161471</v>
      </c>
      <c r="H44" s="37">
        <v>200993</v>
      </c>
      <c r="I44" s="36">
        <f>-'[9]July 2011 RRS'!$J$13</f>
        <v>177370</v>
      </c>
      <c r="J44" s="37">
        <v>177764</v>
      </c>
      <c r="K44" s="36">
        <v>178384</v>
      </c>
      <c r="L44" s="37">
        <v>194606</v>
      </c>
      <c r="M44" s="36">
        <v>178194</v>
      </c>
      <c r="N44" s="37">
        <v>171603</v>
      </c>
      <c r="O44" s="38">
        <f>SUM(C44:N44)</f>
        <v>2223219</v>
      </c>
    </row>
    <row r="45" spans="1:43">
      <c r="A45" s="42"/>
      <c r="B45" s="35" t="s">
        <v>58</v>
      </c>
      <c r="C45" s="43">
        <f>C46/C44</f>
        <v>0.1460000089382279</v>
      </c>
      <c r="D45" s="44">
        <f t="shared" ref="D45:N45" si="20">D46/D44</f>
        <v>0.14680000000000001</v>
      </c>
      <c r="E45" s="43">
        <f t="shared" si="20"/>
        <v>0.15263191984500923</v>
      </c>
      <c r="F45" s="44">
        <f t="shared" si="20"/>
        <v>0.14690000444139578</v>
      </c>
      <c r="G45" s="43">
        <f t="shared" si="20"/>
        <v>0.1470000185791876</v>
      </c>
      <c r="H45" s="44">
        <f t="shared" si="20"/>
        <v>0.14699999502470235</v>
      </c>
      <c r="I45" s="43">
        <f t="shared" si="20"/>
        <v>0.14710001691379604</v>
      </c>
      <c r="J45" s="44">
        <f t="shared" si="20"/>
        <v>0.14709997524808174</v>
      </c>
      <c r="K45" s="43">
        <f t="shared" si="20"/>
        <v>0.14710002018118218</v>
      </c>
      <c r="L45" s="44">
        <f t="shared" si="20"/>
        <v>0.14709998663967197</v>
      </c>
      <c r="M45" s="43">
        <f t="shared" si="20"/>
        <v>0.14710001459083921</v>
      </c>
      <c r="N45" s="44">
        <f t="shared" si="20"/>
        <v>0.14669999941725961</v>
      </c>
      <c r="O45" s="45">
        <f>IF(O44=0,0,+O46/O44)</f>
        <v>0.14733343408813979</v>
      </c>
    </row>
    <row r="46" spans="1:43">
      <c r="A46" s="42"/>
      <c r="B46" s="35" t="s">
        <v>15</v>
      </c>
      <c r="C46" s="48">
        <v>32668.67</v>
      </c>
      <c r="D46" s="49">
        <v>26713.93</v>
      </c>
      <c r="E46" s="48">
        <v>26628.47</v>
      </c>
      <c r="F46" s="49">
        <v>29767.67</v>
      </c>
      <c r="G46" s="48">
        <v>23736.240000000002</v>
      </c>
      <c r="H46" s="49">
        <v>29545.97</v>
      </c>
      <c r="I46" s="36">
        <f>'[9]July 2011 RRS'!$L$13</f>
        <v>26091.13</v>
      </c>
      <c r="J46" s="49">
        <v>26149.08</v>
      </c>
      <c r="K46" s="48">
        <v>26240.29</v>
      </c>
      <c r="L46" s="49">
        <v>28626.54</v>
      </c>
      <c r="M46" s="48">
        <v>26212.34</v>
      </c>
      <c r="N46" s="49">
        <v>25174.16</v>
      </c>
      <c r="O46" s="50">
        <f>SUM(C46:N46)</f>
        <v>327554.49000000005</v>
      </c>
    </row>
    <row r="47" spans="1:43" ht="13.5" thickBot="1">
      <c r="A47" s="51"/>
      <c r="B47" s="52" t="s">
        <v>59</v>
      </c>
      <c r="C47" s="53">
        <f t="shared" ref="C47:O47" si="21">C46/C$7</f>
        <v>91.294069975408007</v>
      </c>
      <c r="D47" s="54">
        <f t="shared" si="21"/>
        <v>79.764503896569224</v>
      </c>
      <c r="E47" s="53">
        <f t="shared" si="21"/>
        <v>73.793737009837884</v>
      </c>
      <c r="F47" s="54">
        <f t="shared" si="21"/>
        <v>82.653533250034712</v>
      </c>
      <c r="G47" s="53">
        <f t="shared" si="21"/>
        <v>67.459330415506173</v>
      </c>
      <c r="H47" s="54">
        <f t="shared" si="21"/>
        <v>73.493781403910262</v>
      </c>
      <c r="I47" s="53">
        <f t="shared" si="21"/>
        <v>72.150683037442619</v>
      </c>
      <c r="J47" s="54">
        <f t="shared" si="21"/>
        <v>66.123198300713099</v>
      </c>
      <c r="K47" s="53">
        <f t="shared" si="21"/>
        <v>71.36913536595317</v>
      </c>
      <c r="L47" s="54">
        <f t="shared" si="21"/>
        <v>77.664993624352263</v>
      </c>
      <c r="M47" s="53">
        <f t="shared" si="21"/>
        <v>72.793857091282746</v>
      </c>
      <c r="N47" s="54">
        <f t="shared" si="21"/>
        <v>77.717214126944924</v>
      </c>
      <c r="O47" s="55">
        <f t="shared" si="21"/>
        <v>75.386880952271355</v>
      </c>
    </row>
    <row r="48" spans="1:43">
      <c r="A48" s="28" t="s">
        <v>68</v>
      </c>
      <c r="B48" s="29" t="s">
        <v>55</v>
      </c>
      <c r="C48" s="30">
        <f>C49/C$7</f>
        <v>20.836127878381401</v>
      </c>
      <c r="D48" s="31">
        <f t="shared" ref="D48:O48" si="22">D49/D$7</f>
        <v>29.458660535666297</v>
      </c>
      <c r="E48" s="30">
        <f t="shared" si="22"/>
        <v>30.142718581127891</v>
      </c>
      <c r="F48" s="31">
        <f t="shared" si="22"/>
        <v>27.674580036096074</v>
      </c>
      <c r="G48" s="30">
        <f t="shared" si="22"/>
        <v>28.161768885352128</v>
      </c>
      <c r="H48" s="31">
        <f t="shared" si="22"/>
        <v>24.720163175961396</v>
      </c>
      <c r="I48" s="30">
        <f t="shared" si="22"/>
        <v>27.8773297937061</v>
      </c>
      <c r="J48" s="31">
        <f t="shared" si="22"/>
        <v>20.78592019420422</v>
      </c>
      <c r="K48" s="30">
        <f t="shared" si="22"/>
        <v>25.694236679631189</v>
      </c>
      <c r="L48" s="31">
        <f t="shared" si="22"/>
        <v>33.126237825225864</v>
      </c>
      <c r="M48" s="30">
        <f t="shared" si="22"/>
        <v>33.108389569274351</v>
      </c>
      <c r="N48" s="31">
        <f t="shared" si="22"/>
        <v>32.893924425784142</v>
      </c>
      <c r="O48" s="32">
        <f t="shared" si="22"/>
        <v>27.74420135420646</v>
      </c>
      <c r="Q48" s="33"/>
      <c r="Y48" s="15"/>
      <c r="AB48" s="8"/>
      <c r="AQ48" s="15"/>
    </row>
    <row r="49" spans="1:43">
      <c r="A49" s="34" t="s">
        <v>64</v>
      </c>
      <c r="B49" s="35" t="s">
        <v>57</v>
      </c>
      <c r="C49" s="36">
        <v>7456</v>
      </c>
      <c r="D49" s="37">
        <v>9866</v>
      </c>
      <c r="E49" s="36">
        <f>9663+1214</f>
        <v>10877</v>
      </c>
      <c r="F49" s="37">
        <v>9967</v>
      </c>
      <c r="G49" s="36">
        <v>9909</v>
      </c>
      <c r="H49" s="37">
        <v>9938</v>
      </c>
      <c r="I49" s="36">
        <f>-'[9]July 2011 RRS'!$J$15</f>
        <v>10081</v>
      </c>
      <c r="J49" s="37">
        <v>8220</v>
      </c>
      <c r="K49" s="36">
        <v>9447</v>
      </c>
      <c r="L49" s="37">
        <v>12210</v>
      </c>
      <c r="M49" s="36">
        <v>11922</v>
      </c>
      <c r="N49" s="37">
        <v>10655</v>
      </c>
      <c r="O49" s="38">
        <f>SUM(C49:N49)</f>
        <v>120548</v>
      </c>
      <c r="Q49" s="33"/>
      <c r="R49" s="57"/>
      <c r="S49" s="57"/>
      <c r="T49" s="57"/>
      <c r="U49" s="57"/>
      <c r="V49" s="41"/>
      <c r="Y49" s="15"/>
      <c r="AB49" s="8"/>
      <c r="AQ49" s="15"/>
    </row>
    <row r="50" spans="1:43" ht="15.75">
      <c r="A50" s="42"/>
      <c r="B50" s="35" t="s">
        <v>58</v>
      </c>
      <c r="C50" s="43">
        <f>C51/C49</f>
        <v>0.28829935622317598</v>
      </c>
      <c r="D50" s="44">
        <f t="shared" ref="D50:N50" si="23">D51/D49</f>
        <v>0.2883002229880397</v>
      </c>
      <c r="E50" s="43">
        <f t="shared" si="23"/>
        <v>0.3042916245288223</v>
      </c>
      <c r="F50" s="44">
        <f t="shared" si="23"/>
        <v>0.30629978930470553</v>
      </c>
      <c r="G50" s="43">
        <f t="shared" si="23"/>
        <v>0.3063003330305783</v>
      </c>
      <c r="H50" s="44">
        <f t="shared" si="23"/>
        <v>0.30630006037432084</v>
      </c>
      <c r="I50" s="43">
        <f t="shared" si="23"/>
        <v>0.30629997024104749</v>
      </c>
      <c r="J50" s="44">
        <f t="shared" si="23"/>
        <v>0.30630048661800485</v>
      </c>
      <c r="K50" s="43">
        <f t="shared" si="23"/>
        <v>0.30630041282946968</v>
      </c>
      <c r="L50" s="44">
        <f t="shared" si="23"/>
        <v>0.30629975429975431</v>
      </c>
      <c r="M50" s="43">
        <f t="shared" si="23"/>
        <v>0.30630011742996144</v>
      </c>
      <c r="N50" s="44">
        <f t="shared" si="23"/>
        <v>0.30630032848427968</v>
      </c>
      <c r="O50" s="45">
        <f>IF(O49=0,0,+O51/O49)</f>
        <v>0.30353236884892321</v>
      </c>
      <c r="Q50" s="33"/>
      <c r="R50" s="46"/>
      <c r="S50" s="46"/>
      <c r="T50" s="46"/>
      <c r="U50" s="47"/>
      <c r="V50" s="41"/>
      <c r="Y50" s="15"/>
      <c r="AB50" s="8"/>
      <c r="AQ50" s="15"/>
    </row>
    <row r="51" spans="1:43">
      <c r="A51" s="42"/>
      <c r="B51" s="35" t="s">
        <v>15</v>
      </c>
      <c r="C51" s="48">
        <v>2149.56</v>
      </c>
      <c r="D51" s="49">
        <v>2844.37</v>
      </c>
      <c r="E51" s="48">
        <f>350+2959.78</f>
        <v>3309.78</v>
      </c>
      <c r="F51" s="49">
        <v>3052.89</v>
      </c>
      <c r="G51" s="48">
        <v>3035.13</v>
      </c>
      <c r="H51" s="49">
        <v>3044.01</v>
      </c>
      <c r="I51" s="36">
        <f>'[9]July 2011 RRS'!$L$15</f>
        <v>3087.81</v>
      </c>
      <c r="J51" s="49">
        <v>2517.79</v>
      </c>
      <c r="K51" s="48">
        <v>2893.62</v>
      </c>
      <c r="L51" s="49">
        <v>3739.92</v>
      </c>
      <c r="M51" s="48">
        <v>3651.71</v>
      </c>
      <c r="N51" s="49">
        <v>3263.63</v>
      </c>
      <c r="O51" s="50">
        <f>SUM(C51:N51)</f>
        <v>36590.219999999994</v>
      </c>
      <c r="Q51" s="33"/>
      <c r="R51" s="40"/>
      <c r="S51" s="40"/>
      <c r="T51" s="40"/>
      <c r="U51" s="40"/>
      <c r="V51" s="41"/>
      <c r="Y51" s="15"/>
      <c r="AQ51" s="15"/>
    </row>
    <row r="52" spans="1:43" ht="16.5" thickBot="1">
      <c r="A52" s="51"/>
      <c r="B52" s="52" t="s">
        <v>59</v>
      </c>
      <c r="C52" s="53">
        <f t="shared" ref="C52:O52" si="24">C51/C$7</f>
        <v>6.007042253521127</v>
      </c>
      <c r="D52" s="54">
        <f t="shared" si="24"/>
        <v>8.4929384013615596</v>
      </c>
      <c r="E52" s="53">
        <f t="shared" si="24"/>
        <v>9.172176804766524</v>
      </c>
      <c r="F52" s="54">
        <f t="shared" si="24"/>
        <v>8.4767180341524373</v>
      </c>
      <c r="G52" s="53">
        <f t="shared" si="24"/>
        <v>8.6259591883135336</v>
      </c>
      <c r="H52" s="54">
        <f t="shared" si="24"/>
        <v>7.5717874732600379</v>
      </c>
      <c r="I52" s="53">
        <f t="shared" si="24"/>
        <v>8.5388252862120453</v>
      </c>
      <c r="J52" s="54">
        <f t="shared" si="24"/>
        <v>6.3667374702877666</v>
      </c>
      <c r="K52" s="53">
        <f t="shared" si="24"/>
        <v>7.8701553023091355</v>
      </c>
      <c r="L52" s="54">
        <f t="shared" si="24"/>
        <v>10.14655850674191</v>
      </c>
      <c r="M52" s="53">
        <f t="shared" si="24"/>
        <v>10.141103612985644</v>
      </c>
      <c r="N52" s="54">
        <f t="shared" si="24"/>
        <v>10.075419856754754</v>
      </c>
      <c r="O52" s="55">
        <f t="shared" si="24"/>
        <v>8.4212631588637894</v>
      </c>
      <c r="Q52" s="33"/>
      <c r="R52" s="56"/>
      <c r="S52" s="56"/>
      <c r="T52" s="56"/>
      <c r="U52" s="57"/>
      <c r="V52" s="41"/>
      <c r="Y52" s="15"/>
      <c r="AH52" s="16"/>
      <c r="AJ52" s="8"/>
      <c r="AQ52" s="15"/>
    </row>
    <row r="53" spans="1:43">
      <c r="A53" s="28" t="s">
        <v>69</v>
      </c>
      <c r="B53" s="29" t="s">
        <v>55</v>
      </c>
      <c r="C53" s="30">
        <f>C54/C$7</f>
        <v>0</v>
      </c>
      <c r="D53" s="31">
        <f t="shared" ref="D53:N53" si="25">D54/D$7</f>
        <v>0</v>
      </c>
      <c r="E53" s="30">
        <f t="shared" si="25"/>
        <v>0</v>
      </c>
      <c r="F53" s="31">
        <f t="shared" si="25"/>
        <v>0</v>
      </c>
      <c r="G53" s="30">
        <f t="shared" si="25"/>
        <v>0</v>
      </c>
      <c r="H53" s="31">
        <f t="shared" si="25"/>
        <v>0</v>
      </c>
      <c r="I53" s="30">
        <f t="shared" si="25"/>
        <v>0</v>
      </c>
      <c r="J53" s="31">
        <f t="shared" si="25"/>
        <v>0</v>
      </c>
      <c r="K53" s="30">
        <f t="shared" si="25"/>
        <v>0</v>
      </c>
      <c r="L53" s="31">
        <f t="shared" si="25"/>
        <v>0</v>
      </c>
      <c r="M53" s="30">
        <f t="shared" si="25"/>
        <v>0</v>
      </c>
      <c r="N53" s="31">
        <f t="shared" si="25"/>
        <v>0</v>
      </c>
      <c r="O53" s="32">
        <f>O54/O$7</f>
        <v>0</v>
      </c>
      <c r="Q53" s="33"/>
    </row>
    <row r="54" spans="1:43">
      <c r="A54" s="103" t="s">
        <v>106</v>
      </c>
      <c r="B54" s="35" t="s">
        <v>57</v>
      </c>
      <c r="C54" s="65">
        <v>0</v>
      </c>
      <c r="D54" s="66">
        <v>0</v>
      </c>
      <c r="E54" s="65">
        <v>0</v>
      </c>
      <c r="F54" s="66">
        <v>0</v>
      </c>
      <c r="G54" s="65">
        <v>0</v>
      </c>
      <c r="H54" s="66">
        <v>0</v>
      </c>
      <c r="I54" s="65">
        <v>0</v>
      </c>
      <c r="J54" s="66">
        <v>0</v>
      </c>
      <c r="K54" s="65">
        <v>0</v>
      </c>
      <c r="L54" s="66">
        <v>0</v>
      </c>
      <c r="M54" s="65">
        <v>0</v>
      </c>
      <c r="N54" s="66">
        <v>0</v>
      </c>
      <c r="O54" s="67">
        <f>SUM(C54:N54)</f>
        <v>0</v>
      </c>
      <c r="Q54" s="33"/>
      <c r="R54" s="57"/>
      <c r="S54" s="60"/>
      <c r="T54" s="57"/>
      <c r="U54" s="57"/>
      <c r="V54" s="41"/>
      <c r="W54" s="8"/>
    </row>
    <row r="55" spans="1:43" ht="15.75">
      <c r="A55" s="42"/>
      <c r="B55" s="35" t="s">
        <v>58</v>
      </c>
      <c r="C55" s="43">
        <f>'[10]Price Changes'!$F$12</f>
        <v>0</v>
      </c>
      <c r="D55" s="44">
        <f>'[10]Price Changes'!$F$12</f>
        <v>0</v>
      </c>
      <c r="E55" s="43">
        <f>'[10]Price Changes'!$F$12</f>
        <v>0</v>
      </c>
      <c r="F55" s="44">
        <f>'[10]Price Changes'!$F$12</f>
        <v>0</v>
      </c>
      <c r="G55" s="43">
        <f>'[10]Price Changes'!$F$12</f>
        <v>0</v>
      </c>
      <c r="H55" s="44">
        <f>'[10]Price Changes'!$F$12</f>
        <v>0</v>
      </c>
      <c r="I55" s="43">
        <f>'[10]Price Changes'!$F$12</f>
        <v>0</v>
      </c>
      <c r="J55" s="44">
        <f>'[10]Price Changes'!$F$12</f>
        <v>0</v>
      </c>
      <c r="K55" s="43">
        <f>'[10]Price Changes'!$F$12</f>
        <v>0</v>
      </c>
      <c r="L55" s="44" t="e">
        <f>L56/L54</f>
        <v>#DIV/0!</v>
      </c>
      <c r="M55" s="43">
        <f>'[10]Price Changes'!$F$12</f>
        <v>0</v>
      </c>
      <c r="N55" s="44">
        <f>'[10]Price Changes'!$F$12</f>
        <v>0</v>
      </c>
      <c r="O55" s="45">
        <f>IF(O54=0,0,+O56/O54)</f>
        <v>0</v>
      </c>
      <c r="Q55" s="33"/>
      <c r="R55" s="46"/>
      <c r="S55" s="46"/>
      <c r="T55" s="47"/>
      <c r="U55" s="47"/>
      <c r="V55" s="41"/>
      <c r="W55" s="8"/>
    </row>
    <row r="56" spans="1:43">
      <c r="A56" s="42"/>
      <c r="B56" s="35" t="s">
        <v>15</v>
      </c>
      <c r="C56" s="48">
        <f t="shared" ref="C56:K56" si="26">C54*C55</f>
        <v>0</v>
      </c>
      <c r="D56" s="49">
        <f t="shared" si="26"/>
        <v>0</v>
      </c>
      <c r="E56" s="48">
        <f t="shared" si="26"/>
        <v>0</v>
      </c>
      <c r="F56" s="49">
        <f t="shared" si="26"/>
        <v>0</v>
      </c>
      <c r="G56" s="48">
        <f t="shared" si="26"/>
        <v>0</v>
      </c>
      <c r="H56" s="49">
        <f t="shared" si="26"/>
        <v>0</v>
      </c>
      <c r="I56" s="48">
        <f t="shared" si="26"/>
        <v>0</v>
      </c>
      <c r="J56" s="49">
        <f t="shared" si="26"/>
        <v>0</v>
      </c>
      <c r="K56" s="48">
        <f t="shared" si="26"/>
        <v>0</v>
      </c>
      <c r="L56" s="49">
        <v>1031.8800000000001</v>
      </c>
      <c r="M56" s="48">
        <f>M54*M55</f>
        <v>0</v>
      </c>
      <c r="N56" s="49">
        <f>N54*N55</f>
        <v>0</v>
      </c>
      <c r="O56" s="50">
        <f>SUM(C56:N56)</f>
        <v>1031.8800000000001</v>
      </c>
      <c r="Q56" s="33"/>
      <c r="R56" s="40"/>
      <c r="S56" s="40"/>
      <c r="T56" s="40"/>
      <c r="U56" s="40"/>
      <c r="V56" s="41"/>
    </row>
    <row r="57" spans="1:43" ht="16.5" thickBot="1">
      <c r="A57" s="51"/>
      <c r="B57" s="52" t="s">
        <v>59</v>
      </c>
      <c r="C57" s="53">
        <f t="shared" ref="C57:O57" si="27">C56/C$7</f>
        <v>0</v>
      </c>
      <c r="D57" s="54">
        <f t="shared" si="27"/>
        <v>0</v>
      </c>
      <c r="E57" s="53">
        <f t="shared" si="27"/>
        <v>0</v>
      </c>
      <c r="F57" s="54">
        <f t="shared" si="27"/>
        <v>0</v>
      </c>
      <c r="G57" s="53">
        <f t="shared" si="27"/>
        <v>0</v>
      </c>
      <c r="H57" s="54">
        <f t="shared" si="27"/>
        <v>0</v>
      </c>
      <c r="I57" s="53">
        <f t="shared" si="27"/>
        <v>0</v>
      </c>
      <c r="J57" s="54">
        <f t="shared" si="27"/>
        <v>0</v>
      </c>
      <c r="K57" s="53">
        <f t="shared" si="27"/>
        <v>0</v>
      </c>
      <c r="L57" s="54">
        <f t="shared" si="27"/>
        <v>2.7995333568463607</v>
      </c>
      <c r="M57" s="53">
        <f t="shared" si="27"/>
        <v>0</v>
      </c>
      <c r="N57" s="54">
        <f t="shared" si="27"/>
        <v>0</v>
      </c>
      <c r="O57" s="55">
        <f t="shared" si="27"/>
        <v>0.23748785955286331</v>
      </c>
      <c r="Q57" s="33"/>
      <c r="R57" s="46"/>
      <c r="S57" s="56"/>
      <c r="T57" s="57"/>
      <c r="U57" s="57"/>
      <c r="V57" s="41"/>
    </row>
    <row r="58" spans="1:43">
      <c r="A58" s="28" t="s">
        <v>70</v>
      </c>
      <c r="B58" s="29" t="s">
        <v>55</v>
      </c>
      <c r="C58" s="30">
        <f>C59/C$7</f>
        <v>0</v>
      </c>
      <c r="D58" s="31">
        <f t="shared" ref="D58:O58" si="28">D59/D$7</f>
        <v>6.568928965990863</v>
      </c>
      <c r="E58" s="30">
        <f t="shared" si="28"/>
        <v>7.9534432589718715</v>
      </c>
      <c r="F58" s="31">
        <f t="shared" si="28"/>
        <v>7.330279050395669</v>
      </c>
      <c r="G58" s="30">
        <f t="shared" si="28"/>
        <v>7.2017279599840842</v>
      </c>
      <c r="H58" s="31">
        <f t="shared" si="28"/>
        <v>5.7559325406696189</v>
      </c>
      <c r="I58" s="30">
        <f t="shared" si="28"/>
        <v>10.342348321442397</v>
      </c>
      <c r="J58" s="31">
        <f t="shared" si="28"/>
        <v>4.759014818186416</v>
      </c>
      <c r="K58" s="30">
        <f t="shared" si="28"/>
        <v>5.5457339462017572</v>
      </c>
      <c r="L58" s="31">
        <f t="shared" si="28"/>
        <v>9.1022545375620609</v>
      </c>
      <c r="M58" s="30">
        <f t="shared" si="28"/>
        <v>9.4698547585325894</v>
      </c>
      <c r="N58" s="31">
        <f t="shared" si="28"/>
        <v>12.225240800197579</v>
      </c>
      <c r="O58" s="32">
        <f t="shared" si="28"/>
        <v>7.1217819184438129</v>
      </c>
      <c r="V58" s="15"/>
    </row>
    <row r="59" spans="1:43">
      <c r="A59" s="34" t="s">
        <v>71</v>
      </c>
      <c r="B59" s="35" t="s">
        <v>57</v>
      </c>
      <c r="C59" s="36">
        <v>0</v>
      </c>
      <c r="D59" s="37">
        <v>2200</v>
      </c>
      <c r="E59" s="36">
        <v>2870</v>
      </c>
      <c r="F59" s="37">
        <v>2640</v>
      </c>
      <c r="G59" s="36">
        <v>2534</v>
      </c>
      <c r="H59" s="37">
        <v>2314</v>
      </c>
      <c r="I59" s="36">
        <f>-'[9]July 2011 RRS'!$J$17</f>
        <v>3740</v>
      </c>
      <c r="J59" s="37">
        <v>1882</v>
      </c>
      <c r="K59" s="36">
        <v>2039</v>
      </c>
      <c r="L59" s="37">
        <v>3355</v>
      </c>
      <c r="M59" s="36">
        <v>3410</v>
      </c>
      <c r="N59" s="37">
        <v>3960</v>
      </c>
      <c r="O59" s="38">
        <f>SUM(C59:N59)</f>
        <v>30944</v>
      </c>
      <c r="P59" s="9"/>
      <c r="Q59" s="9"/>
      <c r="R59" s="9"/>
      <c r="S59" s="9"/>
      <c r="T59" s="9"/>
      <c r="U59" s="9"/>
      <c r="V59" s="70"/>
    </row>
    <row r="60" spans="1:43">
      <c r="A60" s="34" t="s">
        <v>56</v>
      </c>
      <c r="B60" s="35" t="s">
        <v>58</v>
      </c>
      <c r="C60" s="43" t="e">
        <f>C61/C59</f>
        <v>#DIV/0!</v>
      </c>
      <c r="D60" s="44">
        <f t="shared" ref="D60:N60" si="29">D61/D59</f>
        <v>2.5994999999999999</v>
      </c>
      <c r="E60" s="43">
        <f t="shared" si="29"/>
        <v>2.5118989547038328</v>
      </c>
      <c r="F60" s="44">
        <f t="shared" si="29"/>
        <v>2.5119015151515152</v>
      </c>
      <c r="G60" s="43">
        <f t="shared" si="29"/>
        <v>2.4840015785319651</v>
      </c>
      <c r="H60" s="44">
        <f t="shared" si="29"/>
        <v>2.4792999135695766</v>
      </c>
      <c r="I60" s="43">
        <f t="shared" si="29"/>
        <v>2.4792994652406417</v>
      </c>
      <c r="J60" s="44">
        <f t="shared" si="29"/>
        <v>2.4717003188097766</v>
      </c>
      <c r="K60" s="43">
        <f t="shared" si="29"/>
        <v>2.4712996566944581</v>
      </c>
      <c r="L60" s="44">
        <f t="shared" si="29"/>
        <v>2.4712995529061099</v>
      </c>
      <c r="M60" s="43">
        <f t="shared" si="29"/>
        <v>2.4738005865102637</v>
      </c>
      <c r="N60" s="44">
        <f t="shared" si="29"/>
        <v>2.4728989898989902</v>
      </c>
      <c r="O60" s="45">
        <f>IF(O59=0,0,+O61/O59)</f>
        <v>2.490753619441572</v>
      </c>
      <c r="R60" s="15"/>
      <c r="S60" s="15"/>
      <c r="T60" s="15"/>
      <c r="U60" s="15"/>
      <c r="V60" s="71"/>
    </row>
    <row r="61" spans="1:43" ht="15.75">
      <c r="A61" s="42"/>
      <c r="B61" s="35" t="s">
        <v>15</v>
      </c>
      <c r="C61" s="48">
        <v>0</v>
      </c>
      <c r="D61" s="49">
        <v>5718.9</v>
      </c>
      <c r="E61" s="48">
        <v>7209.15</v>
      </c>
      <c r="F61" s="49">
        <v>6631.42</v>
      </c>
      <c r="G61" s="48">
        <v>6294.46</v>
      </c>
      <c r="H61" s="49">
        <v>5737.1</v>
      </c>
      <c r="I61" s="36">
        <f>'[9]July 2011 RRS'!$L$17</f>
        <v>9272.58</v>
      </c>
      <c r="J61" s="49">
        <v>4651.74</v>
      </c>
      <c r="K61" s="48">
        <v>5038.9799999999996</v>
      </c>
      <c r="L61" s="49">
        <v>8291.2099999999991</v>
      </c>
      <c r="M61" s="48">
        <v>8435.66</v>
      </c>
      <c r="N61" s="49">
        <v>9792.68</v>
      </c>
      <c r="O61" s="50">
        <f>SUM(C61:N61)</f>
        <v>77073.88</v>
      </c>
      <c r="R61" s="72"/>
      <c r="S61" s="15"/>
      <c r="T61" s="72"/>
      <c r="U61" s="15"/>
      <c r="V61" s="15"/>
    </row>
    <row r="62" spans="1:43" ht="13.5" thickBot="1">
      <c r="A62" s="51"/>
      <c r="B62" s="52" t="s">
        <v>59</v>
      </c>
      <c r="C62" s="53">
        <f t="shared" ref="C62:O62" si="30">C61/C$7</f>
        <v>0</v>
      </c>
      <c r="D62" s="54">
        <f t="shared" si="30"/>
        <v>17.075930847093247</v>
      </c>
      <c r="E62" s="53">
        <f t="shared" si="30"/>
        <v>19.978245808507687</v>
      </c>
      <c r="F62" s="54">
        <f t="shared" si="30"/>
        <v>18.412939053172291</v>
      </c>
      <c r="G62" s="53">
        <f t="shared" si="30"/>
        <v>17.889103620758256</v>
      </c>
      <c r="H62" s="54">
        <f t="shared" si="30"/>
        <v>14.270683050594499</v>
      </c>
      <c r="I62" s="53">
        <f t="shared" si="30"/>
        <v>25.641778662684587</v>
      </c>
      <c r="J62" s="54">
        <f t="shared" si="30"/>
        <v>11.762858443331815</v>
      </c>
      <c r="K62" s="53">
        <f t="shared" si="30"/>
        <v>13.705170397367203</v>
      </c>
      <c r="L62" s="54">
        <f t="shared" si="30"/>
        <v>22.494397569114735</v>
      </c>
      <c r="M62" s="53">
        <f t="shared" si="30"/>
        <v>23.426532255824934</v>
      </c>
      <c r="N62" s="54">
        <f t="shared" si="30"/>
        <v>30.231785626080512</v>
      </c>
      <c r="O62" s="55">
        <f t="shared" si="30"/>
        <v>17.73860409023747</v>
      </c>
      <c r="R62" s="15"/>
      <c r="S62" s="15"/>
      <c r="T62" s="15"/>
      <c r="U62" s="15"/>
      <c r="V62" s="15"/>
    </row>
    <row r="63" spans="1:43">
      <c r="A63" s="28" t="s">
        <v>72</v>
      </c>
      <c r="B63" s="29" t="s">
        <v>55</v>
      </c>
      <c r="C63" s="30">
        <f>C64/C$7</f>
        <v>4.750726581712498</v>
      </c>
      <c r="D63" s="31">
        <f t="shared" ref="D63:O63" si="31">D64/D$7</f>
        <v>3.7323460034038991</v>
      </c>
      <c r="E63" s="30">
        <f t="shared" si="31"/>
        <v>4.8496605237633359</v>
      </c>
      <c r="F63" s="31">
        <f t="shared" si="31"/>
        <v>0.97181729834791064</v>
      </c>
      <c r="G63" s="30">
        <f t="shared" si="31"/>
        <v>4.2630591712612969</v>
      </c>
      <c r="H63" s="31">
        <f t="shared" si="31"/>
        <v>3.2336699666683253</v>
      </c>
      <c r="I63" s="30">
        <f t="shared" si="31"/>
        <v>2.6270670869974007</v>
      </c>
      <c r="J63" s="31">
        <f t="shared" si="31"/>
        <v>3.7930511303292369</v>
      </c>
      <c r="K63" s="30">
        <f t="shared" si="31"/>
        <v>4.3517284521445863</v>
      </c>
      <c r="L63" s="31">
        <f t="shared" si="31"/>
        <v>3.7982582272986249</v>
      </c>
      <c r="M63" s="30">
        <f t="shared" si="31"/>
        <v>2.7770835069010529</v>
      </c>
      <c r="N63" s="31">
        <f t="shared" si="31"/>
        <v>1.2348728081007656</v>
      </c>
      <c r="O63" s="32">
        <f t="shared" si="31"/>
        <v>3.3832146523114028</v>
      </c>
      <c r="Q63" s="33"/>
    </row>
    <row r="64" spans="1:43">
      <c r="A64" s="34" t="s">
        <v>56</v>
      </c>
      <c r="B64" s="35" t="s">
        <v>57</v>
      </c>
      <c r="C64" s="36">
        <v>1700</v>
      </c>
      <c r="D64" s="37">
        <v>1250</v>
      </c>
      <c r="E64" s="36">
        <v>1750</v>
      </c>
      <c r="F64" s="37">
        <v>350</v>
      </c>
      <c r="G64" s="36">
        <v>1500</v>
      </c>
      <c r="H64" s="37">
        <v>1300</v>
      </c>
      <c r="I64" s="36">
        <f>-'[9]July 2011 RRS'!$J$18</f>
        <v>950</v>
      </c>
      <c r="J64" s="37">
        <v>1500</v>
      </c>
      <c r="K64" s="36">
        <v>1600</v>
      </c>
      <c r="L64" s="37">
        <v>1400</v>
      </c>
      <c r="M64" s="36">
        <v>1000</v>
      </c>
      <c r="N64" s="37">
        <v>400</v>
      </c>
      <c r="O64" s="38">
        <f>SUM(C64:N64)</f>
        <v>14700</v>
      </c>
      <c r="Q64" s="33"/>
      <c r="R64" s="57"/>
      <c r="S64" s="57"/>
      <c r="T64" s="57"/>
      <c r="U64" s="60"/>
      <c r="V64" s="41"/>
    </row>
    <row r="65" spans="1:22" ht="15.75">
      <c r="A65" s="42"/>
      <c r="B65" s="35" t="s">
        <v>58</v>
      </c>
      <c r="C65" s="43">
        <f>C66/C64</f>
        <v>0.16089999999999999</v>
      </c>
      <c r="D65" s="44">
        <f t="shared" ref="D65:N65" si="32">D66/D64</f>
        <v>0.16090399999999999</v>
      </c>
      <c r="E65" s="43">
        <f t="shared" si="32"/>
        <v>0.16090285714285713</v>
      </c>
      <c r="F65" s="44">
        <f t="shared" si="32"/>
        <v>0.1609142857142857</v>
      </c>
      <c r="G65" s="43">
        <f t="shared" si="32"/>
        <v>0.16089999999999999</v>
      </c>
      <c r="H65" s="44">
        <f t="shared" si="32"/>
        <v>0.14579999999999999</v>
      </c>
      <c r="I65" s="43">
        <f t="shared" si="32"/>
        <v>0.14579999999999999</v>
      </c>
      <c r="J65" s="44">
        <f t="shared" si="32"/>
        <v>0.14579999999999999</v>
      </c>
      <c r="K65" s="43">
        <f t="shared" si="32"/>
        <v>0.14580000000000001</v>
      </c>
      <c r="L65" s="44">
        <f t="shared" si="32"/>
        <v>0.14580000000000001</v>
      </c>
      <c r="M65" s="43">
        <f t="shared" si="32"/>
        <v>0.1424</v>
      </c>
      <c r="N65" s="44">
        <f t="shared" si="32"/>
        <v>0.1424</v>
      </c>
      <c r="O65" s="45">
        <f>IF(O64=0,0,+O66/O64)</f>
        <v>0.15220544217687076</v>
      </c>
      <c r="Q65" s="33"/>
      <c r="R65" s="46"/>
      <c r="S65" s="46"/>
      <c r="T65" s="47"/>
      <c r="U65" s="47"/>
      <c r="V65" s="41"/>
    </row>
    <row r="66" spans="1:22">
      <c r="A66" s="42"/>
      <c r="B66" s="35" t="s">
        <v>15</v>
      </c>
      <c r="C66" s="48">
        <v>273.52999999999997</v>
      </c>
      <c r="D66" s="49">
        <v>201.13</v>
      </c>
      <c r="E66" s="48">
        <v>281.58</v>
      </c>
      <c r="F66" s="49">
        <v>56.32</v>
      </c>
      <c r="G66" s="48">
        <v>241.35</v>
      </c>
      <c r="H66" s="49">
        <v>189.54</v>
      </c>
      <c r="I66" s="36">
        <f>'[9]July 2011 RRS'!$L$18</f>
        <v>138.51</v>
      </c>
      <c r="J66" s="49">
        <v>218.7</v>
      </c>
      <c r="K66" s="48">
        <v>233.28</v>
      </c>
      <c r="L66" s="49">
        <v>204.12</v>
      </c>
      <c r="M66" s="48">
        <v>142.4</v>
      </c>
      <c r="N66" s="49">
        <v>56.96</v>
      </c>
      <c r="O66" s="50">
        <f>SUM(C66:N66)</f>
        <v>2237.42</v>
      </c>
      <c r="Q66" s="33"/>
      <c r="R66" s="40"/>
      <c r="S66" s="40"/>
      <c r="T66" s="40"/>
      <c r="U66" s="40"/>
      <c r="V66" s="41"/>
    </row>
    <row r="67" spans="1:22" ht="16.5" thickBot="1">
      <c r="A67" s="51"/>
      <c r="B67" s="52" t="s">
        <v>59</v>
      </c>
      <c r="C67" s="53">
        <f t="shared" ref="C67:O67" si="33">C66/C$7</f>
        <v>0.76439190699754078</v>
      </c>
      <c r="D67" s="54">
        <f t="shared" si="33"/>
        <v>0.60054940133170098</v>
      </c>
      <c r="E67" s="53">
        <f t="shared" si="33"/>
        <v>0.78032423444644583</v>
      </c>
      <c r="F67" s="54">
        <f t="shared" si="33"/>
        <v>0.15637928640844093</v>
      </c>
      <c r="G67" s="53">
        <f t="shared" si="33"/>
        <v>0.68592622065594266</v>
      </c>
      <c r="H67" s="54">
        <f t="shared" si="33"/>
        <v>0.47146908114024177</v>
      </c>
      <c r="I67" s="53">
        <f t="shared" si="33"/>
        <v>0.38302638128422095</v>
      </c>
      <c r="J67" s="54">
        <f t="shared" si="33"/>
        <v>0.55302685480200275</v>
      </c>
      <c r="K67" s="53">
        <f t="shared" si="33"/>
        <v>0.63448200832268065</v>
      </c>
      <c r="L67" s="54">
        <f t="shared" si="33"/>
        <v>0.55378604954013955</v>
      </c>
      <c r="M67" s="53">
        <f t="shared" si="33"/>
        <v>0.39545669138270995</v>
      </c>
      <c r="N67" s="54">
        <f t="shared" si="33"/>
        <v>0.17584588787354902</v>
      </c>
      <c r="O67" s="55">
        <f t="shared" si="33"/>
        <v>0.51494368213432506</v>
      </c>
      <c r="Q67" s="33"/>
      <c r="R67" s="56"/>
      <c r="S67" s="56"/>
      <c r="T67" s="57"/>
      <c r="U67" s="57"/>
      <c r="V67" s="41"/>
    </row>
    <row r="68" spans="1:22">
      <c r="A68" s="181" t="s">
        <v>73</v>
      </c>
      <c r="B68" s="29" t="s">
        <v>55</v>
      </c>
      <c r="C68" s="30">
        <f>C69/C$7</f>
        <v>0</v>
      </c>
      <c r="D68" s="31">
        <f t="shared" ref="D68:N68" si="34">D69/D$7</f>
        <v>0</v>
      </c>
      <c r="E68" s="30">
        <f t="shared" si="34"/>
        <v>0</v>
      </c>
      <c r="F68" s="31">
        <f t="shared" si="34"/>
        <v>0</v>
      </c>
      <c r="G68" s="30">
        <f t="shared" si="34"/>
        <v>0</v>
      </c>
      <c r="H68" s="31">
        <f t="shared" si="34"/>
        <v>0</v>
      </c>
      <c r="I68" s="30">
        <f t="shared" si="34"/>
        <v>0</v>
      </c>
      <c r="J68" s="31">
        <f t="shared" si="34"/>
        <v>0</v>
      </c>
      <c r="K68" s="30">
        <f t="shared" si="34"/>
        <v>0</v>
      </c>
      <c r="L68" s="31">
        <f t="shared" si="34"/>
        <v>0</v>
      </c>
      <c r="M68" s="30">
        <f t="shared" si="34"/>
        <v>0</v>
      </c>
      <c r="N68" s="31">
        <f t="shared" si="34"/>
        <v>0</v>
      </c>
      <c r="O68" s="32">
        <f>O69/O$7</f>
        <v>0</v>
      </c>
      <c r="Q68" s="33"/>
    </row>
    <row r="69" spans="1:22">
      <c r="A69" s="34" t="s">
        <v>64</v>
      </c>
      <c r="B69" s="35" t="s">
        <v>57</v>
      </c>
      <c r="C69" s="65">
        <v>0</v>
      </c>
      <c r="D69" s="66">
        <v>0</v>
      </c>
      <c r="E69" s="65">
        <v>0</v>
      </c>
      <c r="F69" s="66">
        <v>0</v>
      </c>
      <c r="G69" s="65">
        <v>0</v>
      </c>
      <c r="H69" s="66">
        <v>0</v>
      </c>
      <c r="I69" s="65">
        <v>0</v>
      </c>
      <c r="J69" s="66">
        <v>0</v>
      </c>
      <c r="K69" s="65">
        <v>0</v>
      </c>
      <c r="L69" s="66">
        <v>0</v>
      </c>
      <c r="M69" s="65">
        <v>0</v>
      </c>
      <c r="N69" s="66">
        <v>0</v>
      </c>
      <c r="O69" s="67">
        <f>SUM(C69:N69)</f>
        <v>0</v>
      </c>
      <c r="Q69" s="33"/>
      <c r="R69" s="57"/>
      <c r="S69" s="57"/>
      <c r="T69" s="57"/>
      <c r="U69" s="60"/>
      <c r="V69" s="41"/>
    </row>
    <row r="70" spans="1:22" ht="15.75">
      <c r="A70" s="42"/>
      <c r="B70" s="35" t="s">
        <v>58</v>
      </c>
      <c r="C70" s="43">
        <f>'[10]Price Changes'!F15</f>
        <v>0</v>
      </c>
      <c r="D70" s="44">
        <f t="shared" ref="D70:N70" si="35">C70</f>
        <v>0</v>
      </c>
      <c r="E70" s="43">
        <f t="shared" si="35"/>
        <v>0</v>
      </c>
      <c r="F70" s="44">
        <f t="shared" si="35"/>
        <v>0</v>
      </c>
      <c r="G70" s="43">
        <f t="shared" si="35"/>
        <v>0</v>
      </c>
      <c r="H70" s="44">
        <f t="shared" si="35"/>
        <v>0</v>
      </c>
      <c r="I70" s="43">
        <f t="shared" si="35"/>
        <v>0</v>
      </c>
      <c r="J70" s="44">
        <f t="shared" si="35"/>
        <v>0</v>
      </c>
      <c r="K70" s="43">
        <f t="shared" si="35"/>
        <v>0</v>
      </c>
      <c r="L70" s="44">
        <f t="shared" si="35"/>
        <v>0</v>
      </c>
      <c r="M70" s="43">
        <f t="shared" si="35"/>
        <v>0</v>
      </c>
      <c r="N70" s="44">
        <f t="shared" si="35"/>
        <v>0</v>
      </c>
      <c r="O70" s="45">
        <f>IF(O69=0,0,+O71/O69)</f>
        <v>0</v>
      </c>
      <c r="Q70" s="33"/>
      <c r="R70" s="46"/>
      <c r="S70" s="46"/>
      <c r="T70" s="47"/>
      <c r="U70" s="47"/>
      <c r="V70" s="41"/>
    </row>
    <row r="71" spans="1:22">
      <c r="A71" s="42"/>
      <c r="B71" s="35" t="s">
        <v>15</v>
      </c>
      <c r="C71" s="48">
        <f t="shared" ref="C71:N71" si="36">C69*C70</f>
        <v>0</v>
      </c>
      <c r="D71" s="49">
        <f t="shared" si="36"/>
        <v>0</v>
      </c>
      <c r="E71" s="48">
        <f t="shared" si="36"/>
        <v>0</v>
      </c>
      <c r="F71" s="49">
        <f t="shared" si="36"/>
        <v>0</v>
      </c>
      <c r="G71" s="48">
        <f t="shared" si="36"/>
        <v>0</v>
      </c>
      <c r="H71" s="49">
        <f t="shared" si="36"/>
        <v>0</v>
      </c>
      <c r="I71" s="48">
        <f t="shared" si="36"/>
        <v>0</v>
      </c>
      <c r="J71" s="49">
        <f t="shared" si="36"/>
        <v>0</v>
      </c>
      <c r="K71" s="48">
        <f t="shared" si="36"/>
        <v>0</v>
      </c>
      <c r="L71" s="49">
        <f t="shared" si="36"/>
        <v>0</v>
      </c>
      <c r="M71" s="48">
        <f t="shared" si="36"/>
        <v>0</v>
      </c>
      <c r="N71" s="49">
        <f t="shared" si="36"/>
        <v>0</v>
      </c>
      <c r="O71" s="50">
        <f>SUM(C71:N71)</f>
        <v>0</v>
      </c>
      <c r="Q71" s="33"/>
      <c r="R71" s="40"/>
      <c r="S71" s="40"/>
      <c r="T71" s="40"/>
      <c r="U71" s="40"/>
      <c r="V71" s="41"/>
    </row>
    <row r="72" spans="1:22" ht="16.5" thickBot="1">
      <c r="A72" s="51"/>
      <c r="B72" s="52" t="s">
        <v>59</v>
      </c>
      <c r="C72" s="53">
        <f t="shared" ref="C72:O72" si="37">C71/C$7</f>
        <v>0</v>
      </c>
      <c r="D72" s="54">
        <f t="shared" si="37"/>
        <v>0</v>
      </c>
      <c r="E72" s="53">
        <f t="shared" si="37"/>
        <v>0</v>
      </c>
      <c r="F72" s="54">
        <f t="shared" si="37"/>
        <v>0</v>
      </c>
      <c r="G72" s="53">
        <f t="shared" si="37"/>
        <v>0</v>
      </c>
      <c r="H72" s="54">
        <f t="shared" si="37"/>
        <v>0</v>
      </c>
      <c r="I72" s="53">
        <f t="shared" si="37"/>
        <v>0</v>
      </c>
      <c r="J72" s="54">
        <f t="shared" si="37"/>
        <v>0</v>
      </c>
      <c r="K72" s="53">
        <f t="shared" si="37"/>
        <v>0</v>
      </c>
      <c r="L72" s="54">
        <f t="shared" si="37"/>
        <v>0</v>
      </c>
      <c r="M72" s="53">
        <f t="shared" si="37"/>
        <v>0</v>
      </c>
      <c r="N72" s="54">
        <f t="shared" si="37"/>
        <v>0</v>
      </c>
      <c r="O72" s="55">
        <f t="shared" si="37"/>
        <v>0</v>
      </c>
      <c r="Q72" s="33"/>
      <c r="R72" s="56"/>
      <c r="S72" s="56"/>
      <c r="T72" s="57"/>
      <c r="U72" s="57"/>
      <c r="V72" s="41"/>
    </row>
    <row r="73" spans="1:22">
      <c r="A73" s="28" t="s">
        <v>74</v>
      </c>
      <c r="B73" s="29" t="s">
        <v>55</v>
      </c>
      <c r="C73" s="30">
        <f>C74/C$7</f>
        <v>0</v>
      </c>
      <c r="D73" s="31">
        <f t="shared" ref="D73:N73" si="38">D74/D$7</f>
        <v>0</v>
      </c>
      <c r="E73" s="30">
        <f t="shared" si="38"/>
        <v>0</v>
      </c>
      <c r="F73" s="31">
        <f t="shared" si="38"/>
        <v>0</v>
      </c>
      <c r="G73" s="30">
        <f t="shared" si="38"/>
        <v>0</v>
      </c>
      <c r="H73" s="31">
        <f t="shared" si="38"/>
        <v>22.016317596139498</v>
      </c>
      <c r="I73" s="30">
        <f t="shared" si="38"/>
        <v>35.858083070626627</v>
      </c>
      <c r="J73" s="31">
        <f t="shared" si="38"/>
        <v>37.978556617609875</v>
      </c>
      <c r="K73" s="30">
        <f t="shared" si="38"/>
        <v>29.602632795713546</v>
      </c>
      <c r="L73" s="31">
        <f t="shared" si="38"/>
        <v>0</v>
      </c>
      <c r="M73" s="30">
        <f t="shared" si="38"/>
        <v>0</v>
      </c>
      <c r="N73" s="31">
        <f t="shared" si="38"/>
        <v>0</v>
      </c>
      <c r="O73" s="32">
        <f>O74/O$7</f>
        <v>10.983019484554589</v>
      </c>
      <c r="Q73" s="33"/>
    </row>
    <row r="74" spans="1:22">
      <c r="A74" s="34" t="s">
        <v>64</v>
      </c>
      <c r="B74" s="35" t="s">
        <v>57</v>
      </c>
      <c r="C74" s="36">
        <v>0</v>
      </c>
      <c r="D74" s="37">
        <v>0</v>
      </c>
      <c r="E74" s="36">
        <v>0</v>
      </c>
      <c r="F74" s="37">
        <v>0</v>
      </c>
      <c r="G74" s="36">
        <v>0</v>
      </c>
      <c r="H74" s="37">
        <v>8851</v>
      </c>
      <c r="I74" s="36">
        <f>-'[9]July 2011 RRS'!$J$19</f>
        <v>12967</v>
      </c>
      <c r="J74" s="37">
        <v>15019</v>
      </c>
      <c r="K74" s="36">
        <v>10884</v>
      </c>
      <c r="L74" s="37">
        <v>0</v>
      </c>
      <c r="M74" s="36">
        <v>0</v>
      </c>
      <c r="N74" s="37">
        <v>0</v>
      </c>
      <c r="O74" s="38">
        <f>SUM(C74:N74)</f>
        <v>47721</v>
      </c>
      <c r="Q74" s="33"/>
      <c r="R74" s="57"/>
      <c r="S74" s="57"/>
      <c r="T74" s="57"/>
      <c r="U74" s="60"/>
      <c r="V74" s="41"/>
    </row>
    <row r="75" spans="1:22" ht="15.75">
      <c r="A75" s="42"/>
      <c r="B75" s="35" t="s">
        <v>58</v>
      </c>
      <c r="C75" s="43">
        <f>'[10]Price Changes'!$F$16</f>
        <v>8.0799999999999997E-2</v>
      </c>
      <c r="D75" s="44">
        <f>'[10]Price Changes'!$F$16</f>
        <v>8.0799999999999997E-2</v>
      </c>
      <c r="E75" s="43">
        <f>'[10]Price Changes'!$F$16</f>
        <v>8.0799999999999997E-2</v>
      </c>
      <c r="F75" s="44">
        <f>'[10]Price Changes'!$F$16</f>
        <v>8.0799999999999997E-2</v>
      </c>
      <c r="G75" s="43">
        <f>'[10]Price Changes'!$F$16</f>
        <v>8.0799999999999997E-2</v>
      </c>
      <c r="H75" s="44">
        <f>H76/H74</f>
        <v>0.08</v>
      </c>
      <c r="I75" s="43">
        <f>'[10]Price Changes'!$F$16</f>
        <v>8.0799999999999997E-2</v>
      </c>
      <c r="J75" s="44">
        <f>J76/J74</f>
        <v>0.10789999334176709</v>
      </c>
      <c r="K75" s="43">
        <f>K76/K74</f>
        <v>0.10789966923925029</v>
      </c>
      <c r="L75" s="44" t="e">
        <f>L76/L74</f>
        <v>#DIV/0!</v>
      </c>
      <c r="M75" s="43">
        <v>0</v>
      </c>
      <c r="N75" s="44">
        <f>'[10]Price Changes'!$F$16</f>
        <v>8.0799999999999997E-2</v>
      </c>
      <c r="O75" s="45">
        <f>IF(O74=0,0,+O76/O74)</f>
        <v>9.5144066553508932E-2</v>
      </c>
      <c r="Q75" s="33"/>
      <c r="R75" s="46"/>
      <c r="S75" s="46"/>
      <c r="T75" s="47"/>
      <c r="U75" s="47"/>
      <c r="V75" s="41"/>
    </row>
    <row r="76" spans="1:22">
      <c r="A76" s="42"/>
      <c r="B76" s="35" t="s">
        <v>15</v>
      </c>
      <c r="C76" s="48">
        <f>C74*C75</f>
        <v>0</v>
      </c>
      <c r="D76" s="49">
        <f>D74*D75</f>
        <v>0</v>
      </c>
      <c r="E76" s="48">
        <f>E74*E75</f>
        <v>0</v>
      </c>
      <c r="F76" s="49">
        <f>F74*F75</f>
        <v>0</v>
      </c>
      <c r="G76" s="48">
        <f>G74*G75</f>
        <v>0</v>
      </c>
      <c r="H76" s="49">
        <v>708.08</v>
      </c>
      <c r="I76" s="36">
        <f>'[9]July 2011 RRS'!$L$19</f>
        <v>1037.3599999999999</v>
      </c>
      <c r="J76" s="49">
        <v>1620.55</v>
      </c>
      <c r="K76" s="48">
        <v>1174.3800000000001</v>
      </c>
      <c r="L76" s="49">
        <v>0</v>
      </c>
      <c r="M76" s="48">
        <f>M74*M75</f>
        <v>0</v>
      </c>
      <c r="N76" s="49">
        <f>N74*N75</f>
        <v>0</v>
      </c>
      <c r="O76" s="50">
        <f>SUM(C76:N76)</f>
        <v>4540.37</v>
      </c>
      <c r="Q76" s="33"/>
      <c r="R76" s="40"/>
      <c r="S76" s="40"/>
      <c r="T76" s="40"/>
      <c r="U76" s="40"/>
      <c r="V76" s="41"/>
    </row>
    <row r="77" spans="1:22" ht="16.5" thickBot="1">
      <c r="A77" s="51"/>
      <c r="B77" s="52" t="s">
        <v>59</v>
      </c>
      <c r="C77" s="53">
        <f t="shared" ref="C77:O77" si="39">C76/C$7</f>
        <v>0</v>
      </c>
      <c r="D77" s="54">
        <f t="shared" si="39"/>
        <v>0</v>
      </c>
      <c r="E77" s="53">
        <f t="shared" si="39"/>
        <v>0</v>
      </c>
      <c r="F77" s="54">
        <f t="shared" si="39"/>
        <v>0</v>
      </c>
      <c r="G77" s="53">
        <f t="shared" si="39"/>
        <v>0</v>
      </c>
      <c r="H77" s="54">
        <f t="shared" si="39"/>
        <v>1.7613054076911598</v>
      </c>
      <c r="I77" s="53">
        <f t="shared" si="39"/>
        <v>2.8686466456501298</v>
      </c>
      <c r="J77" s="54">
        <f t="shared" si="39"/>
        <v>4.0978860061700297</v>
      </c>
      <c r="K77" s="53">
        <f t="shared" si="39"/>
        <v>3.1941142872684747</v>
      </c>
      <c r="L77" s="54">
        <f t="shared" si="39"/>
        <v>0</v>
      </c>
      <c r="M77" s="53">
        <f t="shared" si="39"/>
        <v>0</v>
      </c>
      <c r="N77" s="54">
        <f t="shared" si="39"/>
        <v>0</v>
      </c>
      <c r="O77" s="55">
        <f t="shared" si="39"/>
        <v>1.0449691367969471</v>
      </c>
      <c r="Q77" s="33"/>
      <c r="R77" s="56"/>
      <c r="S77" s="56"/>
      <c r="T77" s="57"/>
      <c r="U77" s="57"/>
      <c r="V77" s="41"/>
    </row>
    <row r="78" spans="1:22">
      <c r="A78" s="181" t="s">
        <v>75</v>
      </c>
      <c r="B78" s="29" t="s">
        <v>55</v>
      </c>
      <c r="C78" s="30">
        <f>C79/C$7</f>
        <v>0</v>
      </c>
      <c r="D78" s="31">
        <f t="shared" ref="D78:N78" si="40">D79/D$7</f>
        <v>0</v>
      </c>
      <c r="E78" s="30">
        <f t="shared" si="40"/>
        <v>0</v>
      </c>
      <c r="F78" s="31">
        <f t="shared" si="40"/>
        <v>0</v>
      </c>
      <c r="G78" s="30">
        <f t="shared" si="40"/>
        <v>0</v>
      </c>
      <c r="H78" s="31">
        <f t="shared" si="40"/>
        <v>0</v>
      </c>
      <c r="I78" s="30">
        <f t="shared" si="40"/>
        <v>0</v>
      </c>
      <c r="J78" s="31">
        <f t="shared" si="40"/>
        <v>0</v>
      </c>
      <c r="K78" s="30">
        <f t="shared" si="40"/>
        <v>0</v>
      </c>
      <c r="L78" s="31">
        <f t="shared" si="40"/>
        <v>0</v>
      </c>
      <c r="M78" s="30">
        <f t="shared" si="40"/>
        <v>0</v>
      </c>
      <c r="N78" s="31">
        <f t="shared" si="40"/>
        <v>0</v>
      </c>
      <c r="O78" s="32">
        <f>O79/O$7</f>
        <v>0</v>
      </c>
      <c r="V78" s="15"/>
    </row>
    <row r="79" spans="1:22">
      <c r="A79" s="34" t="s">
        <v>71</v>
      </c>
      <c r="B79" s="35" t="s">
        <v>57</v>
      </c>
      <c r="C79" s="65">
        <v>0</v>
      </c>
      <c r="D79" s="66">
        <v>0</v>
      </c>
      <c r="E79" s="65">
        <v>0</v>
      </c>
      <c r="F79" s="66">
        <v>0</v>
      </c>
      <c r="G79" s="65">
        <v>0</v>
      </c>
      <c r="H79" s="66">
        <v>0</v>
      </c>
      <c r="I79" s="65">
        <v>0</v>
      </c>
      <c r="J79" s="66">
        <v>0</v>
      </c>
      <c r="K79" s="65">
        <v>0</v>
      </c>
      <c r="L79" s="66">
        <v>0</v>
      </c>
      <c r="M79" s="65">
        <v>0</v>
      </c>
      <c r="N79" s="66">
        <v>0</v>
      </c>
      <c r="O79" s="67">
        <f>SUM(C79:N79)</f>
        <v>0</v>
      </c>
      <c r="P79" s="9"/>
      <c r="Q79" s="9"/>
      <c r="R79" s="9"/>
      <c r="S79" s="9"/>
      <c r="T79" s="9"/>
      <c r="U79" s="9"/>
      <c r="V79" s="70"/>
    </row>
    <row r="80" spans="1:22">
      <c r="A80" s="182" t="s">
        <v>64</v>
      </c>
      <c r="B80" s="35" t="s">
        <v>58</v>
      </c>
      <c r="C80" s="43">
        <f>'[10]Price Changes'!F17</f>
        <v>0</v>
      </c>
      <c r="D80" s="44">
        <f t="shared" ref="D80:N80" si="41">C80</f>
        <v>0</v>
      </c>
      <c r="E80" s="43">
        <f t="shared" si="41"/>
        <v>0</v>
      </c>
      <c r="F80" s="44">
        <f t="shared" si="41"/>
        <v>0</v>
      </c>
      <c r="G80" s="43">
        <f t="shared" si="41"/>
        <v>0</v>
      </c>
      <c r="H80" s="44">
        <f t="shared" si="41"/>
        <v>0</v>
      </c>
      <c r="I80" s="43">
        <f t="shared" si="41"/>
        <v>0</v>
      </c>
      <c r="J80" s="44">
        <f t="shared" si="41"/>
        <v>0</v>
      </c>
      <c r="K80" s="43">
        <f t="shared" si="41"/>
        <v>0</v>
      </c>
      <c r="L80" s="44">
        <f t="shared" si="41"/>
        <v>0</v>
      </c>
      <c r="M80" s="43">
        <f t="shared" si="41"/>
        <v>0</v>
      </c>
      <c r="N80" s="44">
        <f t="shared" si="41"/>
        <v>0</v>
      </c>
      <c r="O80" s="45">
        <f>IF(O79=0,0,+O81/O79)</f>
        <v>0</v>
      </c>
      <c r="R80" s="15"/>
      <c r="S80" s="15"/>
      <c r="T80" s="15"/>
      <c r="U80" s="15"/>
      <c r="V80" s="71"/>
    </row>
    <row r="81" spans="1:23" ht="15.75">
      <c r="A81" s="42"/>
      <c r="B81" s="35" t="s">
        <v>15</v>
      </c>
      <c r="C81" s="48">
        <f t="shared" ref="C81:N81" si="42">C79*C80</f>
        <v>0</v>
      </c>
      <c r="D81" s="49">
        <f t="shared" si="42"/>
        <v>0</v>
      </c>
      <c r="E81" s="48">
        <f t="shared" si="42"/>
        <v>0</v>
      </c>
      <c r="F81" s="49">
        <f t="shared" si="42"/>
        <v>0</v>
      </c>
      <c r="G81" s="48">
        <f t="shared" si="42"/>
        <v>0</v>
      </c>
      <c r="H81" s="49">
        <f t="shared" si="42"/>
        <v>0</v>
      </c>
      <c r="I81" s="48">
        <f t="shared" si="42"/>
        <v>0</v>
      </c>
      <c r="J81" s="49">
        <f t="shared" si="42"/>
        <v>0</v>
      </c>
      <c r="K81" s="48">
        <f t="shared" si="42"/>
        <v>0</v>
      </c>
      <c r="L81" s="49">
        <f t="shared" si="42"/>
        <v>0</v>
      </c>
      <c r="M81" s="48">
        <f t="shared" si="42"/>
        <v>0</v>
      </c>
      <c r="N81" s="49">
        <f t="shared" si="42"/>
        <v>0</v>
      </c>
      <c r="O81" s="50">
        <f>SUM(C81:N81)</f>
        <v>0</v>
      </c>
      <c r="R81" s="72"/>
      <c r="S81" s="15"/>
      <c r="T81" s="72"/>
      <c r="U81" s="15"/>
      <c r="V81" s="15"/>
    </row>
    <row r="82" spans="1:23" ht="13.5" thickBot="1">
      <c r="A82" s="51"/>
      <c r="B82" s="52" t="s">
        <v>59</v>
      </c>
      <c r="C82" s="53">
        <f t="shared" ref="C82:O82" si="43">C81/C$7</f>
        <v>0</v>
      </c>
      <c r="D82" s="54">
        <f t="shared" si="43"/>
        <v>0</v>
      </c>
      <c r="E82" s="53">
        <f t="shared" si="43"/>
        <v>0</v>
      </c>
      <c r="F82" s="54">
        <f t="shared" si="43"/>
        <v>0</v>
      </c>
      <c r="G82" s="53">
        <f t="shared" si="43"/>
        <v>0</v>
      </c>
      <c r="H82" s="54">
        <f t="shared" si="43"/>
        <v>0</v>
      </c>
      <c r="I82" s="53">
        <f t="shared" si="43"/>
        <v>0</v>
      </c>
      <c r="J82" s="54">
        <f t="shared" si="43"/>
        <v>0</v>
      </c>
      <c r="K82" s="53">
        <f t="shared" si="43"/>
        <v>0</v>
      </c>
      <c r="L82" s="54">
        <f t="shared" si="43"/>
        <v>0</v>
      </c>
      <c r="M82" s="53">
        <f t="shared" si="43"/>
        <v>0</v>
      </c>
      <c r="N82" s="54">
        <f t="shared" si="43"/>
        <v>0</v>
      </c>
      <c r="O82" s="55">
        <f t="shared" si="43"/>
        <v>0</v>
      </c>
      <c r="R82" s="15"/>
      <c r="S82" s="15"/>
      <c r="T82" s="15"/>
      <c r="U82" s="15"/>
      <c r="V82" s="15"/>
    </row>
    <row r="83" spans="1:23">
      <c r="A83" s="181" t="s">
        <v>76</v>
      </c>
      <c r="B83" s="29" t="s">
        <v>55</v>
      </c>
      <c r="C83" s="30">
        <f>C84/C$7</f>
        <v>0</v>
      </c>
      <c r="D83" s="31">
        <f t="shared" ref="D83:N83" si="44">D84/D$7</f>
        <v>0</v>
      </c>
      <c r="E83" s="30">
        <f t="shared" si="44"/>
        <v>0</v>
      </c>
      <c r="F83" s="31">
        <f t="shared" si="44"/>
        <v>0</v>
      </c>
      <c r="G83" s="30">
        <f t="shared" si="44"/>
        <v>0</v>
      </c>
      <c r="H83" s="31">
        <f t="shared" si="44"/>
        <v>0</v>
      </c>
      <c r="I83" s="30">
        <f t="shared" si="44"/>
        <v>0</v>
      </c>
      <c r="J83" s="31">
        <f t="shared" si="44"/>
        <v>0</v>
      </c>
      <c r="K83" s="30">
        <f t="shared" si="44"/>
        <v>0</v>
      </c>
      <c r="L83" s="31">
        <f t="shared" si="44"/>
        <v>0</v>
      </c>
      <c r="M83" s="30">
        <f t="shared" si="44"/>
        <v>0</v>
      </c>
      <c r="N83" s="31">
        <f t="shared" si="44"/>
        <v>0</v>
      </c>
      <c r="O83" s="32">
        <f>O84/O$7</f>
        <v>0</v>
      </c>
    </row>
    <row r="84" spans="1:23">
      <c r="A84" s="34" t="s">
        <v>64</v>
      </c>
      <c r="B84" s="35" t="s">
        <v>57</v>
      </c>
      <c r="C84" s="65">
        <v>0</v>
      </c>
      <c r="D84" s="66">
        <v>0</v>
      </c>
      <c r="E84" s="65">
        <v>0</v>
      </c>
      <c r="F84" s="66">
        <v>0</v>
      </c>
      <c r="G84" s="65">
        <v>0</v>
      </c>
      <c r="H84" s="66">
        <v>0</v>
      </c>
      <c r="I84" s="65">
        <v>0</v>
      </c>
      <c r="J84" s="66">
        <v>0</v>
      </c>
      <c r="K84" s="65">
        <v>0</v>
      </c>
      <c r="L84" s="66">
        <v>0</v>
      </c>
      <c r="M84" s="65">
        <v>0</v>
      </c>
      <c r="N84" s="66">
        <v>0</v>
      </c>
      <c r="O84" s="67">
        <f>SUM(C84:N84)</f>
        <v>0</v>
      </c>
    </row>
    <row r="85" spans="1:23">
      <c r="A85" s="34"/>
      <c r="B85" s="35" t="s">
        <v>58</v>
      </c>
      <c r="C85" s="43">
        <f>'[10]Price Changes'!F18</f>
        <v>0</v>
      </c>
      <c r="D85" s="44">
        <f t="shared" ref="D85:N85" si="45">C85</f>
        <v>0</v>
      </c>
      <c r="E85" s="43">
        <f t="shared" si="45"/>
        <v>0</v>
      </c>
      <c r="F85" s="44">
        <f t="shared" si="45"/>
        <v>0</v>
      </c>
      <c r="G85" s="43">
        <f t="shared" si="45"/>
        <v>0</v>
      </c>
      <c r="H85" s="44">
        <f t="shared" si="45"/>
        <v>0</v>
      </c>
      <c r="I85" s="43">
        <f t="shared" si="45"/>
        <v>0</v>
      </c>
      <c r="J85" s="44">
        <f t="shared" si="45"/>
        <v>0</v>
      </c>
      <c r="K85" s="43">
        <f t="shared" si="45"/>
        <v>0</v>
      </c>
      <c r="L85" s="44">
        <f t="shared" si="45"/>
        <v>0</v>
      </c>
      <c r="M85" s="43">
        <f t="shared" si="45"/>
        <v>0</v>
      </c>
      <c r="N85" s="44">
        <f t="shared" si="45"/>
        <v>0</v>
      </c>
      <c r="O85" s="45">
        <f>IF(O84=0,0,+O86/O84)</f>
        <v>0</v>
      </c>
    </row>
    <row r="86" spans="1:23">
      <c r="A86" s="42"/>
      <c r="B86" s="35" t="s">
        <v>15</v>
      </c>
      <c r="C86" s="48">
        <f t="shared" ref="C86:N86" si="46">C84*C85</f>
        <v>0</v>
      </c>
      <c r="D86" s="49">
        <f t="shared" si="46"/>
        <v>0</v>
      </c>
      <c r="E86" s="48">
        <f t="shared" si="46"/>
        <v>0</v>
      </c>
      <c r="F86" s="49">
        <f t="shared" si="46"/>
        <v>0</v>
      </c>
      <c r="G86" s="48">
        <f t="shared" si="46"/>
        <v>0</v>
      </c>
      <c r="H86" s="49">
        <f t="shared" si="46"/>
        <v>0</v>
      </c>
      <c r="I86" s="48">
        <f t="shared" si="46"/>
        <v>0</v>
      </c>
      <c r="J86" s="49">
        <f t="shared" si="46"/>
        <v>0</v>
      </c>
      <c r="K86" s="48">
        <f t="shared" si="46"/>
        <v>0</v>
      </c>
      <c r="L86" s="49">
        <f t="shared" si="46"/>
        <v>0</v>
      </c>
      <c r="M86" s="48">
        <f t="shared" si="46"/>
        <v>0</v>
      </c>
      <c r="N86" s="49">
        <f t="shared" si="46"/>
        <v>0</v>
      </c>
      <c r="O86" s="50">
        <f>SUM(C86:N86)</f>
        <v>0</v>
      </c>
    </row>
    <row r="87" spans="1:23" ht="13.5" thickBot="1">
      <c r="A87" s="51"/>
      <c r="B87" s="52" t="s">
        <v>59</v>
      </c>
      <c r="C87" s="53">
        <f t="shared" ref="C87:O87" si="47">C86/C$7</f>
        <v>0</v>
      </c>
      <c r="D87" s="54">
        <f t="shared" si="47"/>
        <v>0</v>
      </c>
      <c r="E87" s="53">
        <f t="shared" si="47"/>
        <v>0</v>
      </c>
      <c r="F87" s="54">
        <f t="shared" si="47"/>
        <v>0</v>
      </c>
      <c r="G87" s="53">
        <f t="shared" si="47"/>
        <v>0</v>
      </c>
      <c r="H87" s="54">
        <f t="shared" si="47"/>
        <v>0</v>
      </c>
      <c r="I87" s="53">
        <f t="shared" si="47"/>
        <v>0</v>
      </c>
      <c r="J87" s="54">
        <f t="shared" si="47"/>
        <v>0</v>
      </c>
      <c r="K87" s="53">
        <f t="shared" si="47"/>
        <v>0</v>
      </c>
      <c r="L87" s="54">
        <f t="shared" si="47"/>
        <v>0</v>
      </c>
      <c r="M87" s="53">
        <f t="shared" si="47"/>
        <v>0</v>
      </c>
      <c r="N87" s="54">
        <f t="shared" si="47"/>
        <v>0</v>
      </c>
      <c r="O87" s="55">
        <f t="shared" si="47"/>
        <v>0</v>
      </c>
    </row>
    <row r="88" spans="1:23" ht="13.5" thickBot="1">
      <c r="A88" s="10" t="s">
        <v>1</v>
      </c>
      <c r="B88" s="73" t="s">
        <v>1</v>
      </c>
      <c r="C88" s="74" t="s">
        <v>1</v>
      </c>
      <c r="D88" s="75" t="s">
        <v>1</v>
      </c>
      <c r="E88" s="74" t="s">
        <v>1</v>
      </c>
      <c r="F88" s="75" t="s">
        <v>1</v>
      </c>
      <c r="G88" s="74" t="s">
        <v>1</v>
      </c>
      <c r="H88" s="75" t="s">
        <v>1</v>
      </c>
      <c r="I88" s="74" t="s">
        <v>1</v>
      </c>
      <c r="J88" s="75" t="s">
        <v>1</v>
      </c>
      <c r="K88" s="74" t="s">
        <v>1</v>
      </c>
      <c r="L88" s="75" t="s">
        <v>1</v>
      </c>
      <c r="M88" s="74" t="s">
        <v>1</v>
      </c>
      <c r="N88" s="75" t="s">
        <v>1</v>
      </c>
      <c r="O88" s="6" t="s">
        <v>1</v>
      </c>
      <c r="P88" s="9"/>
      <c r="Q88" s="9"/>
      <c r="R88" s="76"/>
      <c r="S88" s="9"/>
      <c r="T88" s="9"/>
      <c r="U88" s="9"/>
      <c r="V88" s="70"/>
    </row>
    <row r="89" spans="1:23">
      <c r="A89" s="77" t="s">
        <v>77</v>
      </c>
      <c r="B89" s="29" t="s">
        <v>55</v>
      </c>
      <c r="C89" s="78">
        <f t="shared" ref="C89:N89" si="48">C90/C7</f>
        <v>774.55287279230947</v>
      </c>
      <c r="D89" s="79">
        <f t="shared" si="48"/>
        <v>719.46791675375471</v>
      </c>
      <c r="E89" s="78">
        <f t="shared" si="48"/>
        <v>676.22280726063457</v>
      </c>
      <c r="F89" s="79">
        <f t="shared" si="48"/>
        <v>730.13744273219493</v>
      </c>
      <c r="G89" s="78">
        <f t="shared" si="48"/>
        <v>635.13329165008804</v>
      </c>
      <c r="H89" s="79">
        <f t="shared" si="48"/>
        <v>709.03935127605598</v>
      </c>
      <c r="I89" s="78">
        <f t="shared" si="48"/>
        <v>725.25302804048442</v>
      </c>
      <c r="J89" s="79">
        <f t="shared" si="48"/>
        <v>672.58635513073386</v>
      </c>
      <c r="K89" s="78">
        <f t="shared" si="48"/>
        <v>693.19498463295884</v>
      </c>
      <c r="L89" s="79">
        <f t="shared" si="48"/>
        <v>719.4959168724057</v>
      </c>
      <c r="M89" s="78">
        <f t="shared" si="48"/>
        <v>672.94009830875621</v>
      </c>
      <c r="N89" s="79">
        <f t="shared" si="48"/>
        <v>714.37391948629283</v>
      </c>
      <c r="O89" s="32">
        <f>O90/O$7</f>
        <v>703.26100465364618</v>
      </c>
      <c r="Q89" s="33"/>
      <c r="R89" s="68"/>
      <c r="S89" s="68"/>
      <c r="T89" s="68"/>
      <c r="U89" s="39"/>
      <c r="V89" s="41"/>
    </row>
    <row r="90" spans="1:23" ht="15.75">
      <c r="A90" s="34"/>
      <c r="B90" s="35" t="s">
        <v>57</v>
      </c>
      <c r="C90" s="36">
        <f t="shared" ref="C90:N90" si="49">C9+C14+C19+C24+C34+C39+C44+C49+C54+C59+C64+C74+C84+C69+C29+C79</f>
        <v>277166</v>
      </c>
      <c r="D90" s="37">
        <f t="shared" si="49"/>
        <v>240957</v>
      </c>
      <c r="E90" s="36">
        <f t="shared" si="49"/>
        <v>244015</v>
      </c>
      <c r="F90" s="37">
        <f t="shared" si="49"/>
        <v>262959</v>
      </c>
      <c r="G90" s="36">
        <f t="shared" si="49"/>
        <v>223478</v>
      </c>
      <c r="H90" s="37">
        <f t="shared" si="49"/>
        <v>285048</v>
      </c>
      <c r="I90" s="36">
        <f t="shared" si="49"/>
        <v>262266</v>
      </c>
      <c r="J90" s="37">
        <f t="shared" si="49"/>
        <v>265981</v>
      </c>
      <c r="K90" s="36">
        <f t="shared" si="49"/>
        <v>254867</v>
      </c>
      <c r="L90" s="37">
        <f t="shared" si="49"/>
        <v>265199</v>
      </c>
      <c r="M90" s="36">
        <f t="shared" si="49"/>
        <v>242319</v>
      </c>
      <c r="N90" s="37">
        <f t="shared" si="49"/>
        <v>231400</v>
      </c>
      <c r="O90" s="67">
        <f>SUM(C90:N90)</f>
        <v>3055655</v>
      </c>
      <c r="Q90" s="33"/>
      <c r="R90" s="46"/>
      <c r="S90" s="80"/>
      <c r="T90" s="68"/>
      <c r="U90" s="47"/>
      <c r="V90" s="41"/>
    </row>
    <row r="91" spans="1:23">
      <c r="A91" s="42"/>
      <c r="B91" s="35" t="s">
        <v>58</v>
      </c>
      <c r="C91" s="81">
        <f t="shared" ref="C91:N91" si="50">C92/C90</f>
        <v>0.17369215560350115</v>
      </c>
      <c r="D91" s="82">
        <f t="shared" si="50"/>
        <v>0.20344899712396822</v>
      </c>
      <c r="E91" s="81">
        <f t="shared" si="50"/>
        <v>0.22079388562178556</v>
      </c>
      <c r="F91" s="82">
        <f t="shared" si="50"/>
        <v>0.19992504534927497</v>
      </c>
      <c r="G91" s="81">
        <f t="shared" si="50"/>
        <v>0.20714253752047179</v>
      </c>
      <c r="H91" s="82">
        <f t="shared" si="50"/>
        <v>0.22132784653812693</v>
      </c>
      <c r="I91" s="81">
        <f t="shared" si="50"/>
        <v>0.21030964745716182</v>
      </c>
      <c r="J91" s="82">
        <f t="shared" si="50"/>
        <v>0.20032761738620428</v>
      </c>
      <c r="K91" s="81">
        <f t="shared" si="50"/>
        <v>0.19803297406098083</v>
      </c>
      <c r="L91" s="82">
        <f t="shared" si="50"/>
        <v>0.21781134167172575</v>
      </c>
      <c r="M91" s="81">
        <f t="shared" si="50"/>
        <v>0.21557104477981504</v>
      </c>
      <c r="N91" s="82">
        <f t="shared" si="50"/>
        <v>0.2244692739844425</v>
      </c>
      <c r="O91" s="45">
        <f>IF(O90=0,0,+O92/O90)</f>
        <v>0.20743473003333163</v>
      </c>
      <c r="Q91" s="33"/>
      <c r="R91" s="40"/>
      <c r="S91" s="40"/>
      <c r="T91" s="40"/>
      <c r="U91" s="40"/>
      <c r="V91" s="41"/>
    </row>
    <row r="92" spans="1:23" ht="15.75">
      <c r="A92" s="83" t="s">
        <v>506</v>
      </c>
      <c r="B92" s="35" t="s">
        <v>15</v>
      </c>
      <c r="C92" s="48">
        <f t="shared" ref="C92:N92" si="51">C11+C16+C21+C26+C36+C41+C46+C51+C56+C61+C66+C76+C86+C71+C31+C81</f>
        <v>48141.56</v>
      </c>
      <c r="D92" s="49">
        <f t="shared" si="51"/>
        <v>49022.460000000006</v>
      </c>
      <c r="E92" s="48">
        <f t="shared" si="51"/>
        <v>53877.020000000004</v>
      </c>
      <c r="F92" s="49">
        <f t="shared" si="51"/>
        <v>52572.09</v>
      </c>
      <c r="G92" s="48">
        <f t="shared" si="51"/>
        <v>46291.799999999996</v>
      </c>
      <c r="H92" s="49">
        <f t="shared" si="51"/>
        <v>63089.060000000005</v>
      </c>
      <c r="I92" s="48">
        <f t="shared" si="51"/>
        <v>55157.07</v>
      </c>
      <c r="J92" s="49">
        <f t="shared" si="51"/>
        <v>53283.34</v>
      </c>
      <c r="K92" s="48">
        <f t="shared" si="51"/>
        <v>50472.07</v>
      </c>
      <c r="L92" s="49">
        <f t="shared" si="51"/>
        <v>57763.35</v>
      </c>
      <c r="M92" s="48">
        <f t="shared" si="51"/>
        <v>52236.959999999999</v>
      </c>
      <c r="N92" s="49">
        <f t="shared" si="51"/>
        <v>51942.189999999995</v>
      </c>
      <c r="O92" s="50">
        <f>SUM(C92:N92)</f>
        <v>633848.97</v>
      </c>
      <c r="Q92" s="33"/>
      <c r="R92" s="56"/>
      <c r="S92" s="56"/>
      <c r="T92" s="57"/>
      <c r="U92" s="57"/>
      <c r="V92" s="41"/>
    </row>
    <row r="93" spans="1:23" ht="13.5" thickBot="1">
      <c r="A93" s="51"/>
      <c r="B93" s="52" t="s">
        <v>59</v>
      </c>
      <c r="C93" s="53">
        <f t="shared" ref="C93:N93" si="52">C92/C7</f>
        <v>134.53375810418063</v>
      </c>
      <c r="D93" s="54">
        <f t="shared" si="52"/>
        <v>146.37502612642203</v>
      </c>
      <c r="E93" s="53">
        <f t="shared" si="52"/>
        <v>149.30586116114731</v>
      </c>
      <c r="F93" s="54">
        <f t="shared" si="52"/>
        <v>145.97276134943775</v>
      </c>
      <c r="G93" s="53">
        <f t="shared" si="52"/>
        <v>131.56312169612912</v>
      </c>
      <c r="H93" s="54">
        <f t="shared" si="52"/>
        <v>156.93015272871997</v>
      </c>
      <c r="I93" s="53">
        <f t="shared" si="52"/>
        <v>152.52770864443337</v>
      </c>
      <c r="J93" s="54">
        <f t="shared" si="52"/>
        <v>134.73762200981136</v>
      </c>
      <c r="K93" s="53">
        <f t="shared" si="52"/>
        <v>137.27546441102075</v>
      </c>
      <c r="L93" s="54">
        <f t="shared" si="52"/>
        <v>156.71437098130716</v>
      </c>
      <c r="M93" s="53">
        <f t="shared" si="52"/>
        <v>145.06640006665</v>
      </c>
      <c r="N93" s="54">
        <f t="shared" si="52"/>
        <v>160.35499506050874</v>
      </c>
      <c r="O93" s="55">
        <f>O92/O$7</f>
        <v>145.88075664329867</v>
      </c>
      <c r="P93" s="109"/>
      <c r="Q93" s="9"/>
      <c r="R93" s="76"/>
      <c r="S93" s="9"/>
      <c r="T93" s="9"/>
      <c r="U93" s="9"/>
      <c r="V93" s="70"/>
    </row>
    <row r="94" spans="1:23" ht="13.5" thickBot="1">
      <c r="A94" s="10" t="s">
        <v>1</v>
      </c>
      <c r="B94" s="73" t="s">
        <v>1</v>
      </c>
      <c r="C94" s="74" t="s">
        <v>1</v>
      </c>
      <c r="D94" s="75" t="s">
        <v>1</v>
      </c>
      <c r="E94" s="74" t="s">
        <v>1</v>
      </c>
      <c r="F94" s="75" t="s">
        <v>1</v>
      </c>
      <c r="G94" s="74" t="s">
        <v>1</v>
      </c>
      <c r="H94" s="75" t="s">
        <v>1</v>
      </c>
      <c r="I94" s="74" t="s">
        <v>1</v>
      </c>
      <c r="J94" s="75" t="s">
        <v>1</v>
      </c>
      <c r="K94" s="74" t="s">
        <v>1</v>
      </c>
      <c r="L94" s="75" t="s">
        <v>1</v>
      </c>
      <c r="M94" s="74" t="s">
        <v>1</v>
      </c>
      <c r="N94" s="75" t="s">
        <v>1</v>
      </c>
      <c r="O94" s="6" t="s">
        <v>1</v>
      </c>
      <c r="Q94" s="33"/>
      <c r="R94" s="39"/>
      <c r="S94" s="39"/>
      <c r="T94" s="39"/>
      <c r="U94" s="39"/>
      <c r="V94" s="41"/>
      <c r="W94" s="8"/>
    </row>
    <row r="95" spans="1:23" ht="15.75">
      <c r="A95" s="404" t="s">
        <v>334</v>
      </c>
      <c r="B95" s="29" t="s">
        <v>15</v>
      </c>
      <c r="C95" s="84">
        <v>3782.29</v>
      </c>
      <c r="D95" s="85">
        <v>3782.29</v>
      </c>
      <c r="E95" s="84">
        <v>3782.29</v>
      </c>
      <c r="F95" s="85"/>
      <c r="G95" s="84"/>
      <c r="H95" s="405"/>
      <c r="I95" s="84"/>
      <c r="J95" s="405"/>
      <c r="K95" s="84"/>
      <c r="L95" s="85"/>
      <c r="M95" s="84"/>
      <c r="N95" s="85"/>
      <c r="O95" s="86">
        <f>SUM(C95:N95)</f>
        <v>11346.869999999999</v>
      </c>
    </row>
    <row r="96" spans="1:23" ht="15.75">
      <c r="A96" s="161" t="s">
        <v>507</v>
      </c>
      <c r="B96" s="87"/>
      <c r="C96" s="406">
        <v>33.225806451612904</v>
      </c>
      <c r="D96" s="407">
        <v>8.25</v>
      </c>
      <c r="E96" s="406">
        <v>7.564516129032258</v>
      </c>
      <c r="F96" s="407">
        <v>7.9</v>
      </c>
      <c r="G96" s="406">
        <v>9.387096774193548</v>
      </c>
      <c r="H96" s="407">
        <v>59.56666666666667</v>
      </c>
      <c r="I96" s="406">
        <v>9.8483870967741947</v>
      </c>
      <c r="J96" s="407">
        <v>13.129032258064516</v>
      </c>
      <c r="K96" s="406">
        <v>29.833333333333332</v>
      </c>
      <c r="L96" s="407">
        <v>9.5806451612903221</v>
      </c>
      <c r="M96" s="406">
        <v>8.0666666666666664</v>
      </c>
      <c r="N96" s="407">
        <v>5.5903225806451617</v>
      </c>
      <c r="O96" s="408"/>
    </row>
    <row r="97" spans="1:23" ht="16.5" thickBot="1">
      <c r="A97" s="90"/>
      <c r="B97" s="91"/>
      <c r="C97" s="409"/>
      <c r="D97" s="93"/>
      <c r="E97" s="409"/>
      <c r="F97" s="93"/>
      <c r="G97" s="92"/>
      <c r="H97" s="94"/>
      <c r="I97" s="92"/>
      <c r="J97" s="94"/>
      <c r="K97" s="92"/>
      <c r="L97" s="94"/>
      <c r="M97" s="92"/>
      <c r="N97" s="93"/>
      <c r="O97" s="95"/>
    </row>
    <row r="98" spans="1:23" ht="48.75" customHeight="1" thickBot="1">
      <c r="A98" s="580" t="s">
        <v>80</v>
      </c>
      <c r="B98" s="588"/>
      <c r="C98" s="588"/>
      <c r="D98" s="588"/>
      <c r="E98" s="588"/>
      <c r="F98" s="588"/>
      <c r="G98" s="588"/>
      <c r="H98" s="588"/>
      <c r="I98" s="588"/>
      <c r="J98" s="588"/>
      <c r="K98" s="588"/>
      <c r="L98" s="588"/>
      <c r="M98" s="588"/>
      <c r="N98" s="588"/>
      <c r="O98" s="589"/>
    </row>
    <row r="99" spans="1:23">
      <c r="A99" s="10" t="s">
        <v>1</v>
      </c>
      <c r="B99" s="11" t="s">
        <v>0</v>
      </c>
      <c r="C99" s="96"/>
      <c r="D99" s="97"/>
      <c r="E99" s="96"/>
      <c r="F99" s="97"/>
      <c r="G99" s="96"/>
      <c r="H99" s="97"/>
      <c r="I99" s="96"/>
      <c r="O99" s="2"/>
      <c r="V99" s="15"/>
    </row>
    <row r="100" spans="1:23" ht="15.75">
      <c r="A100" s="98" t="str">
        <f>A4</f>
        <v>2011 BUDGET</v>
      </c>
      <c r="B100" s="3"/>
      <c r="O100" s="2"/>
    </row>
    <row r="101" spans="1:23">
      <c r="A101" s="99" t="str">
        <f>A5</f>
        <v>Bid Dollars</v>
      </c>
      <c r="B101" s="3"/>
      <c r="O101" s="2"/>
      <c r="P101" s="9"/>
      <c r="Q101" s="9"/>
      <c r="R101" s="9"/>
      <c r="S101" s="9"/>
      <c r="T101" s="9"/>
      <c r="U101" s="9"/>
      <c r="V101" s="9"/>
    </row>
    <row r="102" spans="1:23">
      <c r="A102" s="4"/>
      <c r="B102" s="3"/>
      <c r="C102" s="22" t="str">
        <f t="shared" ref="C102:N102" si="53">C6</f>
        <v>JAN</v>
      </c>
      <c r="D102" s="23" t="str">
        <f t="shared" si="53"/>
        <v>FEB</v>
      </c>
      <c r="E102" s="22" t="str">
        <f t="shared" si="53"/>
        <v>MAR</v>
      </c>
      <c r="F102" s="23" t="str">
        <f t="shared" si="53"/>
        <v>APR</v>
      </c>
      <c r="G102" s="22" t="str">
        <f t="shared" si="53"/>
        <v>MAY</v>
      </c>
      <c r="H102" s="23" t="str">
        <f t="shared" si="53"/>
        <v>JUNE</v>
      </c>
      <c r="I102" s="22" t="str">
        <f t="shared" si="53"/>
        <v>JULY</v>
      </c>
      <c r="J102" s="23" t="str">
        <f t="shared" si="53"/>
        <v>AUG</v>
      </c>
      <c r="K102" s="22" t="str">
        <f t="shared" si="53"/>
        <v>SEPT</v>
      </c>
      <c r="L102" s="23" t="str">
        <f t="shared" si="53"/>
        <v>OCT</v>
      </c>
      <c r="M102" s="22" t="str">
        <f t="shared" si="53"/>
        <v>NOV</v>
      </c>
      <c r="N102" s="23" t="str">
        <f t="shared" si="53"/>
        <v>DEC</v>
      </c>
      <c r="O102" s="24" t="s">
        <v>13</v>
      </c>
      <c r="R102" s="15"/>
      <c r="S102" s="15"/>
      <c r="T102" s="15"/>
      <c r="U102" s="15"/>
      <c r="V102" s="15"/>
    </row>
    <row r="103" spans="1:23" ht="16.5" thickBot="1">
      <c r="A103" s="19" t="s">
        <v>53</v>
      </c>
      <c r="B103" s="3"/>
      <c r="C103" s="100">
        <v>581.11099999999999</v>
      </c>
      <c r="D103" s="101">
        <v>481.851</v>
      </c>
      <c r="E103" s="100">
        <v>517.20899999999995</v>
      </c>
      <c r="F103" s="101">
        <v>508.25900000000001</v>
      </c>
      <c r="G103" s="100">
        <v>619.75699999999995</v>
      </c>
      <c r="H103" s="101">
        <v>733.00300000000004</v>
      </c>
      <c r="I103" s="100">
        <v>756.57100000000003</v>
      </c>
      <c r="J103" s="101">
        <v>733.05200000000002</v>
      </c>
      <c r="K103" s="100">
        <v>615.72</v>
      </c>
      <c r="L103" s="101">
        <v>600.36300000000006</v>
      </c>
      <c r="M103" s="100">
        <v>490.24099999999999</v>
      </c>
      <c r="N103" s="101">
        <v>519.21799999999996</v>
      </c>
      <c r="O103" s="102">
        <f>SUM(C103:N103)</f>
        <v>7156.3550000000005</v>
      </c>
      <c r="R103" s="72"/>
      <c r="S103" s="15"/>
      <c r="T103" s="72"/>
      <c r="U103" s="15"/>
      <c r="V103" s="15"/>
    </row>
    <row r="104" spans="1:23">
      <c r="A104" s="28" t="s">
        <v>54</v>
      </c>
      <c r="B104" s="29" t="s">
        <v>55</v>
      </c>
      <c r="C104" s="30">
        <f>C105/C$103</f>
        <v>9.452583069327547</v>
      </c>
      <c r="D104" s="31">
        <f t="shared" ref="D104:O104" si="54">D105/D$103</f>
        <v>10.131762723331486</v>
      </c>
      <c r="E104" s="30">
        <f t="shared" si="54"/>
        <v>9.7774787368355938</v>
      </c>
      <c r="F104" s="31">
        <f t="shared" si="54"/>
        <v>2.1426083945390046</v>
      </c>
      <c r="G104" s="30">
        <f t="shared" si="54"/>
        <v>6.7123082111214565</v>
      </c>
      <c r="H104" s="31">
        <f t="shared" si="54"/>
        <v>9.3996886779453828</v>
      </c>
      <c r="I104" s="30">
        <f t="shared" si="54"/>
        <v>9.4174902289408386</v>
      </c>
      <c r="J104" s="31">
        <f t="shared" si="54"/>
        <v>9.1903439319448008</v>
      </c>
      <c r="K104" s="30">
        <f t="shared" si="54"/>
        <v>9.195738322614174</v>
      </c>
      <c r="L104" s="31">
        <f t="shared" si="54"/>
        <v>8.7563690633833193</v>
      </c>
      <c r="M104" s="30">
        <f t="shared" si="54"/>
        <v>8.6875638716468018</v>
      </c>
      <c r="N104" s="31">
        <f t="shared" si="54"/>
        <v>8.8671810299334783</v>
      </c>
      <c r="O104" s="32">
        <f t="shared" si="54"/>
        <v>8.5539356278440621</v>
      </c>
      <c r="Q104" s="33"/>
    </row>
    <row r="105" spans="1:23">
      <c r="A105" s="34" t="s">
        <v>56</v>
      </c>
      <c r="B105" s="35" t="s">
        <v>57</v>
      </c>
      <c r="C105" s="36">
        <v>5493</v>
      </c>
      <c r="D105" s="37">
        <v>4882</v>
      </c>
      <c r="E105" s="36">
        <v>5057</v>
      </c>
      <c r="F105" s="37">
        <v>1089</v>
      </c>
      <c r="G105" s="36">
        <v>4160</v>
      </c>
      <c r="H105" s="37">
        <v>6890</v>
      </c>
      <c r="I105" s="36">
        <f>-'[9]July 2011 KRS '!$J$7</f>
        <v>7125</v>
      </c>
      <c r="J105" s="37">
        <v>6737</v>
      </c>
      <c r="K105" s="36">
        <v>5662</v>
      </c>
      <c r="L105" s="37">
        <v>5257</v>
      </c>
      <c r="M105" s="36">
        <v>4259</v>
      </c>
      <c r="N105" s="37">
        <v>4604</v>
      </c>
      <c r="O105" s="38">
        <f>SUM(C105:N105)</f>
        <v>61215</v>
      </c>
      <c r="Q105" s="33"/>
      <c r="R105" s="57"/>
      <c r="S105" s="57"/>
      <c r="T105" s="57"/>
      <c r="U105" s="57"/>
      <c r="V105" s="41"/>
    </row>
    <row r="106" spans="1:23" ht="15.75">
      <c r="A106" s="42"/>
      <c r="B106" s="35" t="s">
        <v>58</v>
      </c>
      <c r="C106" s="43">
        <f>C107/C105</f>
        <v>0.50359912616056801</v>
      </c>
      <c r="D106" s="44">
        <f t="shared" ref="D106:N106" si="55">D107/D105</f>
        <v>0.50360098320360502</v>
      </c>
      <c r="E106" s="43">
        <f t="shared" si="55"/>
        <v>0.50360094917935538</v>
      </c>
      <c r="F106" s="44">
        <f t="shared" si="55"/>
        <v>0.50359963269054175</v>
      </c>
      <c r="G106" s="43">
        <f t="shared" si="55"/>
        <v>0.50360096153846157</v>
      </c>
      <c r="H106" s="44">
        <f t="shared" si="55"/>
        <v>0.50359941944847608</v>
      </c>
      <c r="I106" s="43">
        <f t="shared" si="55"/>
        <v>0.50820070175438592</v>
      </c>
      <c r="J106" s="44">
        <f t="shared" si="55"/>
        <v>0.50819949532432829</v>
      </c>
      <c r="K106" s="43">
        <f t="shared" si="55"/>
        <v>0.50820028258565875</v>
      </c>
      <c r="L106" s="44">
        <f t="shared" si="55"/>
        <v>0.50820049457865701</v>
      </c>
      <c r="M106" s="43">
        <f t="shared" si="55"/>
        <v>0.50819910777177746</v>
      </c>
      <c r="N106" s="44">
        <f t="shared" si="55"/>
        <v>0.50950043440486525</v>
      </c>
      <c r="O106" s="45">
        <f>IF(O105=0,0,+O107/O105)</f>
        <v>0.50622608837703176</v>
      </c>
      <c r="Q106" s="33"/>
      <c r="R106" s="46"/>
      <c r="S106" s="80"/>
      <c r="T106" s="68"/>
      <c r="U106" s="47"/>
      <c r="V106" s="41"/>
    </row>
    <row r="107" spans="1:23">
      <c r="A107" s="42"/>
      <c r="B107" s="35" t="s">
        <v>15</v>
      </c>
      <c r="C107" s="48">
        <v>2766.27</v>
      </c>
      <c r="D107" s="49">
        <v>2458.58</v>
      </c>
      <c r="E107" s="48">
        <v>2546.71</v>
      </c>
      <c r="F107" s="49">
        <v>548.41999999999996</v>
      </c>
      <c r="G107" s="48">
        <v>2094.98</v>
      </c>
      <c r="H107" s="49">
        <v>3469.8</v>
      </c>
      <c r="I107" s="36">
        <f>'[9]July 2011 KRS '!$L$7</f>
        <v>3620.93</v>
      </c>
      <c r="J107" s="49">
        <v>3423.74</v>
      </c>
      <c r="K107" s="48">
        <v>2877.43</v>
      </c>
      <c r="L107" s="49">
        <v>2671.61</v>
      </c>
      <c r="M107" s="48">
        <v>2164.42</v>
      </c>
      <c r="N107" s="49">
        <v>2345.7399999999998</v>
      </c>
      <c r="O107" s="50">
        <f>SUM(C107:N107)</f>
        <v>30988.629999999997</v>
      </c>
      <c r="Q107" s="33"/>
      <c r="R107" s="40"/>
      <c r="S107" s="40"/>
      <c r="T107" s="40"/>
      <c r="U107" s="40"/>
      <c r="V107" s="41"/>
    </row>
    <row r="108" spans="1:23" ht="16.5" thickBot="1">
      <c r="A108" s="51"/>
      <c r="B108" s="52" t="s">
        <v>59</v>
      </c>
      <c r="C108" s="53">
        <f t="shared" ref="C108:O108" si="56">C107/C$103</f>
        <v>4.7603125736735326</v>
      </c>
      <c r="D108" s="54">
        <f t="shared" si="56"/>
        <v>5.1023656690553718</v>
      </c>
      <c r="E108" s="53">
        <f t="shared" si="56"/>
        <v>4.923947572451369</v>
      </c>
      <c r="F108" s="54">
        <f t="shared" si="56"/>
        <v>1.079016800489514</v>
      </c>
      <c r="G108" s="53">
        <f t="shared" si="56"/>
        <v>3.3803248692632759</v>
      </c>
      <c r="H108" s="54">
        <f t="shared" si="56"/>
        <v>4.7336777612097087</v>
      </c>
      <c r="I108" s="53">
        <f t="shared" si="56"/>
        <v>4.7859751431128075</v>
      </c>
      <c r="J108" s="54">
        <f t="shared" si="56"/>
        <v>4.6705281480713507</v>
      </c>
      <c r="K108" s="53">
        <f t="shared" si="56"/>
        <v>4.6732768141362948</v>
      </c>
      <c r="L108" s="54">
        <f t="shared" si="56"/>
        <v>4.449991088724655</v>
      </c>
      <c r="M108" s="53">
        <f t="shared" si="56"/>
        <v>4.4150122082812331</v>
      </c>
      <c r="N108" s="54">
        <f t="shared" si="56"/>
        <v>4.5178325866976872</v>
      </c>
      <c r="O108" s="55">
        <f t="shared" si="56"/>
        <v>4.3302253731124285</v>
      </c>
      <c r="Q108" s="33"/>
      <c r="R108" s="56"/>
      <c r="S108" s="80"/>
      <c r="T108" s="57"/>
      <c r="U108" s="57"/>
      <c r="V108" s="41"/>
    </row>
    <row r="109" spans="1:23">
      <c r="A109" s="28" t="s">
        <v>60</v>
      </c>
      <c r="B109" s="29" t="s">
        <v>55</v>
      </c>
      <c r="C109" s="30">
        <f>C110/C$103</f>
        <v>0</v>
      </c>
      <c r="D109" s="31">
        <v>0</v>
      </c>
      <c r="E109" s="30">
        <f>'[10]Lex WTPs 2007-2009'!Q50</f>
        <v>0</v>
      </c>
      <c r="F109" s="31">
        <f>'[10]Lex WTPs 2007-2009'!V50</f>
        <v>0</v>
      </c>
      <c r="G109" s="30">
        <f>'[10]Lex WTPs 2007-2009'!AA50</f>
        <v>0</v>
      </c>
      <c r="H109" s="31">
        <f>'[10]Lex WTPs 2007-2009'!AF50</f>
        <v>0.97805922333277862</v>
      </c>
      <c r="I109" s="30">
        <f>'[10]Lex WTPs 2007-2009'!AK50</f>
        <v>0</v>
      </c>
      <c r="J109" s="31">
        <f>'[10]Lex WTPs 2007-2009'!AP50</f>
        <v>0</v>
      </c>
      <c r="K109" s="30">
        <v>0</v>
      </c>
      <c r="L109" s="31">
        <v>0</v>
      </c>
      <c r="M109" s="30">
        <f>'[10]Lex WTPs 2007-2009'!BE50</f>
        <v>0</v>
      </c>
      <c r="N109" s="31">
        <f>'[10]Lex WTPs 2007-2009'!BJ50</f>
        <v>0</v>
      </c>
      <c r="O109" s="32">
        <f>O110/O$103</f>
        <v>0</v>
      </c>
      <c r="Q109" s="33"/>
      <c r="R109" s="58"/>
      <c r="S109" s="58"/>
      <c r="T109" s="58"/>
      <c r="U109" s="58"/>
      <c r="V109" s="41"/>
      <c r="W109" s="8"/>
    </row>
    <row r="110" spans="1:23">
      <c r="A110" s="34" t="s">
        <v>56</v>
      </c>
      <c r="B110" s="35" t="s">
        <v>57</v>
      </c>
      <c r="C110" s="65">
        <v>0</v>
      </c>
      <c r="D110" s="66">
        <v>0</v>
      </c>
      <c r="E110" s="65">
        <v>0</v>
      </c>
      <c r="F110" s="66">
        <v>0</v>
      </c>
      <c r="G110" s="65">
        <v>0</v>
      </c>
      <c r="H110" s="66">
        <v>0</v>
      </c>
      <c r="I110" s="65">
        <v>0</v>
      </c>
      <c r="J110" s="66">
        <v>0</v>
      </c>
      <c r="K110" s="65">
        <v>0</v>
      </c>
      <c r="L110" s="66">
        <v>0</v>
      </c>
      <c r="M110" s="65">
        <v>0</v>
      </c>
      <c r="N110" s="66">
        <v>0</v>
      </c>
      <c r="O110" s="67">
        <f>SUM(C110:N110)</f>
        <v>0</v>
      </c>
      <c r="Q110" s="33"/>
      <c r="R110" s="57"/>
      <c r="S110" s="57"/>
      <c r="T110" s="57"/>
      <c r="U110" s="57"/>
      <c r="V110" s="41"/>
      <c r="W110" s="8"/>
    </row>
    <row r="111" spans="1:23" ht="15.75">
      <c r="A111" s="42"/>
      <c r="B111" s="35" t="s">
        <v>58</v>
      </c>
      <c r="C111" s="43">
        <f>'[10]Price Changes'!$F$22</f>
        <v>0.87549999999999994</v>
      </c>
      <c r="D111" s="44">
        <f>'[10]Price Changes'!$F$22</f>
        <v>0.87549999999999994</v>
      </c>
      <c r="E111" s="43">
        <f>'[10]Price Changes'!$F$22</f>
        <v>0.87549999999999994</v>
      </c>
      <c r="F111" s="44">
        <f>'[10]Price Changes'!$F$22</f>
        <v>0.87549999999999994</v>
      </c>
      <c r="G111" s="43">
        <f>'[10]Price Changes'!$F$22</f>
        <v>0.87549999999999994</v>
      </c>
      <c r="H111" s="44">
        <f>'[10]Price Changes'!$F$22</f>
        <v>0.87549999999999994</v>
      </c>
      <c r="I111" s="43">
        <f>'[10]Price Changes'!$F$22</f>
        <v>0.87549999999999994</v>
      </c>
      <c r="J111" s="44">
        <f>'[10]Price Changes'!$F$22</f>
        <v>0.87549999999999994</v>
      </c>
      <c r="K111" s="43">
        <f>'[10]Price Changes'!$F$22</f>
        <v>0.87549999999999994</v>
      </c>
      <c r="L111" s="44">
        <f>'[10]Price Changes'!$F$22</f>
        <v>0.87549999999999994</v>
      </c>
      <c r="M111" s="43">
        <f>'[10]Price Changes'!$F$22</f>
        <v>0.87549999999999994</v>
      </c>
      <c r="N111" s="44">
        <f>'[10]Price Changes'!$F$22</f>
        <v>0.87549999999999994</v>
      </c>
      <c r="O111" s="45">
        <f>IF(O110=0,0,+O112/O110)</f>
        <v>0</v>
      </c>
      <c r="Q111" s="33"/>
      <c r="R111" s="46"/>
      <c r="S111" s="46"/>
      <c r="T111" s="47"/>
      <c r="U111" s="47"/>
      <c r="V111" s="41"/>
      <c r="W111" s="8"/>
    </row>
    <row r="112" spans="1:23">
      <c r="A112" s="42"/>
      <c r="B112" s="35" t="s">
        <v>15</v>
      </c>
      <c r="C112" s="48">
        <f t="shared" ref="C112:N112" si="57">C110*C111</f>
        <v>0</v>
      </c>
      <c r="D112" s="49">
        <f t="shared" si="57"/>
        <v>0</v>
      </c>
      <c r="E112" s="48">
        <f t="shared" si="57"/>
        <v>0</v>
      </c>
      <c r="F112" s="49">
        <f t="shared" si="57"/>
        <v>0</v>
      </c>
      <c r="G112" s="48">
        <f t="shared" si="57"/>
        <v>0</v>
      </c>
      <c r="H112" s="49">
        <f t="shared" si="57"/>
        <v>0</v>
      </c>
      <c r="I112" s="48">
        <f t="shared" si="57"/>
        <v>0</v>
      </c>
      <c r="J112" s="49">
        <f t="shared" si="57"/>
        <v>0</v>
      </c>
      <c r="K112" s="48">
        <f t="shared" si="57"/>
        <v>0</v>
      </c>
      <c r="L112" s="49">
        <f t="shared" si="57"/>
        <v>0</v>
      </c>
      <c r="M112" s="48">
        <f t="shared" si="57"/>
        <v>0</v>
      </c>
      <c r="N112" s="49">
        <f t="shared" si="57"/>
        <v>0</v>
      </c>
      <c r="O112" s="50">
        <f>SUM(C112:N112)</f>
        <v>0</v>
      </c>
      <c r="Q112" s="33"/>
      <c r="R112" s="40"/>
      <c r="S112" s="40"/>
      <c r="T112" s="40"/>
      <c r="U112" s="40"/>
      <c r="V112" s="41"/>
      <c r="W112" s="8"/>
    </row>
    <row r="113" spans="1:23" ht="16.5" thickBot="1">
      <c r="A113" s="51"/>
      <c r="B113" s="52" t="s">
        <v>59</v>
      </c>
      <c r="C113" s="53">
        <f t="shared" ref="C113:O113" si="58">C112/C$103</f>
        <v>0</v>
      </c>
      <c r="D113" s="54">
        <f t="shared" si="58"/>
        <v>0</v>
      </c>
      <c r="E113" s="53">
        <f t="shared" si="58"/>
        <v>0</v>
      </c>
      <c r="F113" s="54">
        <f t="shared" si="58"/>
        <v>0</v>
      </c>
      <c r="G113" s="53">
        <f t="shared" si="58"/>
        <v>0</v>
      </c>
      <c r="H113" s="54">
        <f t="shared" si="58"/>
        <v>0</v>
      </c>
      <c r="I113" s="53">
        <f t="shared" si="58"/>
        <v>0</v>
      </c>
      <c r="J113" s="54">
        <f t="shared" si="58"/>
        <v>0</v>
      </c>
      <c r="K113" s="53">
        <f t="shared" si="58"/>
        <v>0</v>
      </c>
      <c r="L113" s="54">
        <f t="shared" si="58"/>
        <v>0</v>
      </c>
      <c r="M113" s="53">
        <f t="shared" si="58"/>
        <v>0</v>
      </c>
      <c r="N113" s="54">
        <f t="shared" si="58"/>
        <v>0</v>
      </c>
      <c r="O113" s="55">
        <f t="shared" si="58"/>
        <v>0</v>
      </c>
      <c r="Q113" s="33"/>
      <c r="R113" s="56"/>
      <c r="S113" s="56"/>
      <c r="T113" s="57"/>
      <c r="U113" s="57"/>
      <c r="V113" s="41"/>
      <c r="W113" s="8"/>
    </row>
    <row r="114" spans="1:23">
      <c r="A114" s="28" t="s">
        <v>61</v>
      </c>
      <c r="B114" s="29" t="s">
        <v>55</v>
      </c>
      <c r="C114" s="30">
        <f>C115/C$103</f>
        <v>46.512628396296058</v>
      </c>
      <c r="D114" s="31">
        <f t="shared" ref="D114:O114" si="59">D115/D$103</f>
        <v>47.863343647725124</v>
      </c>
      <c r="E114" s="30">
        <f t="shared" si="59"/>
        <v>50.61783534315915</v>
      </c>
      <c r="F114" s="31">
        <f t="shared" si="59"/>
        <v>51.881029160329675</v>
      </c>
      <c r="G114" s="30">
        <f t="shared" si="59"/>
        <v>51.023223618289109</v>
      </c>
      <c r="H114" s="31">
        <f t="shared" si="59"/>
        <v>54.714646461201383</v>
      </c>
      <c r="I114" s="30">
        <f t="shared" si="59"/>
        <v>60.101431326339494</v>
      </c>
      <c r="J114" s="31">
        <f t="shared" si="59"/>
        <v>63.678975024964117</v>
      </c>
      <c r="K114" s="30">
        <f t="shared" si="59"/>
        <v>68.097511856038452</v>
      </c>
      <c r="L114" s="31">
        <f t="shared" si="59"/>
        <v>59.860451093754939</v>
      </c>
      <c r="M114" s="30">
        <f t="shared" si="59"/>
        <v>54.442610879139039</v>
      </c>
      <c r="N114" s="31">
        <f t="shared" si="59"/>
        <v>48.804163183864972</v>
      </c>
      <c r="O114" s="32">
        <f t="shared" si="59"/>
        <v>55.393702520347297</v>
      </c>
      <c r="Q114" s="33"/>
    </row>
    <row r="115" spans="1:23">
      <c r="A115" s="34" t="s">
        <v>56</v>
      </c>
      <c r="B115" s="35" t="s">
        <v>57</v>
      </c>
      <c r="C115" s="36">
        <v>27029</v>
      </c>
      <c r="D115" s="37">
        <v>23063</v>
      </c>
      <c r="E115" s="36">
        <v>26180</v>
      </c>
      <c r="F115" s="37">
        <v>26369</v>
      </c>
      <c r="G115" s="36">
        <v>31622</v>
      </c>
      <c r="H115" s="37">
        <v>40106</v>
      </c>
      <c r="I115" s="36">
        <f>-'[9]July 2011 KRS '!$J$8</f>
        <v>45471</v>
      </c>
      <c r="J115" s="37">
        <v>46680</v>
      </c>
      <c r="K115" s="36">
        <v>41929</v>
      </c>
      <c r="L115" s="37">
        <v>35938</v>
      </c>
      <c r="M115" s="36">
        <v>26690</v>
      </c>
      <c r="N115" s="37">
        <v>25340</v>
      </c>
      <c r="O115" s="38">
        <f>SUM(C115:N115)</f>
        <v>396417</v>
      </c>
      <c r="Q115" s="33"/>
      <c r="R115" s="57"/>
      <c r="S115" s="57"/>
      <c r="T115" s="47"/>
      <c r="U115" s="57"/>
      <c r="V115" s="41"/>
      <c r="W115" s="8"/>
    </row>
    <row r="116" spans="1:23" ht="15.75">
      <c r="A116" s="42"/>
      <c r="B116" s="35" t="s">
        <v>58</v>
      </c>
      <c r="C116" s="43">
        <f>C117/C115</f>
        <v>0.20090014428946687</v>
      </c>
      <c r="D116" s="44">
        <f t="shared" ref="D116:N116" si="60">D117/D115</f>
        <v>0.20060009539088583</v>
      </c>
      <c r="E116" s="43">
        <f t="shared" si="60"/>
        <v>0.20050000000000001</v>
      </c>
      <c r="F116" s="44">
        <f t="shared" si="60"/>
        <v>0.20040009101596573</v>
      </c>
      <c r="G116" s="43">
        <f t="shared" si="60"/>
        <v>0.20040003794826386</v>
      </c>
      <c r="H116" s="44">
        <f t="shared" si="60"/>
        <v>0.20039994015857976</v>
      </c>
      <c r="I116" s="43">
        <f t="shared" si="60"/>
        <v>0.20029997141034947</v>
      </c>
      <c r="J116" s="44">
        <f t="shared" si="60"/>
        <v>0.20029991431019709</v>
      </c>
      <c r="K116" s="43">
        <f t="shared" si="60"/>
        <v>0.20030003100479379</v>
      </c>
      <c r="L116" s="44">
        <f t="shared" si="60"/>
        <v>0.20029996104402026</v>
      </c>
      <c r="M116" s="43">
        <f t="shared" si="60"/>
        <v>0.20030011240164858</v>
      </c>
      <c r="N116" s="44">
        <f t="shared" si="60"/>
        <v>0.20029992107340175</v>
      </c>
      <c r="O116" s="45">
        <f>IF(O115=0,0,+O117/O115)</f>
        <v>0.20039632508192129</v>
      </c>
      <c r="Q116" s="33"/>
      <c r="R116" s="46"/>
      <c r="S116" s="46"/>
      <c r="T116" s="47"/>
      <c r="U116" s="47"/>
      <c r="V116" s="41"/>
      <c r="W116" s="8"/>
    </row>
    <row r="117" spans="1:23">
      <c r="A117" s="42"/>
      <c r="B117" s="35" t="s">
        <v>15</v>
      </c>
      <c r="C117" s="48">
        <v>5430.13</v>
      </c>
      <c r="D117" s="49">
        <v>4626.4399999999996</v>
      </c>
      <c r="E117" s="48">
        <v>5249.09</v>
      </c>
      <c r="F117" s="49">
        <v>5284.35</v>
      </c>
      <c r="G117" s="48">
        <v>6337.05</v>
      </c>
      <c r="H117" s="49">
        <v>8037.24</v>
      </c>
      <c r="I117" s="36">
        <f>'[9]July 2011 KRS '!$L$8</f>
        <v>9107.84</v>
      </c>
      <c r="J117" s="49">
        <v>9350</v>
      </c>
      <c r="K117" s="48">
        <v>8398.3799999999992</v>
      </c>
      <c r="L117" s="49">
        <v>7198.38</v>
      </c>
      <c r="M117" s="48">
        <v>5346.01</v>
      </c>
      <c r="N117" s="49">
        <v>5075.6000000000004</v>
      </c>
      <c r="O117" s="50">
        <f>SUM(C117:N117)</f>
        <v>79440.509999999995</v>
      </c>
      <c r="Q117" s="33"/>
      <c r="R117" s="40"/>
      <c r="S117" s="40"/>
      <c r="T117" s="40"/>
      <c r="U117" s="40"/>
      <c r="V117" s="41"/>
    </row>
    <row r="118" spans="1:23" ht="16.5" thickBot="1">
      <c r="A118" s="51"/>
      <c r="B118" s="52" t="s">
        <v>59</v>
      </c>
      <c r="C118" s="53">
        <f t="shared" ref="C118:O118" si="61">C117/C$103</f>
        <v>9.3443937560982331</v>
      </c>
      <c r="D118" s="54">
        <f t="shared" si="61"/>
        <v>9.60139130146041</v>
      </c>
      <c r="E118" s="53">
        <f t="shared" si="61"/>
        <v>10.148875986303411</v>
      </c>
      <c r="F118" s="54">
        <f t="shared" si="61"/>
        <v>10.396962965732039</v>
      </c>
      <c r="G118" s="53">
        <f t="shared" si="61"/>
        <v>10.22505594934789</v>
      </c>
      <c r="H118" s="54">
        <f t="shared" si="61"/>
        <v>10.964811876622605</v>
      </c>
      <c r="I118" s="53">
        <f t="shared" si="61"/>
        <v>12.038314976386882</v>
      </c>
      <c r="J118" s="54">
        <f t="shared" si="61"/>
        <v>12.754893240861493</v>
      </c>
      <c r="K118" s="53">
        <f t="shared" si="61"/>
        <v>13.639933736113816</v>
      </c>
      <c r="L118" s="54">
        <f t="shared" si="61"/>
        <v>11.990046022156594</v>
      </c>
      <c r="M118" s="53">
        <f t="shared" si="61"/>
        <v>10.904861078530764</v>
      </c>
      <c r="N118" s="54">
        <f t="shared" si="61"/>
        <v>9.7754700337815734</v>
      </c>
      <c r="O118" s="55">
        <f t="shared" si="61"/>
        <v>11.10069441775876</v>
      </c>
      <c r="Q118" s="33"/>
      <c r="R118" s="46"/>
      <c r="S118" s="56"/>
      <c r="T118" s="57"/>
      <c r="U118" s="57"/>
      <c r="V118" s="41"/>
    </row>
    <row r="119" spans="1:23">
      <c r="A119" s="28" t="s">
        <v>62</v>
      </c>
      <c r="B119" s="29" t="s">
        <v>55</v>
      </c>
      <c r="C119" s="30">
        <v>0</v>
      </c>
      <c r="D119" s="31">
        <v>0</v>
      </c>
      <c r="E119" s="30">
        <v>0</v>
      </c>
      <c r="F119" s="31">
        <v>0</v>
      </c>
      <c r="G119" s="30">
        <v>0</v>
      </c>
      <c r="H119" s="31">
        <v>0</v>
      </c>
      <c r="I119" s="30">
        <v>0</v>
      </c>
      <c r="J119" s="31">
        <v>0</v>
      </c>
      <c r="K119" s="30">
        <v>0</v>
      </c>
      <c r="L119" s="31">
        <v>0</v>
      </c>
      <c r="M119" s="30">
        <v>0</v>
      </c>
      <c r="N119" s="31">
        <v>0</v>
      </c>
      <c r="O119" s="32">
        <f>O120/O$103</f>
        <v>0</v>
      </c>
      <c r="Q119" s="33"/>
    </row>
    <row r="120" spans="1:23">
      <c r="A120" s="34" t="s">
        <v>56</v>
      </c>
      <c r="B120" s="35" t="s">
        <v>57</v>
      </c>
      <c r="C120" s="65">
        <f t="shared" ref="C120:N120" si="62">C$103*C119</f>
        <v>0</v>
      </c>
      <c r="D120" s="66">
        <f t="shared" si="62"/>
        <v>0</v>
      </c>
      <c r="E120" s="65">
        <f t="shared" si="62"/>
        <v>0</v>
      </c>
      <c r="F120" s="66">
        <f t="shared" si="62"/>
        <v>0</v>
      </c>
      <c r="G120" s="65">
        <f t="shared" si="62"/>
        <v>0</v>
      </c>
      <c r="H120" s="66">
        <f t="shared" si="62"/>
        <v>0</v>
      </c>
      <c r="I120" s="65">
        <f t="shared" si="62"/>
        <v>0</v>
      </c>
      <c r="J120" s="66">
        <f t="shared" si="62"/>
        <v>0</v>
      </c>
      <c r="K120" s="65">
        <f t="shared" si="62"/>
        <v>0</v>
      </c>
      <c r="L120" s="66">
        <f t="shared" si="62"/>
        <v>0</v>
      </c>
      <c r="M120" s="65">
        <f t="shared" si="62"/>
        <v>0</v>
      </c>
      <c r="N120" s="66">
        <f t="shared" si="62"/>
        <v>0</v>
      </c>
      <c r="O120" s="67">
        <f>SUM(C120:N120)</f>
        <v>0</v>
      </c>
      <c r="Q120" s="33"/>
      <c r="R120" s="57"/>
      <c r="S120" s="60"/>
      <c r="T120" s="57"/>
      <c r="U120" s="57"/>
      <c r="V120" s="41"/>
      <c r="W120" s="8"/>
    </row>
    <row r="121" spans="1:23" ht="15.75">
      <c r="A121" s="42"/>
      <c r="B121" s="35" t="s">
        <v>58</v>
      </c>
      <c r="C121" s="43">
        <f>C25</f>
        <v>1.4008</v>
      </c>
      <c r="D121" s="44">
        <f t="shared" ref="D121:N121" si="63">C121</f>
        <v>1.4008</v>
      </c>
      <c r="E121" s="43">
        <f t="shared" si="63"/>
        <v>1.4008</v>
      </c>
      <c r="F121" s="44">
        <f t="shared" si="63"/>
        <v>1.4008</v>
      </c>
      <c r="G121" s="43">
        <f t="shared" si="63"/>
        <v>1.4008</v>
      </c>
      <c r="H121" s="44">
        <f t="shared" si="63"/>
        <v>1.4008</v>
      </c>
      <c r="I121" s="43">
        <f t="shared" si="63"/>
        <v>1.4008</v>
      </c>
      <c r="J121" s="44">
        <f t="shared" si="63"/>
        <v>1.4008</v>
      </c>
      <c r="K121" s="43">
        <f t="shared" si="63"/>
        <v>1.4008</v>
      </c>
      <c r="L121" s="44">
        <f t="shared" si="63"/>
        <v>1.4008</v>
      </c>
      <c r="M121" s="43">
        <f t="shared" si="63"/>
        <v>1.4008</v>
      </c>
      <c r="N121" s="44">
        <f t="shared" si="63"/>
        <v>1.4008</v>
      </c>
      <c r="O121" s="45">
        <f>IF(O120=0,0,+O122/O120)</f>
        <v>0</v>
      </c>
      <c r="Q121" s="33"/>
      <c r="R121" s="46"/>
      <c r="S121" s="46"/>
      <c r="T121" s="47"/>
      <c r="U121" s="47"/>
      <c r="V121" s="41"/>
      <c r="W121" s="8"/>
    </row>
    <row r="122" spans="1:23">
      <c r="A122" s="42"/>
      <c r="B122" s="35" t="s">
        <v>15</v>
      </c>
      <c r="C122" s="48">
        <f t="shared" ref="C122:N122" si="64">C120*C121</f>
        <v>0</v>
      </c>
      <c r="D122" s="49">
        <f t="shared" si="64"/>
        <v>0</v>
      </c>
      <c r="E122" s="48">
        <f t="shared" si="64"/>
        <v>0</v>
      </c>
      <c r="F122" s="49">
        <f t="shared" si="64"/>
        <v>0</v>
      </c>
      <c r="G122" s="48">
        <f t="shared" si="64"/>
        <v>0</v>
      </c>
      <c r="H122" s="49">
        <f t="shared" si="64"/>
        <v>0</v>
      </c>
      <c r="I122" s="48">
        <f t="shared" si="64"/>
        <v>0</v>
      </c>
      <c r="J122" s="49">
        <f t="shared" si="64"/>
        <v>0</v>
      </c>
      <c r="K122" s="48">
        <f t="shared" si="64"/>
        <v>0</v>
      </c>
      <c r="L122" s="49">
        <f t="shared" si="64"/>
        <v>0</v>
      </c>
      <c r="M122" s="48">
        <f t="shared" si="64"/>
        <v>0</v>
      </c>
      <c r="N122" s="49">
        <f t="shared" si="64"/>
        <v>0</v>
      </c>
      <c r="O122" s="50">
        <f>SUM(C122:N122)</f>
        <v>0</v>
      </c>
      <c r="Q122" s="33"/>
      <c r="R122" s="40"/>
      <c r="S122" s="40"/>
      <c r="T122" s="40"/>
      <c r="U122" s="40"/>
      <c r="V122" s="41"/>
      <c r="W122" s="8"/>
    </row>
    <row r="123" spans="1:23" ht="16.5" thickBot="1">
      <c r="A123" s="51"/>
      <c r="B123" s="52" t="s">
        <v>59</v>
      </c>
      <c r="C123" s="53">
        <f t="shared" ref="C123:O123" si="65">C122/C$103</f>
        <v>0</v>
      </c>
      <c r="D123" s="54">
        <f t="shared" si="65"/>
        <v>0</v>
      </c>
      <c r="E123" s="53">
        <f t="shared" si="65"/>
        <v>0</v>
      </c>
      <c r="F123" s="54">
        <f t="shared" si="65"/>
        <v>0</v>
      </c>
      <c r="G123" s="53">
        <f t="shared" si="65"/>
        <v>0</v>
      </c>
      <c r="H123" s="54">
        <f t="shared" si="65"/>
        <v>0</v>
      </c>
      <c r="I123" s="53">
        <f t="shared" si="65"/>
        <v>0</v>
      </c>
      <c r="J123" s="54">
        <f t="shared" si="65"/>
        <v>0</v>
      </c>
      <c r="K123" s="53">
        <f t="shared" si="65"/>
        <v>0</v>
      </c>
      <c r="L123" s="54">
        <f t="shared" si="65"/>
        <v>0</v>
      </c>
      <c r="M123" s="53">
        <f t="shared" si="65"/>
        <v>0</v>
      </c>
      <c r="N123" s="54">
        <f t="shared" si="65"/>
        <v>0</v>
      </c>
      <c r="O123" s="55">
        <f t="shared" si="65"/>
        <v>0</v>
      </c>
      <c r="Q123" s="33"/>
      <c r="R123" s="46"/>
      <c r="S123" s="56"/>
      <c r="T123" s="57"/>
      <c r="U123" s="57"/>
      <c r="V123" s="41"/>
    </row>
    <row r="124" spans="1:23">
      <c r="A124" s="181" t="s">
        <v>63</v>
      </c>
      <c r="B124" s="29" t="s">
        <v>55</v>
      </c>
      <c r="C124" s="30">
        <f>C125/C$103</f>
        <v>29.897902466138138</v>
      </c>
      <c r="D124" s="31">
        <f t="shared" ref="D124:O124" si="66">D125/D$103</f>
        <v>31.690294302595614</v>
      </c>
      <c r="E124" s="30">
        <f t="shared" si="66"/>
        <v>29.703659449081517</v>
      </c>
      <c r="F124" s="31">
        <f t="shared" si="66"/>
        <v>26.254330961183175</v>
      </c>
      <c r="G124" s="30">
        <f t="shared" si="66"/>
        <v>26.281268303544778</v>
      </c>
      <c r="H124" s="31">
        <f t="shared" si="66"/>
        <v>25.214085071957413</v>
      </c>
      <c r="I124" s="30">
        <f t="shared" si="66"/>
        <v>26.399372960369877</v>
      </c>
      <c r="J124" s="31">
        <f t="shared" si="66"/>
        <v>26.062271162209502</v>
      </c>
      <c r="K124" s="30">
        <f t="shared" si="66"/>
        <v>24.842460858831934</v>
      </c>
      <c r="L124" s="31">
        <f t="shared" si="66"/>
        <v>27.086945731165976</v>
      </c>
      <c r="M124" s="30">
        <f t="shared" si="66"/>
        <v>23.390536491235945</v>
      </c>
      <c r="N124" s="31">
        <f t="shared" si="66"/>
        <v>27.633864773563321</v>
      </c>
      <c r="O124" s="32">
        <f t="shared" si="66"/>
        <v>26.909229628770511</v>
      </c>
    </row>
    <row r="125" spans="1:23">
      <c r="A125" s="34" t="s">
        <v>64</v>
      </c>
      <c r="B125" s="35" t="s">
        <v>57</v>
      </c>
      <c r="C125" s="36">
        <v>17374</v>
      </c>
      <c r="D125" s="37">
        <v>15270</v>
      </c>
      <c r="E125" s="36">
        <v>15363</v>
      </c>
      <c r="F125" s="37">
        <v>13344</v>
      </c>
      <c r="G125" s="36">
        <v>16288</v>
      </c>
      <c r="H125" s="37">
        <v>18482</v>
      </c>
      <c r="I125" s="36">
        <f>-'[9]July 2011 KRS '!$J$6</f>
        <v>19973</v>
      </c>
      <c r="J125" s="37">
        <v>19105</v>
      </c>
      <c r="K125" s="36">
        <v>15296</v>
      </c>
      <c r="L125" s="37">
        <v>16262</v>
      </c>
      <c r="M125" s="36">
        <v>11467</v>
      </c>
      <c r="N125" s="37">
        <v>14348</v>
      </c>
      <c r="O125" s="38">
        <f>SUM(C125:N125)</f>
        <v>192572</v>
      </c>
    </row>
    <row r="126" spans="1:23">
      <c r="A126" s="34"/>
      <c r="B126" s="35" t="s">
        <v>58</v>
      </c>
      <c r="C126" s="43">
        <f>C127/C125</f>
        <v>0.43320018418326234</v>
      </c>
      <c r="D126" s="44">
        <f t="shared" ref="D126:N126" si="67">D127/D125</f>
        <v>0.43319973804846101</v>
      </c>
      <c r="E126" s="43">
        <f t="shared" si="67"/>
        <v>0.42170018876521514</v>
      </c>
      <c r="F126" s="44">
        <f t="shared" si="67"/>
        <v>0.42169964028776979</v>
      </c>
      <c r="G126" s="43">
        <f t="shared" si="67"/>
        <v>0.41760007367387031</v>
      </c>
      <c r="H126" s="44">
        <f t="shared" si="67"/>
        <v>0.41759982685856506</v>
      </c>
      <c r="I126" s="43">
        <f t="shared" si="67"/>
        <v>0.41579982977018975</v>
      </c>
      <c r="J126" s="44">
        <f t="shared" si="67"/>
        <v>0.41530018319811568</v>
      </c>
      <c r="K126" s="43">
        <f t="shared" si="67"/>
        <v>0.41530007845188288</v>
      </c>
      <c r="L126" s="44">
        <f t="shared" si="67"/>
        <v>0.41510023367359489</v>
      </c>
      <c r="M126" s="43">
        <f t="shared" si="67"/>
        <v>0.41509985174849567</v>
      </c>
      <c r="N126" s="44">
        <f t="shared" si="67"/>
        <v>0.41499999999999998</v>
      </c>
      <c r="O126" s="45">
        <f>IF(O125=0,0,+O127/O125)</f>
        <v>0.4197043703134411</v>
      </c>
    </row>
    <row r="127" spans="1:23">
      <c r="A127" s="42"/>
      <c r="B127" s="35" t="s">
        <v>15</v>
      </c>
      <c r="C127" s="48">
        <v>7526.42</v>
      </c>
      <c r="D127" s="49">
        <v>6614.96</v>
      </c>
      <c r="E127" s="48">
        <v>6478.58</v>
      </c>
      <c r="F127" s="49">
        <v>5627.16</v>
      </c>
      <c r="G127" s="48">
        <v>6801.87</v>
      </c>
      <c r="H127" s="49">
        <v>7718.08</v>
      </c>
      <c r="I127" s="36">
        <f>'[9]July 2011 KRS '!$L$6</f>
        <v>8304.77</v>
      </c>
      <c r="J127" s="49">
        <v>7934.31</v>
      </c>
      <c r="K127" s="48">
        <v>6352.43</v>
      </c>
      <c r="L127" s="49">
        <v>6750.36</v>
      </c>
      <c r="M127" s="48">
        <v>4759.95</v>
      </c>
      <c r="N127" s="49">
        <v>5954.42</v>
      </c>
      <c r="O127" s="50">
        <f>SUM(C127:N127)</f>
        <v>80823.309999999983</v>
      </c>
    </row>
    <row r="128" spans="1:23" ht="13.5" thickBot="1">
      <c r="A128" s="51"/>
      <c r="B128" s="52" t="s">
        <v>59</v>
      </c>
      <c r="C128" s="53">
        <f t="shared" ref="C128:O128" si="68">C127/C$103</f>
        <v>12.951776855024256</v>
      </c>
      <c r="D128" s="54">
        <f t="shared" si="68"/>
        <v>13.728227190563057</v>
      </c>
      <c r="E128" s="53">
        <f t="shared" si="68"/>
        <v>12.526038796695341</v>
      </c>
      <c r="F128" s="54">
        <f t="shared" si="68"/>
        <v>11.071441922327002</v>
      </c>
      <c r="G128" s="53">
        <f t="shared" si="68"/>
        <v>10.975059579803053</v>
      </c>
      <c r="H128" s="54">
        <f t="shared" si="68"/>
        <v>10.529397560446546</v>
      </c>
      <c r="I128" s="53">
        <f t="shared" si="68"/>
        <v>10.976854782961546</v>
      </c>
      <c r="J128" s="54">
        <f t="shared" si="68"/>
        <v>10.823665988224574</v>
      </c>
      <c r="K128" s="53">
        <f t="shared" si="68"/>
        <v>10.317075943610732</v>
      </c>
      <c r="L128" s="54">
        <f t="shared" si="68"/>
        <v>11.243797502510979</v>
      </c>
      <c r="M128" s="53">
        <f t="shared" si="68"/>
        <v>9.709408229829819</v>
      </c>
      <c r="N128" s="54">
        <f t="shared" si="68"/>
        <v>11.468053881028778</v>
      </c>
      <c r="O128" s="55">
        <f t="shared" si="68"/>
        <v>11.293921276962919</v>
      </c>
    </row>
    <row r="129" spans="1:23">
      <c r="A129" s="28" t="s">
        <v>65</v>
      </c>
      <c r="B129" s="29" t="s">
        <v>55</v>
      </c>
      <c r="C129" s="30">
        <f>C130/C$103</f>
        <v>0</v>
      </c>
      <c r="D129" s="31">
        <f t="shared" ref="D129:N129" si="69">D130/D$103</f>
        <v>0</v>
      </c>
      <c r="E129" s="30">
        <f t="shared" si="69"/>
        <v>63.038346200472155</v>
      </c>
      <c r="F129" s="31">
        <f t="shared" si="69"/>
        <v>0</v>
      </c>
      <c r="G129" s="30">
        <f t="shared" si="69"/>
        <v>0</v>
      </c>
      <c r="H129" s="31">
        <f t="shared" si="69"/>
        <v>0</v>
      </c>
      <c r="I129" s="30">
        <f t="shared" si="69"/>
        <v>0</v>
      </c>
      <c r="J129" s="31">
        <f t="shared" si="69"/>
        <v>0</v>
      </c>
      <c r="K129" s="30">
        <f t="shared" si="69"/>
        <v>0</v>
      </c>
      <c r="L129" s="31">
        <f t="shared" si="69"/>
        <v>0</v>
      </c>
      <c r="M129" s="30">
        <f t="shared" si="69"/>
        <v>0</v>
      </c>
      <c r="N129" s="31">
        <f t="shared" si="69"/>
        <v>0</v>
      </c>
      <c r="O129" s="32">
        <f>O130/O$103</f>
        <v>4.5559506201131716</v>
      </c>
      <c r="Q129" s="33"/>
    </row>
    <row r="130" spans="1:23">
      <c r="A130" s="34" t="s">
        <v>56</v>
      </c>
      <c r="B130" s="35" t="s">
        <v>57</v>
      </c>
      <c r="C130" s="36">
        <v>0</v>
      </c>
      <c r="D130" s="37">
        <v>0</v>
      </c>
      <c r="E130" s="36">
        <v>32604</v>
      </c>
      <c r="F130" s="37">
        <v>0</v>
      </c>
      <c r="G130" s="36">
        <v>0</v>
      </c>
      <c r="H130" s="37">
        <v>0</v>
      </c>
      <c r="I130" s="36">
        <v>0</v>
      </c>
      <c r="J130" s="37">
        <v>0</v>
      </c>
      <c r="K130" s="36">
        <v>0</v>
      </c>
      <c r="L130" s="37">
        <v>0</v>
      </c>
      <c r="M130" s="36">
        <v>0</v>
      </c>
      <c r="N130" s="37">
        <v>0</v>
      </c>
      <c r="O130" s="38">
        <f>SUM(C130:N130)</f>
        <v>32604</v>
      </c>
      <c r="Q130" s="33"/>
      <c r="R130" s="57"/>
      <c r="S130" s="57"/>
      <c r="T130" s="57"/>
      <c r="U130" s="57"/>
      <c r="V130" s="41"/>
      <c r="W130" s="8"/>
    </row>
    <row r="131" spans="1:23" ht="15.75">
      <c r="A131" s="42"/>
      <c r="B131" s="35" t="s">
        <v>58</v>
      </c>
      <c r="C131" s="43">
        <f>'[10]Price Changes'!$F$26</f>
        <v>0.10692</v>
      </c>
      <c r="D131" s="44">
        <f>'[10]Price Changes'!$F$26</f>
        <v>0.10692</v>
      </c>
      <c r="E131" s="43">
        <f>'[10]Price Changes'!$F$26</f>
        <v>0.10692</v>
      </c>
      <c r="F131" s="44">
        <f>'[10]Price Changes'!$F$26</f>
        <v>0.10692</v>
      </c>
      <c r="G131" s="43">
        <f>'[10]Price Changes'!$F$26</f>
        <v>0.10692</v>
      </c>
      <c r="H131" s="44">
        <f>'[10]Price Changes'!$F$26</f>
        <v>0.10692</v>
      </c>
      <c r="I131" s="43">
        <f>'[10]Price Changes'!$F$26</f>
        <v>0.10692</v>
      </c>
      <c r="J131" s="44">
        <f>'[10]Price Changes'!$F$26</f>
        <v>0.10692</v>
      </c>
      <c r="K131" s="43">
        <f>'[10]Price Changes'!$F$26</f>
        <v>0.10692</v>
      </c>
      <c r="L131" s="44">
        <f>'[10]Price Changes'!$F$26</f>
        <v>0.10692</v>
      </c>
      <c r="M131" s="43">
        <f>'[10]Price Changes'!$F$26</f>
        <v>0.10692</v>
      </c>
      <c r="N131" s="44">
        <f>'[10]Price Changes'!$F$26</f>
        <v>0.10692</v>
      </c>
      <c r="O131" s="45">
        <f>IF(O130=0,0,+O132/O130)</f>
        <v>0.10819991412096676</v>
      </c>
      <c r="Q131" s="33"/>
      <c r="R131" s="46"/>
      <c r="S131" s="46"/>
      <c r="T131" s="47"/>
      <c r="U131" s="47"/>
      <c r="V131" s="41"/>
      <c r="W131" s="8"/>
    </row>
    <row r="132" spans="1:23">
      <c r="A132" s="42"/>
      <c r="B132" s="35" t="s">
        <v>15</v>
      </c>
      <c r="C132" s="48">
        <f>C130*C131</f>
        <v>0</v>
      </c>
      <c r="D132" s="49">
        <f>D130*D131</f>
        <v>0</v>
      </c>
      <c r="E132" s="48">
        <v>3527.75</v>
      </c>
      <c r="F132" s="49">
        <f>F130*F131</f>
        <v>0</v>
      </c>
      <c r="G132" s="48">
        <f>G130*G131</f>
        <v>0</v>
      </c>
      <c r="H132" s="49">
        <f>H130*H131</f>
        <v>0</v>
      </c>
      <c r="I132" s="36">
        <f>'[9]July 2011 KRS '!$L$9</f>
        <v>0</v>
      </c>
      <c r="J132" s="49">
        <f>J130*J131</f>
        <v>0</v>
      </c>
      <c r="K132" s="48">
        <f>K130*K131</f>
        <v>0</v>
      </c>
      <c r="L132" s="49">
        <f>L130*L131</f>
        <v>0</v>
      </c>
      <c r="M132" s="48">
        <f>M130*M131</f>
        <v>0</v>
      </c>
      <c r="N132" s="49">
        <f>N130*N131</f>
        <v>0</v>
      </c>
      <c r="O132" s="50">
        <f>SUM(C132:N132)</f>
        <v>3527.75</v>
      </c>
      <c r="Q132" s="33"/>
      <c r="R132" s="40"/>
      <c r="S132" s="40"/>
      <c r="T132" s="40"/>
      <c r="U132" s="40"/>
      <c r="V132" s="41"/>
    </row>
    <row r="133" spans="1:23" ht="16.5" thickBot="1">
      <c r="A133" s="51"/>
      <c r="B133" s="52" t="s">
        <v>59</v>
      </c>
      <c r="C133" s="53">
        <f t="shared" ref="C133:O133" si="70">C132/C$103</f>
        <v>0</v>
      </c>
      <c r="D133" s="54">
        <f t="shared" si="70"/>
        <v>0</v>
      </c>
      <c r="E133" s="53">
        <f t="shared" si="70"/>
        <v>6.8207436452188581</v>
      </c>
      <c r="F133" s="54">
        <f t="shared" si="70"/>
        <v>0</v>
      </c>
      <c r="G133" s="53">
        <f t="shared" si="70"/>
        <v>0</v>
      </c>
      <c r="H133" s="54">
        <f t="shared" si="70"/>
        <v>0</v>
      </c>
      <c r="I133" s="53">
        <f t="shared" si="70"/>
        <v>0</v>
      </c>
      <c r="J133" s="54">
        <f t="shared" si="70"/>
        <v>0</v>
      </c>
      <c r="K133" s="53">
        <f t="shared" si="70"/>
        <v>0</v>
      </c>
      <c r="L133" s="54">
        <f t="shared" si="70"/>
        <v>0</v>
      </c>
      <c r="M133" s="53">
        <f t="shared" si="70"/>
        <v>0</v>
      </c>
      <c r="N133" s="54">
        <f t="shared" si="70"/>
        <v>0</v>
      </c>
      <c r="O133" s="55">
        <f t="shared" si="70"/>
        <v>0.49295346583561039</v>
      </c>
      <c r="Q133" s="33"/>
      <c r="R133" s="56"/>
      <c r="S133" s="56"/>
      <c r="T133" s="57"/>
      <c r="U133" s="57"/>
      <c r="V133" s="41"/>
    </row>
    <row r="134" spans="1:23">
      <c r="A134" s="28" t="s">
        <v>66</v>
      </c>
      <c r="B134" s="29" t="s">
        <v>55</v>
      </c>
      <c r="C134" s="30">
        <f>C135/C$103</f>
        <v>40.312436006201914</v>
      </c>
      <c r="D134" s="31">
        <f t="shared" ref="D134:O134" si="71">D135/D$103</f>
        <v>51.879107856993137</v>
      </c>
      <c r="E134" s="30">
        <f t="shared" si="71"/>
        <v>37.994311777250594</v>
      </c>
      <c r="F134" s="31">
        <f t="shared" si="71"/>
        <v>24.233707617572929</v>
      </c>
      <c r="G134" s="30">
        <f t="shared" si="71"/>
        <v>38.19561537828536</v>
      </c>
      <c r="H134" s="31">
        <f t="shared" si="71"/>
        <v>36.997120066357162</v>
      </c>
      <c r="I134" s="30">
        <f t="shared" si="71"/>
        <v>36.761916594741272</v>
      </c>
      <c r="J134" s="31">
        <f t="shared" si="71"/>
        <v>35.981076376573554</v>
      </c>
      <c r="K134" s="30">
        <f t="shared" si="71"/>
        <v>37.627493016306111</v>
      </c>
      <c r="L134" s="31">
        <f t="shared" si="71"/>
        <v>38.466727629783975</v>
      </c>
      <c r="M134" s="30">
        <f t="shared" si="71"/>
        <v>34.786972121874754</v>
      </c>
      <c r="N134" s="31">
        <f t="shared" si="71"/>
        <v>34.788855548151261</v>
      </c>
      <c r="O134" s="32">
        <f t="shared" si="71"/>
        <v>37.274701995638836</v>
      </c>
      <c r="Q134" s="33"/>
    </row>
    <row r="135" spans="1:23">
      <c r="A135" s="34" t="s">
        <v>64</v>
      </c>
      <c r="B135" s="35" t="s">
        <v>57</v>
      </c>
      <c r="C135" s="36">
        <f>16826+6600</f>
        <v>23426</v>
      </c>
      <c r="D135" s="37">
        <v>24998</v>
      </c>
      <c r="E135" s="36">
        <v>19651</v>
      </c>
      <c r="F135" s="37">
        <v>12317</v>
      </c>
      <c r="G135" s="36">
        <v>23672</v>
      </c>
      <c r="H135" s="37">
        <v>27119</v>
      </c>
      <c r="I135" s="36">
        <f>-'[9]July 2011 KRS '!$J$10</f>
        <v>27813</v>
      </c>
      <c r="J135" s="37">
        <v>26376</v>
      </c>
      <c r="K135" s="36">
        <v>23168</v>
      </c>
      <c r="L135" s="37">
        <v>23094</v>
      </c>
      <c r="M135" s="36">
        <v>17054</v>
      </c>
      <c r="N135" s="37">
        <v>18063</v>
      </c>
      <c r="O135" s="38">
        <f>SUM(C135:N135)</f>
        <v>266751</v>
      </c>
      <c r="Q135" s="33"/>
      <c r="R135" s="57"/>
      <c r="S135" s="57"/>
      <c r="T135" s="57"/>
      <c r="U135" s="57"/>
      <c r="V135" s="41"/>
      <c r="W135" s="8"/>
    </row>
    <row r="136" spans="1:23" ht="15.75">
      <c r="A136" s="42"/>
      <c r="B136" s="35" t="s">
        <v>58</v>
      </c>
      <c r="C136" s="43">
        <f>C137/C135</f>
        <v>0.28286690002561254</v>
      </c>
      <c r="D136" s="44">
        <f t="shared" ref="D136:N136" si="72">D137/D135</f>
        <v>0.30269981598527884</v>
      </c>
      <c r="E136" s="43">
        <f t="shared" si="72"/>
        <v>0.29509999491120048</v>
      </c>
      <c r="F136" s="44">
        <f t="shared" si="72"/>
        <v>0.29270033287326458</v>
      </c>
      <c r="G136" s="43">
        <f t="shared" si="72"/>
        <v>0.29139996620479891</v>
      </c>
      <c r="H136" s="44">
        <f t="shared" si="72"/>
        <v>0.29140012537335447</v>
      </c>
      <c r="I136" s="43">
        <f t="shared" si="72"/>
        <v>0.29060007909970159</v>
      </c>
      <c r="J136" s="44">
        <f t="shared" si="72"/>
        <v>0.29020018198362146</v>
      </c>
      <c r="K136" s="43">
        <f t="shared" si="72"/>
        <v>0.29010013812154695</v>
      </c>
      <c r="L136" s="44">
        <f t="shared" si="72"/>
        <v>0.29000000000000004</v>
      </c>
      <c r="M136" s="43">
        <f t="shared" si="72"/>
        <v>0.28999999999999998</v>
      </c>
      <c r="N136" s="44">
        <f t="shared" si="72"/>
        <v>0.29000000000000004</v>
      </c>
      <c r="O136" s="45">
        <f>IF(O135=0,0,+O137/O135)</f>
        <v>0.29142173787539694</v>
      </c>
      <c r="Q136" s="33"/>
      <c r="R136" s="46"/>
      <c r="S136" s="46"/>
      <c r="T136" s="47"/>
      <c r="U136" s="47"/>
      <c r="V136" s="41"/>
      <c r="W136" s="8"/>
    </row>
    <row r="137" spans="1:23">
      <c r="A137" s="42"/>
      <c r="B137" s="35" t="s">
        <v>15</v>
      </c>
      <c r="C137" s="48">
        <f>5384.32+1242.12</f>
        <v>6626.44</v>
      </c>
      <c r="D137" s="49">
        <v>7566.89</v>
      </c>
      <c r="E137" s="48">
        <v>5799.01</v>
      </c>
      <c r="F137" s="49">
        <v>3605.19</v>
      </c>
      <c r="G137" s="48">
        <v>6898.02</v>
      </c>
      <c r="H137" s="49">
        <v>7902.48</v>
      </c>
      <c r="I137" s="36">
        <f>'[9]July 2011 KRS '!$L$10</f>
        <v>8082.46</v>
      </c>
      <c r="J137" s="49">
        <v>7654.32</v>
      </c>
      <c r="K137" s="48">
        <v>6721.04</v>
      </c>
      <c r="L137" s="49">
        <v>6697.26</v>
      </c>
      <c r="M137" s="48">
        <v>4945.66</v>
      </c>
      <c r="N137" s="49">
        <v>5238.2700000000004</v>
      </c>
      <c r="O137" s="50">
        <f>SUM(C137:N137)</f>
        <v>77737.040000000008</v>
      </c>
      <c r="Q137" s="33"/>
      <c r="R137" s="40"/>
      <c r="S137" s="40"/>
      <c r="T137" s="40"/>
      <c r="U137" s="40"/>
      <c r="V137" s="41"/>
    </row>
    <row r="138" spans="1:23" ht="16.5" thickBot="1">
      <c r="A138" s="51"/>
      <c r="B138" s="52" t="s">
        <v>59</v>
      </c>
      <c r="C138" s="53">
        <f t="shared" ref="C138:O138" si="73">C137/C$103</f>
        <v>11.403053805555221</v>
      </c>
      <c r="D138" s="54">
        <f t="shared" si="73"/>
        <v>15.703796401792255</v>
      </c>
      <c r="E138" s="53">
        <f t="shared" si="73"/>
        <v>11.212121212121213</v>
      </c>
      <c r="F138" s="54">
        <f t="shared" si="73"/>
        <v>7.0932142864169645</v>
      </c>
      <c r="G138" s="53">
        <f t="shared" si="73"/>
        <v>11.130201030403853</v>
      </c>
      <c r="H138" s="54">
        <f t="shared" si="73"/>
        <v>10.780965425789525</v>
      </c>
      <c r="I138" s="53">
        <f t="shared" si="73"/>
        <v>10.683015870288445</v>
      </c>
      <c r="J138" s="54">
        <f t="shared" si="73"/>
        <v>10.44171491244823</v>
      </c>
      <c r="K138" s="53">
        <f t="shared" si="73"/>
        <v>10.915740921197946</v>
      </c>
      <c r="L138" s="54">
        <f t="shared" si="73"/>
        <v>11.155351012637354</v>
      </c>
      <c r="M138" s="53">
        <f t="shared" si="73"/>
        <v>10.088221915343677</v>
      </c>
      <c r="N138" s="54">
        <f t="shared" si="73"/>
        <v>10.088768108963867</v>
      </c>
      <c r="O138" s="55">
        <f t="shared" si="73"/>
        <v>10.862658434356597</v>
      </c>
      <c r="Q138" s="33"/>
      <c r="R138" s="46"/>
      <c r="S138" s="56"/>
      <c r="T138" s="57"/>
      <c r="U138" s="57"/>
      <c r="V138" s="41"/>
    </row>
    <row r="139" spans="1:23">
      <c r="A139" s="69" t="s">
        <v>67</v>
      </c>
      <c r="B139" s="29" t="s">
        <v>55</v>
      </c>
      <c r="C139" s="30">
        <f>C140/C$103</f>
        <v>304.50120544956127</v>
      </c>
      <c r="D139" s="31">
        <f t="shared" ref="D139:O139" si="74">D140/D$103</f>
        <v>298.8102131156727</v>
      </c>
      <c r="E139" s="30">
        <f t="shared" si="74"/>
        <v>385.86915540912867</v>
      </c>
      <c r="F139" s="31">
        <f t="shared" si="74"/>
        <v>461.39665013310145</v>
      </c>
      <c r="G139" s="30">
        <f t="shared" si="74"/>
        <v>324.37713490932737</v>
      </c>
      <c r="H139" s="31">
        <f t="shared" si="74"/>
        <v>370.82112897218701</v>
      </c>
      <c r="I139" s="30">
        <f t="shared" si="74"/>
        <v>369.87275483728558</v>
      </c>
      <c r="J139" s="31">
        <f t="shared" si="74"/>
        <v>259.38132629063148</v>
      </c>
      <c r="K139" s="30">
        <f t="shared" si="74"/>
        <v>348.06405508997597</v>
      </c>
      <c r="L139" s="31">
        <f t="shared" si="74"/>
        <v>288.12568396120344</v>
      </c>
      <c r="M139" s="30">
        <f t="shared" si="74"/>
        <v>413.18657558221366</v>
      </c>
      <c r="N139" s="31">
        <f t="shared" si="74"/>
        <v>398.35868556174864</v>
      </c>
      <c r="O139" s="32">
        <f t="shared" si="74"/>
        <v>348.57465846789319</v>
      </c>
    </row>
    <row r="140" spans="1:23">
      <c r="A140" s="34" t="s">
        <v>64</v>
      </c>
      <c r="B140" s="35" t="s">
        <v>57</v>
      </c>
      <c r="C140" s="36">
        <v>176949</v>
      </c>
      <c r="D140" s="37">
        <v>143982</v>
      </c>
      <c r="E140" s="36">
        <v>199575</v>
      </c>
      <c r="F140" s="37">
        <v>234509</v>
      </c>
      <c r="G140" s="36">
        <v>201035</v>
      </c>
      <c r="H140" s="37">
        <v>271813</v>
      </c>
      <c r="I140" s="36">
        <f>-'[9]July 2011 KRS '!$J$11</f>
        <v>279835</v>
      </c>
      <c r="J140" s="37">
        <v>190140</v>
      </c>
      <c r="K140" s="36">
        <v>214310</v>
      </c>
      <c r="L140" s="37">
        <v>172980</v>
      </c>
      <c r="M140" s="36">
        <v>202561</v>
      </c>
      <c r="N140" s="37">
        <v>206835</v>
      </c>
      <c r="O140" s="38">
        <f>SUM(C140:N140)</f>
        <v>2494524</v>
      </c>
    </row>
    <row r="141" spans="1:23">
      <c r="A141" s="42"/>
      <c r="B141" s="35" t="s">
        <v>58</v>
      </c>
      <c r="C141" s="43">
        <f>C142/C140</f>
        <v>0.14559997513407819</v>
      </c>
      <c r="D141" s="44">
        <f t="shared" ref="D141:N141" si="75">D142/D140</f>
        <v>0.14639996666249946</v>
      </c>
      <c r="E141" s="43">
        <f t="shared" si="75"/>
        <v>0.14680000000000001</v>
      </c>
      <c r="F141" s="44">
        <f t="shared" si="75"/>
        <v>0.1468999910451198</v>
      </c>
      <c r="G141" s="43">
        <f t="shared" si="75"/>
        <v>0.14689999253861269</v>
      </c>
      <c r="H141" s="44">
        <f t="shared" si="75"/>
        <v>0.14690000110369997</v>
      </c>
      <c r="I141" s="43">
        <f t="shared" si="75"/>
        <v>0.1471999928529312</v>
      </c>
      <c r="J141" s="44">
        <f t="shared" si="75"/>
        <v>0.14709997896286947</v>
      </c>
      <c r="K141" s="43">
        <f t="shared" si="75"/>
        <v>0.14709999533386217</v>
      </c>
      <c r="L141" s="44">
        <f t="shared" si="75"/>
        <v>0.14710001156203029</v>
      </c>
      <c r="M141" s="43">
        <f t="shared" si="75"/>
        <v>0.14709998469596813</v>
      </c>
      <c r="N141" s="44">
        <f t="shared" si="75"/>
        <v>0.14710000725215752</v>
      </c>
      <c r="O141" s="45">
        <f>IF(O140=0,0,+O142/O140)</f>
        <v>0.14688369003465188</v>
      </c>
    </row>
    <row r="142" spans="1:23">
      <c r="A142" s="42"/>
      <c r="B142" s="35" t="s">
        <v>15</v>
      </c>
      <c r="C142" s="48">
        <v>25763.77</v>
      </c>
      <c r="D142" s="49">
        <v>21078.959999999999</v>
      </c>
      <c r="E142" s="48">
        <v>29297.61</v>
      </c>
      <c r="F142" s="49">
        <v>34449.370000000003</v>
      </c>
      <c r="G142" s="48">
        <v>29532.04</v>
      </c>
      <c r="H142" s="49">
        <v>39929.33</v>
      </c>
      <c r="I142" s="36">
        <f>'[9]July 2011 KRS '!$L$11</f>
        <v>41191.71</v>
      </c>
      <c r="J142" s="49">
        <v>27969.59</v>
      </c>
      <c r="K142" s="48">
        <v>31525</v>
      </c>
      <c r="L142" s="49">
        <v>25445.360000000001</v>
      </c>
      <c r="M142" s="48">
        <v>29796.720000000001</v>
      </c>
      <c r="N142" s="49">
        <v>30425.43</v>
      </c>
      <c r="O142" s="50">
        <f>SUM(C142:N142)</f>
        <v>366404.88999999996</v>
      </c>
    </row>
    <row r="143" spans="1:23" ht="13.5" thickBot="1">
      <c r="A143" s="51"/>
      <c r="B143" s="52" t="s">
        <v>59</v>
      </c>
      <c r="C143" s="53">
        <f t="shared" ref="C143:O143" si="76">C142/C$103</f>
        <v>44.335367941752956</v>
      </c>
      <c r="D143" s="54">
        <f t="shared" si="76"/>
        <v>43.745805238548847</v>
      </c>
      <c r="E143" s="53">
        <f t="shared" si="76"/>
        <v>56.645592014060085</v>
      </c>
      <c r="F143" s="54">
        <f t="shared" si="76"/>
        <v>67.779163772800885</v>
      </c>
      <c r="G143" s="53">
        <f t="shared" si="76"/>
        <v>47.650998697876751</v>
      </c>
      <c r="H143" s="54">
        <f t="shared" si="76"/>
        <v>54.473624255289543</v>
      </c>
      <c r="I143" s="53">
        <f t="shared" si="76"/>
        <v>54.445266868542404</v>
      </c>
      <c r="J143" s="54">
        <f t="shared" si="76"/>
        <v>38.154987640713074</v>
      </c>
      <c r="K143" s="53">
        <f t="shared" si="76"/>
        <v>51.200220879620602</v>
      </c>
      <c r="L143" s="54">
        <f t="shared" si="76"/>
        <v>42.383291442010915</v>
      </c>
      <c r="M143" s="53">
        <f t="shared" si="76"/>
        <v>60.779738944723107</v>
      </c>
      <c r="N143" s="54">
        <f t="shared" si="76"/>
        <v>58.598565535093165</v>
      </c>
      <c r="O143" s="55">
        <f t="shared" si="76"/>
        <v>51.199932088332666</v>
      </c>
    </row>
    <row r="144" spans="1:23">
      <c r="A144" s="28" t="s">
        <v>68</v>
      </c>
      <c r="B144" s="29" t="s">
        <v>55</v>
      </c>
      <c r="C144" s="30">
        <f>C145/C$103</f>
        <v>20.835950446644446</v>
      </c>
      <c r="D144" s="31">
        <f t="shared" ref="D144:O144" si="77">D145/D$103</f>
        <v>24.814724883833385</v>
      </c>
      <c r="E144" s="30">
        <f t="shared" si="77"/>
        <v>22.128385236915832</v>
      </c>
      <c r="F144" s="31">
        <f t="shared" si="77"/>
        <v>22.510176897998853</v>
      </c>
      <c r="G144" s="30">
        <f t="shared" si="77"/>
        <v>21.505202845631434</v>
      </c>
      <c r="H144" s="31">
        <f t="shared" si="77"/>
        <v>19.69296169319907</v>
      </c>
      <c r="I144" s="30">
        <f t="shared" si="77"/>
        <v>19.983583827558814</v>
      </c>
      <c r="J144" s="31">
        <f t="shared" si="77"/>
        <v>22.444519624801515</v>
      </c>
      <c r="K144" s="30">
        <f t="shared" si="77"/>
        <v>24.866822581692976</v>
      </c>
      <c r="L144" s="31">
        <f t="shared" si="77"/>
        <v>23.162653261443491</v>
      </c>
      <c r="M144" s="30">
        <f t="shared" si="77"/>
        <v>24.950993490956488</v>
      </c>
      <c r="N144" s="31">
        <f t="shared" si="77"/>
        <v>23.048122368638992</v>
      </c>
      <c r="O144" s="32">
        <f t="shared" si="77"/>
        <v>22.316109248353385</v>
      </c>
      <c r="Q144" s="33"/>
    </row>
    <row r="145" spans="1:22">
      <c r="A145" s="34" t="s">
        <v>64</v>
      </c>
      <c r="B145" s="35" t="s">
        <v>57</v>
      </c>
      <c r="C145" s="36">
        <v>12108</v>
      </c>
      <c r="D145" s="37">
        <v>11957</v>
      </c>
      <c r="E145" s="36">
        <v>11445</v>
      </c>
      <c r="F145" s="37">
        <f>10323+1118</f>
        <v>11441</v>
      </c>
      <c r="G145" s="36">
        <v>13328</v>
      </c>
      <c r="H145" s="37">
        <v>14435</v>
      </c>
      <c r="I145" s="36">
        <f>-'[9]July 2011 KRS '!$J$12</f>
        <v>15119</v>
      </c>
      <c r="J145" s="37">
        <v>16453</v>
      </c>
      <c r="K145" s="36">
        <v>15311</v>
      </c>
      <c r="L145" s="37">
        <v>13906</v>
      </c>
      <c r="M145" s="36">
        <v>12232</v>
      </c>
      <c r="N145" s="37">
        <v>11967</v>
      </c>
      <c r="O145" s="38">
        <f>SUM(C145:N145)</f>
        <v>159702</v>
      </c>
      <c r="Q145" s="33"/>
      <c r="R145" s="57"/>
      <c r="S145" s="68"/>
      <c r="T145" s="68"/>
      <c r="U145" s="33"/>
      <c r="V145" s="41"/>
    </row>
    <row r="146" spans="1:22" ht="15.75">
      <c r="A146" s="42"/>
      <c r="B146" s="35" t="s">
        <v>58</v>
      </c>
      <c r="C146" s="43">
        <f>C147/C145</f>
        <v>0.28879996696399074</v>
      </c>
      <c r="D146" s="44">
        <f t="shared" ref="D146:N146" si="78">D147/D145</f>
        <v>0.28879986618717068</v>
      </c>
      <c r="E146" s="43">
        <f t="shared" si="78"/>
        <v>0.2888003494975972</v>
      </c>
      <c r="F146" s="44">
        <f t="shared" si="78"/>
        <v>0.30458963377327158</v>
      </c>
      <c r="G146" s="43">
        <f t="shared" si="78"/>
        <v>0.30630027010804323</v>
      </c>
      <c r="H146" s="44">
        <f t="shared" si="78"/>
        <v>0.30629996536196741</v>
      </c>
      <c r="I146" s="43">
        <f t="shared" si="78"/>
        <v>0.30630001984258215</v>
      </c>
      <c r="J146" s="44">
        <f t="shared" si="78"/>
        <v>0.30629976296116213</v>
      </c>
      <c r="K146" s="43">
        <f t="shared" si="78"/>
        <v>0.30630004571876429</v>
      </c>
      <c r="L146" s="44">
        <f t="shared" si="78"/>
        <v>0.30630015820509132</v>
      </c>
      <c r="M146" s="43">
        <f t="shared" si="78"/>
        <v>0.30629986919555263</v>
      </c>
      <c r="N146" s="44">
        <f t="shared" si="78"/>
        <v>0.30629982451742288</v>
      </c>
      <c r="O146" s="45">
        <f>IF(O145=0,0,+O147/O145)</f>
        <v>0.30228632077243867</v>
      </c>
      <c r="Q146" s="33"/>
      <c r="R146" s="46"/>
      <c r="S146" s="80"/>
      <c r="T146" s="46"/>
      <c r="U146" s="47"/>
      <c r="V146" s="41"/>
    </row>
    <row r="147" spans="1:22">
      <c r="A147" s="42"/>
      <c r="B147" s="35" t="s">
        <v>15</v>
      </c>
      <c r="C147" s="48">
        <v>3496.79</v>
      </c>
      <c r="D147" s="49">
        <v>3453.18</v>
      </c>
      <c r="E147" s="48">
        <v>3305.32</v>
      </c>
      <c r="F147" s="49">
        <f>3161.93+322.88</f>
        <v>3484.81</v>
      </c>
      <c r="G147" s="48">
        <v>4082.37</v>
      </c>
      <c r="H147" s="49">
        <v>4421.4399999999996</v>
      </c>
      <c r="I147" s="36">
        <f>'[9]July 2011 KRS '!$L$12</f>
        <v>4630.95</v>
      </c>
      <c r="J147" s="49">
        <v>5039.55</v>
      </c>
      <c r="K147" s="48">
        <v>4689.76</v>
      </c>
      <c r="L147" s="49">
        <v>4259.41</v>
      </c>
      <c r="M147" s="48">
        <v>3746.66</v>
      </c>
      <c r="N147" s="49">
        <v>3665.49</v>
      </c>
      <c r="O147" s="50">
        <f>SUM(C147:N147)</f>
        <v>48275.73</v>
      </c>
      <c r="Q147" s="33"/>
      <c r="R147" s="40"/>
      <c r="S147" s="40"/>
      <c r="T147" s="40"/>
      <c r="U147" s="40"/>
      <c r="V147" s="41"/>
    </row>
    <row r="148" spans="1:22" ht="16.5" thickBot="1">
      <c r="A148" s="51"/>
      <c r="B148" s="52" t="s">
        <v>59</v>
      </c>
      <c r="C148" s="53">
        <f t="shared" ref="C148:O148" si="79">C147/C$103</f>
        <v>6.0174218006542644</v>
      </c>
      <c r="D148" s="54">
        <f t="shared" si="79"/>
        <v>7.1664892259225361</v>
      </c>
      <c r="E148" s="53">
        <f t="shared" si="79"/>
        <v>6.3906853902387635</v>
      </c>
      <c r="F148" s="54">
        <f t="shared" si="79"/>
        <v>6.8563665375330292</v>
      </c>
      <c r="G148" s="53">
        <f t="shared" si="79"/>
        <v>6.5870494403451678</v>
      </c>
      <c r="H148" s="54">
        <f t="shared" si="79"/>
        <v>6.0319534845014271</v>
      </c>
      <c r="I148" s="53">
        <f t="shared" si="79"/>
        <v>6.120972122907169</v>
      </c>
      <c r="J148" s="54">
        <f t="shared" si="79"/>
        <v>6.8747510408538552</v>
      </c>
      <c r="K148" s="53">
        <f t="shared" si="79"/>
        <v>7.6167088936529588</v>
      </c>
      <c r="L148" s="54">
        <f t="shared" si="79"/>
        <v>7.0947243584298159</v>
      </c>
      <c r="M148" s="53">
        <f t="shared" si="79"/>
        <v>7.6424860425790584</v>
      </c>
      <c r="N148" s="54">
        <f t="shared" si="79"/>
        <v>7.0596358369702132</v>
      </c>
      <c r="O148" s="55">
        <f t="shared" si="79"/>
        <v>6.745854558640537</v>
      </c>
      <c r="Q148" s="33"/>
      <c r="R148" s="56"/>
      <c r="S148" s="80"/>
      <c r="T148" s="56"/>
      <c r="U148" s="57"/>
      <c r="V148" s="41"/>
    </row>
    <row r="149" spans="1:22">
      <c r="A149" s="28" t="s">
        <v>69</v>
      </c>
      <c r="B149" s="29" t="s">
        <v>55</v>
      </c>
      <c r="C149" s="30">
        <f>C150/C$103</f>
        <v>1.8000003441683259</v>
      </c>
      <c r="D149" s="31">
        <f t="shared" ref="D149:O149" si="80">D150/D$103</f>
        <v>1.9300572168574932</v>
      </c>
      <c r="E149" s="30">
        <f t="shared" si="80"/>
        <v>1.6859722085269206</v>
      </c>
      <c r="F149" s="31">
        <f t="shared" si="80"/>
        <v>1.2572330248947878</v>
      </c>
      <c r="G149" s="30">
        <f t="shared" si="80"/>
        <v>1.1262478681160519</v>
      </c>
      <c r="H149" s="31">
        <f t="shared" si="80"/>
        <v>0.15825310401185261</v>
      </c>
      <c r="I149" s="30">
        <f t="shared" si="80"/>
        <v>1.638973738089353</v>
      </c>
      <c r="J149" s="31">
        <f t="shared" si="80"/>
        <v>1.1622640685790366</v>
      </c>
      <c r="K149" s="30">
        <f t="shared" si="80"/>
        <v>0.98258948872864282</v>
      </c>
      <c r="L149" s="31">
        <f t="shared" si="80"/>
        <v>1.1876148263633834</v>
      </c>
      <c r="M149" s="30">
        <f t="shared" si="80"/>
        <v>1.2646841043486776</v>
      </c>
      <c r="N149" s="31">
        <f t="shared" si="80"/>
        <v>0.52193876175325205</v>
      </c>
      <c r="O149" s="32">
        <f t="shared" si="80"/>
        <v>1.2020085644158234</v>
      </c>
      <c r="Q149" s="33"/>
    </row>
    <row r="150" spans="1:22">
      <c r="A150" s="34" t="s">
        <v>56</v>
      </c>
      <c r="B150" s="35" t="s">
        <v>57</v>
      </c>
      <c r="C150" s="36">
        <v>1046</v>
      </c>
      <c r="D150" s="37">
        <v>930</v>
      </c>
      <c r="E150" s="36">
        <v>872</v>
      </c>
      <c r="F150" s="37">
        <v>639</v>
      </c>
      <c r="G150" s="36">
        <v>698</v>
      </c>
      <c r="H150" s="37">
        <v>116</v>
      </c>
      <c r="I150" s="36">
        <f>-'[9]July 2011 KRS '!$J$13</f>
        <v>1240</v>
      </c>
      <c r="J150" s="37">
        <v>852</v>
      </c>
      <c r="K150" s="36">
        <v>605</v>
      </c>
      <c r="L150" s="37">
        <v>713</v>
      </c>
      <c r="M150" s="36">
        <v>620</v>
      </c>
      <c r="N150" s="37">
        <v>271</v>
      </c>
      <c r="O150" s="38">
        <f>SUM(C150:N150)</f>
        <v>8602</v>
      </c>
      <c r="Q150" s="33"/>
      <c r="R150" s="39"/>
      <c r="S150" s="39"/>
      <c r="T150" s="39"/>
      <c r="U150" s="39"/>
      <c r="V150" s="41"/>
    </row>
    <row r="151" spans="1:22" ht="15.75">
      <c r="A151" s="42"/>
      <c r="B151" s="35" t="s">
        <v>58</v>
      </c>
      <c r="C151" s="43">
        <f>C152/C150</f>
        <v>1.2084034416826004</v>
      </c>
      <c r="D151" s="44">
        <f t="shared" ref="D151:N151" si="81">D152/D150</f>
        <v>1.1306989247311827</v>
      </c>
      <c r="E151" s="43">
        <f t="shared" si="81"/>
        <v>1.1306995412844036</v>
      </c>
      <c r="F151" s="44">
        <f t="shared" si="81"/>
        <v>1.1307042253521127</v>
      </c>
      <c r="G151" s="43">
        <f t="shared" si="81"/>
        <v>1.097893982808023</v>
      </c>
      <c r="H151" s="44">
        <f t="shared" si="81"/>
        <v>1.0979310344827586</v>
      </c>
      <c r="I151" s="43">
        <f t="shared" si="81"/>
        <v>1.0944032258064516</v>
      </c>
      <c r="J151" s="44">
        <f t="shared" si="81"/>
        <v>1.0944014084507041</v>
      </c>
      <c r="K151" s="43">
        <f t="shared" si="81"/>
        <v>1.092793388429752</v>
      </c>
      <c r="L151" s="44">
        <f t="shared" si="81"/>
        <v>1.092805049088359</v>
      </c>
      <c r="M151" s="43">
        <f t="shared" si="81"/>
        <v>1.0928064516129032</v>
      </c>
      <c r="N151" s="44">
        <f t="shared" si="81"/>
        <v>1.0922140221402215</v>
      </c>
      <c r="O151" s="45">
        <f>IF(O150=0,0,+O152/O150)</f>
        <v>1.1184666356661244</v>
      </c>
      <c r="Q151" s="33"/>
      <c r="R151" s="46"/>
      <c r="S151" s="46"/>
      <c r="T151" s="47"/>
      <c r="U151" s="47"/>
      <c r="V151" s="41"/>
    </row>
    <row r="152" spans="1:22">
      <c r="A152" s="42"/>
      <c r="B152" s="35" t="s">
        <v>15</v>
      </c>
      <c r="C152" s="48">
        <v>1263.99</v>
      </c>
      <c r="D152" s="49">
        <v>1051.55</v>
      </c>
      <c r="E152" s="48">
        <v>985.97</v>
      </c>
      <c r="F152" s="49">
        <v>722.52</v>
      </c>
      <c r="G152" s="48">
        <v>766.33</v>
      </c>
      <c r="H152" s="49">
        <v>127.36</v>
      </c>
      <c r="I152" s="36">
        <f>'[9]July 2011 KRS '!$L$13</f>
        <v>1357.06</v>
      </c>
      <c r="J152" s="49">
        <v>932.43</v>
      </c>
      <c r="K152" s="48">
        <v>661.14</v>
      </c>
      <c r="L152" s="49">
        <v>779.17</v>
      </c>
      <c r="M152" s="48">
        <v>677.54</v>
      </c>
      <c r="N152" s="49">
        <v>295.99</v>
      </c>
      <c r="O152" s="50">
        <f>SUM(C152:N152)</f>
        <v>9621.0500000000011</v>
      </c>
      <c r="Q152" s="33"/>
      <c r="R152" s="40"/>
      <c r="S152" s="40"/>
      <c r="T152" s="40"/>
      <c r="U152" s="40"/>
      <c r="V152" s="41"/>
    </row>
    <row r="153" spans="1:22" ht="16.5" thickBot="1">
      <c r="A153" s="51"/>
      <c r="B153" s="52" t="s">
        <v>59</v>
      </c>
      <c r="C153" s="53">
        <f t="shared" ref="C153:O153" si="82">C152/C$103</f>
        <v>2.1751266109228702</v>
      </c>
      <c r="D153" s="54">
        <f t="shared" si="82"/>
        <v>2.1823136197704267</v>
      </c>
      <c r="E153" s="53">
        <f t="shared" si="82"/>
        <v>1.9063280027996421</v>
      </c>
      <c r="F153" s="54">
        <f t="shared" si="82"/>
        <v>1.4215586935007545</v>
      </c>
      <c r="G153" s="53">
        <f t="shared" si="82"/>
        <v>1.2365007575549773</v>
      </c>
      <c r="H153" s="54">
        <f t="shared" si="82"/>
        <v>0.17375099419784093</v>
      </c>
      <c r="I153" s="53">
        <f t="shared" si="82"/>
        <v>1.7936981459770462</v>
      </c>
      <c r="J153" s="54">
        <f t="shared" si="82"/>
        <v>1.2719834336445435</v>
      </c>
      <c r="K153" s="53">
        <f t="shared" si="82"/>
        <v>1.0737672968232312</v>
      </c>
      <c r="L153" s="54">
        <f t="shared" si="82"/>
        <v>1.2978314786221001</v>
      </c>
      <c r="M153" s="53">
        <f t="shared" si="82"/>
        <v>1.3820549484845208</v>
      </c>
      <c r="N153" s="54">
        <f t="shared" si="82"/>
        <v>0.57006883428540622</v>
      </c>
      <c r="O153" s="55">
        <f t="shared" si="82"/>
        <v>1.3444064750840337</v>
      </c>
      <c r="Q153" s="33"/>
      <c r="R153" s="56"/>
      <c r="S153" s="56"/>
      <c r="T153" s="57"/>
      <c r="U153" s="57"/>
      <c r="V153" s="41"/>
    </row>
    <row r="154" spans="1:22">
      <c r="A154" s="28" t="s">
        <v>70</v>
      </c>
      <c r="B154" s="29" t="s">
        <v>55</v>
      </c>
      <c r="C154" s="30">
        <f>'[10]Lex WTPs 2007-2009'!G57</f>
        <v>0</v>
      </c>
      <c r="D154" s="31">
        <f>'[10]Lex WTPs 2007-2009'!L57</f>
        <v>0</v>
      </c>
      <c r="E154" s="30">
        <f>'[10]Lex WTPs 2007-2009'!Q57</f>
        <v>0</v>
      </c>
      <c r="F154" s="31">
        <f>'[10]Lex WTPs 2007-2009'!V57</f>
        <v>0</v>
      </c>
      <c r="G154" s="30">
        <f>'[10]Lex WTPs 2007-2009'!AA57</f>
        <v>0</v>
      </c>
      <c r="H154" s="31">
        <f>H155/H$103</f>
        <v>0</v>
      </c>
      <c r="I154" s="30">
        <f>'[10]Lex WTPs 2007-2009'!AK57</f>
        <v>1.5796026706846475</v>
      </c>
      <c r="J154" s="31">
        <v>0</v>
      </c>
      <c r="K154" s="30">
        <v>0</v>
      </c>
      <c r="L154" s="31">
        <v>0</v>
      </c>
      <c r="M154" s="30">
        <v>0</v>
      </c>
      <c r="N154" s="31">
        <f>'[10]Lex WTPs 2007-2009'!BJ57</f>
        <v>0</v>
      </c>
      <c r="O154" s="32">
        <f>O155/O$103</f>
        <v>0</v>
      </c>
      <c r="P154" s="9"/>
      <c r="Q154" s="9"/>
      <c r="R154" s="9"/>
      <c r="S154" s="9"/>
      <c r="T154" s="9"/>
      <c r="U154" s="9"/>
      <c r="V154" s="70"/>
    </row>
    <row r="155" spans="1:22">
      <c r="A155" s="34" t="s">
        <v>71</v>
      </c>
      <c r="B155" s="35" t="s">
        <v>57</v>
      </c>
      <c r="C155" s="65">
        <f>C$103*C154</f>
        <v>0</v>
      </c>
      <c r="D155" s="66">
        <f>D$103*D154</f>
        <v>0</v>
      </c>
      <c r="E155" s="65">
        <f>E$103*E154</f>
        <v>0</v>
      </c>
      <c r="F155" s="66">
        <f>F$103*F154</f>
        <v>0</v>
      </c>
      <c r="G155" s="65">
        <f>G$103*G154</f>
        <v>0</v>
      </c>
      <c r="H155" s="66">
        <v>0</v>
      </c>
      <c r="I155" s="65">
        <f>-'[9]July 2011 KRS '!$J$14</f>
        <v>0</v>
      </c>
      <c r="J155" s="66">
        <v>0</v>
      </c>
      <c r="K155" s="65">
        <v>0</v>
      </c>
      <c r="L155" s="66">
        <v>0</v>
      </c>
      <c r="M155" s="65">
        <v>0</v>
      </c>
      <c r="N155" s="66">
        <f>N$103*N154</f>
        <v>0</v>
      </c>
      <c r="O155" s="67">
        <f>SUM(C155:N155)</f>
        <v>0</v>
      </c>
      <c r="R155" s="15"/>
      <c r="S155" s="15"/>
      <c r="T155" s="15"/>
      <c r="U155" s="15"/>
      <c r="V155" s="71"/>
    </row>
    <row r="156" spans="1:22" ht="15.75">
      <c r="A156" s="34" t="s">
        <v>56</v>
      </c>
      <c r="B156" s="35" t="s">
        <v>58</v>
      </c>
      <c r="C156" s="43">
        <f>'[10]Price Changes'!$F$31</f>
        <v>2.6780000000000004</v>
      </c>
      <c r="D156" s="44">
        <f>'[10]Price Changes'!$F$31</f>
        <v>2.6780000000000004</v>
      </c>
      <c r="E156" s="43">
        <f>'[10]Price Changes'!$F$31</f>
        <v>2.6780000000000004</v>
      </c>
      <c r="F156" s="44">
        <f>'[10]Price Changes'!$F$31</f>
        <v>2.6780000000000004</v>
      </c>
      <c r="G156" s="43">
        <f>'[10]Price Changes'!$F$31</f>
        <v>2.6780000000000004</v>
      </c>
      <c r="H156" s="44">
        <f>'[10]Price Changes'!$F$31</f>
        <v>2.6780000000000004</v>
      </c>
      <c r="I156" s="43">
        <f>'[10]Price Changes'!$F$31</f>
        <v>2.6780000000000004</v>
      </c>
      <c r="J156" s="44">
        <f>'[10]Price Changes'!$F$31</f>
        <v>2.6780000000000004</v>
      </c>
      <c r="K156" s="43">
        <f>'[10]Price Changes'!$F$31</f>
        <v>2.6780000000000004</v>
      </c>
      <c r="L156" s="44">
        <f>'[10]Price Changes'!$F$31</f>
        <v>2.6780000000000004</v>
      </c>
      <c r="M156" s="43">
        <f>'[10]Price Changes'!$F$31</f>
        <v>2.6780000000000004</v>
      </c>
      <c r="N156" s="44">
        <f>'[10]Price Changes'!$F$31</f>
        <v>2.6780000000000004</v>
      </c>
      <c r="O156" s="45">
        <f>IF(O155=0,0,+O157/O155)</f>
        <v>0</v>
      </c>
      <c r="R156" s="72"/>
      <c r="S156" s="15"/>
      <c r="T156" s="72"/>
      <c r="U156" s="15"/>
      <c r="V156" s="15"/>
    </row>
    <row r="157" spans="1:22">
      <c r="A157" s="42"/>
      <c r="B157" s="35" t="s">
        <v>15</v>
      </c>
      <c r="C157" s="48">
        <f t="shared" ref="C157:H157" si="83">C155*C156</f>
        <v>0</v>
      </c>
      <c r="D157" s="49">
        <f t="shared" si="83"/>
        <v>0</v>
      </c>
      <c r="E157" s="48">
        <f t="shared" si="83"/>
        <v>0</v>
      </c>
      <c r="F157" s="49">
        <f t="shared" si="83"/>
        <v>0</v>
      </c>
      <c r="G157" s="48">
        <f t="shared" si="83"/>
        <v>0</v>
      </c>
      <c r="H157" s="49">
        <f t="shared" si="83"/>
        <v>0</v>
      </c>
      <c r="I157" s="65">
        <f>'[9]July 2011 KRS '!$L$14</f>
        <v>0</v>
      </c>
      <c r="J157" s="49">
        <f>J155*J156</f>
        <v>0</v>
      </c>
      <c r="K157" s="48">
        <f>K155*K156</f>
        <v>0</v>
      </c>
      <c r="L157" s="49">
        <f>L155*L156</f>
        <v>0</v>
      </c>
      <c r="M157" s="48">
        <f>M155*M156</f>
        <v>0</v>
      </c>
      <c r="N157" s="49">
        <f>N155*N156</f>
        <v>0</v>
      </c>
      <c r="O157" s="50">
        <f>SUM(C157:N157)</f>
        <v>0</v>
      </c>
      <c r="R157" s="15"/>
      <c r="S157" s="15"/>
      <c r="T157" s="15"/>
      <c r="U157" s="15"/>
      <c r="V157" s="15"/>
    </row>
    <row r="158" spans="1:22" ht="13.5" thickBot="1">
      <c r="A158" s="51"/>
      <c r="B158" s="52" t="s">
        <v>59</v>
      </c>
      <c r="C158" s="53">
        <f t="shared" ref="C158:O158" si="84">C157/C$103</f>
        <v>0</v>
      </c>
      <c r="D158" s="54">
        <f t="shared" si="84"/>
        <v>0</v>
      </c>
      <c r="E158" s="53">
        <f t="shared" si="84"/>
        <v>0</v>
      </c>
      <c r="F158" s="54">
        <f t="shared" si="84"/>
        <v>0</v>
      </c>
      <c r="G158" s="53">
        <f t="shared" si="84"/>
        <v>0</v>
      </c>
      <c r="H158" s="54">
        <f t="shared" si="84"/>
        <v>0</v>
      </c>
      <c r="I158" s="53">
        <f t="shared" si="84"/>
        <v>0</v>
      </c>
      <c r="J158" s="54">
        <f t="shared" si="84"/>
        <v>0</v>
      </c>
      <c r="K158" s="53">
        <f t="shared" si="84"/>
        <v>0</v>
      </c>
      <c r="L158" s="54">
        <f t="shared" si="84"/>
        <v>0</v>
      </c>
      <c r="M158" s="53">
        <f t="shared" si="84"/>
        <v>0</v>
      </c>
      <c r="N158" s="54">
        <f t="shared" si="84"/>
        <v>0</v>
      </c>
      <c r="O158" s="55">
        <f t="shared" si="84"/>
        <v>0</v>
      </c>
      <c r="S158" s="8"/>
      <c r="V158" s="41"/>
    </row>
    <row r="159" spans="1:22">
      <c r="A159" s="28" t="s">
        <v>72</v>
      </c>
      <c r="B159" s="29" t="s">
        <v>55</v>
      </c>
      <c r="C159" s="30">
        <f>C160/C$103</f>
        <v>4.1300199101376505</v>
      </c>
      <c r="D159" s="31">
        <f t="shared" ref="D159:O159" si="85">D160/D$103</f>
        <v>4.4619602325200116</v>
      </c>
      <c r="E159" s="30">
        <f t="shared" si="85"/>
        <v>5.7616940153786969</v>
      </c>
      <c r="F159" s="31">
        <f t="shared" si="85"/>
        <v>3.8759766182202382</v>
      </c>
      <c r="G159" s="30">
        <f t="shared" si="85"/>
        <v>3.7111319436488821</v>
      </c>
      <c r="H159" s="31">
        <f t="shared" si="85"/>
        <v>4.0927526899617055</v>
      </c>
      <c r="I159" s="30">
        <f t="shared" si="85"/>
        <v>3.7009084408469262</v>
      </c>
      <c r="J159" s="31">
        <f t="shared" si="85"/>
        <v>2.9329433655456909</v>
      </c>
      <c r="K159" s="30">
        <f t="shared" si="85"/>
        <v>3.9790814006366531</v>
      </c>
      <c r="L159" s="31">
        <f t="shared" si="85"/>
        <v>4.1641473575153691</v>
      </c>
      <c r="M159" s="30">
        <f t="shared" si="85"/>
        <v>11.320962546992194</v>
      </c>
      <c r="N159" s="31">
        <f t="shared" si="85"/>
        <v>2.6000639423132483</v>
      </c>
      <c r="O159" s="32">
        <f t="shared" si="85"/>
        <v>4.4156557353568955</v>
      </c>
      <c r="Q159" s="33"/>
    </row>
    <row r="160" spans="1:22">
      <c r="A160" s="34" t="s">
        <v>56</v>
      </c>
      <c r="B160" s="35" t="s">
        <v>57</v>
      </c>
      <c r="C160" s="36">
        <v>2400</v>
      </c>
      <c r="D160" s="37">
        <v>2150</v>
      </c>
      <c r="E160" s="36">
        <v>2980</v>
      </c>
      <c r="F160" s="37">
        <v>1970</v>
      </c>
      <c r="G160" s="36">
        <v>2300</v>
      </c>
      <c r="H160" s="37">
        <v>3000</v>
      </c>
      <c r="I160" s="36">
        <f>-'[9]July 2011 KRS '!$J$15</f>
        <v>2800</v>
      </c>
      <c r="J160" s="37">
        <v>2150</v>
      </c>
      <c r="K160" s="36">
        <v>2450</v>
      </c>
      <c r="L160" s="37">
        <v>2500</v>
      </c>
      <c r="M160" s="36">
        <v>5550</v>
      </c>
      <c r="N160" s="37">
        <v>1350</v>
      </c>
      <c r="O160" s="38">
        <f>SUM(C160:N160)</f>
        <v>31600</v>
      </c>
      <c r="Q160" s="33"/>
      <c r="R160" s="57"/>
      <c r="S160" s="57"/>
      <c r="T160" s="57"/>
      <c r="U160" s="60"/>
      <c r="V160" s="41"/>
    </row>
    <row r="161" spans="1:23" ht="15.75">
      <c r="A161" s="42"/>
      <c r="B161" s="35" t="s">
        <v>58</v>
      </c>
      <c r="C161" s="43">
        <f>C162/C160</f>
        <v>0.18260000000000001</v>
      </c>
      <c r="D161" s="44">
        <f t="shared" ref="D161:N161" si="86">D162/D160</f>
        <v>0.1502</v>
      </c>
      <c r="E161" s="43">
        <f t="shared" si="86"/>
        <v>0.1502013422818792</v>
      </c>
      <c r="F161" s="44">
        <f t="shared" si="86"/>
        <v>0.1421979695431472</v>
      </c>
      <c r="G161" s="43">
        <f t="shared" si="86"/>
        <v>0.14219999999999999</v>
      </c>
      <c r="H161" s="44">
        <f t="shared" si="86"/>
        <v>0.1406</v>
      </c>
      <c r="I161" s="43">
        <f t="shared" si="86"/>
        <v>0.14029999999999998</v>
      </c>
      <c r="J161" s="44">
        <f t="shared" si="86"/>
        <v>0.14030232558139533</v>
      </c>
      <c r="K161" s="43">
        <f t="shared" si="86"/>
        <v>0.14010204081632652</v>
      </c>
      <c r="L161" s="44">
        <f t="shared" si="86"/>
        <v>0.1401</v>
      </c>
      <c r="M161" s="43">
        <f t="shared" si="86"/>
        <v>0.14000000000000001</v>
      </c>
      <c r="N161" s="44">
        <f t="shared" si="86"/>
        <v>0.14000000000000001</v>
      </c>
      <c r="O161" s="45">
        <f>IF(O160=0,0,+O162/O160)</f>
        <v>0.14530854430379747</v>
      </c>
      <c r="Q161" s="33"/>
      <c r="R161" s="46"/>
      <c r="S161" s="46"/>
      <c r="T161" s="47"/>
      <c r="U161" s="47"/>
      <c r="V161" s="41"/>
    </row>
    <row r="162" spans="1:23">
      <c r="A162" s="42"/>
      <c r="B162" s="35" t="s">
        <v>15</v>
      </c>
      <c r="C162" s="48">
        <v>438.24</v>
      </c>
      <c r="D162" s="49">
        <v>322.93</v>
      </c>
      <c r="E162" s="48">
        <v>447.6</v>
      </c>
      <c r="F162" s="49">
        <v>280.13</v>
      </c>
      <c r="G162" s="48">
        <v>327.06</v>
      </c>
      <c r="H162" s="49">
        <v>421.8</v>
      </c>
      <c r="I162" s="36">
        <f>'[9]July 2011 KRS '!$L$15</f>
        <v>392.84</v>
      </c>
      <c r="J162" s="49">
        <v>301.64999999999998</v>
      </c>
      <c r="K162" s="48">
        <v>343.25</v>
      </c>
      <c r="L162" s="49">
        <v>350.25</v>
      </c>
      <c r="M162" s="48">
        <v>777</v>
      </c>
      <c r="N162" s="49">
        <v>189</v>
      </c>
      <c r="O162" s="50">
        <f>SUM(C162:N162)</f>
        <v>4591.75</v>
      </c>
      <c r="Q162" s="33"/>
      <c r="R162" s="40"/>
      <c r="S162" s="40"/>
      <c r="T162" s="40"/>
      <c r="U162" s="40"/>
      <c r="V162" s="41"/>
    </row>
    <row r="163" spans="1:23" ht="16.5" thickBot="1">
      <c r="A163" s="51"/>
      <c r="B163" s="52" t="s">
        <v>59</v>
      </c>
      <c r="C163" s="53">
        <f t="shared" ref="C163:O163" si="87">C162/C$103</f>
        <v>0.7541416355911349</v>
      </c>
      <c r="D163" s="54">
        <f t="shared" si="87"/>
        <v>0.6701864269245057</v>
      </c>
      <c r="E163" s="53">
        <f t="shared" si="87"/>
        <v>0.86541417492735062</v>
      </c>
      <c r="F163" s="54">
        <f t="shared" si="87"/>
        <v>0.55115600510763207</v>
      </c>
      <c r="G163" s="53">
        <f t="shared" si="87"/>
        <v>0.527722962386871</v>
      </c>
      <c r="H163" s="54">
        <f t="shared" si="87"/>
        <v>0.57544102820861576</v>
      </c>
      <c r="I163" s="53">
        <f t="shared" si="87"/>
        <v>0.51923745425082368</v>
      </c>
      <c r="J163" s="54">
        <f t="shared" si="87"/>
        <v>0.41149877498458493</v>
      </c>
      <c r="K163" s="53">
        <f t="shared" si="87"/>
        <v>0.55747742480348206</v>
      </c>
      <c r="L163" s="54">
        <f t="shared" si="87"/>
        <v>0.58339704478790322</v>
      </c>
      <c r="M163" s="53">
        <f t="shared" si="87"/>
        <v>1.5849347565789071</v>
      </c>
      <c r="N163" s="54">
        <f t="shared" si="87"/>
        <v>0.36400895192385474</v>
      </c>
      <c r="O163" s="55">
        <f t="shared" si="87"/>
        <v>0.64163250705142483</v>
      </c>
      <c r="Q163" s="33"/>
      <c r="R163" s="56"/>
      <c r="S163" s="56"/>
      <c r="T163" s="57"/>
      <c r="U163" s="57"/>
      <c r="V163" s="41"/>
    </row>
    <row r="164" spans="1:23">
      <c r="A164" s="181" t="s">
        <v>73</v>
      </c>
      <c r="B164" s="29" t="s">
        <v>55</v>
      </c>
      <c r="C164" s="30">
        <v>0</v>
      </c>
      <c r="D164" s="31">
        <v>0</v>
      </c>
      <c r="E164" s="30">
        <v>0</v>
      </c>
      <c r="F164" s="31">
        <v>0</v>
      </c>
      <c r="G164" s="30">
        <v>0</v>
      </c>
      <c r="H164" s="31">
        <v>0</v>
      </c>
      <c r="I164" s="30">
        <v>0</v>
      </c>
      <c r="J164" s="31">
        <v>0</v>
      </c>
      <c r="K164" s="30">
        <v>0</v>
      </c>
      <c r="L164" s="31">
        <v>0</v>
      </c>
      <c r="M164" s="30">
        <v>0</v>
      </c>
      <c r="N164" s="31">
        <v>0</v>
      </c>
      <c r="O164" s="32">
        <f>O165/O$103</f>
        <v>0</v>
      </c>
      <c r="Q164" s="33"/>
    </row>
    <row r="165" spans="1:23">
      <c r="A165" s="103" t="s">
        <v>64</v>
      </c>
      <c r="B165" s="35" t="s">
        <v>57</v>
      </c>
      <c r="C165" s="65">
        <f t="shared" ref="C165:N165" si="88">C$103*C164</f>
        <v>0</v>
      </c>
      <c r="D165" s="66">
        <f t="shared" si="88"/>
        <v>0</v>
      </c>
      <c r="E165" s="65">
        <f t="shared" si="88"/>
        <v>0</v>
      </c>
      <c r="F165" s="66">
        <f t="shared" si="88"/>
        <v>0</v>
      </c>
      <c r="G165" s="65">
        <f t="shared" si="88"/>
        <v>0</v>
      </c>
      <c r="H165" s="66">
        <f t="shared" si="88"/>
        <v>0</v>
      </c>
      <c r="I165" s="65">
        <f t="shared" si="88"/>
        <v>0</v>
      </c>
      <c r="J165" s="66">
        <f t="shared" si="88"/>
        <v>0</v>
      </c>
      <c r="K165" s="65">
        <f t="shared" si="88"/>
        <v>0</v>
      </c>
      <c r="L165" s="66">
        <f t="shared" si="88"/>
        <v>0</v>
      </c>
      <c r="M165" s="65">
        <f t="shared" si="88"/>
        <v>0</v>
      </c>
      <c r="N165" s="66">
        <f t="shared" si="88"/>
        <v>0</v>
      </c>
      <c r="O165" s="67">
        <f>SUM(C165:N165)</f>
        <v>0</v>
      </c>
      <c r="Q165" s="33"/>
      <c r="R165" s="57"/>
      <c r="S165" s="57"/>
      <c r="T165" s="57"/>
      <c r="U165" s="60"/>
      <c r="V165" s="41"/>
      <c r="W165" s="8"/>
    </row>
    <row r="166" spans="1:23" ht="15.75">
      <c r="A166" s="42"/>
      <c r="B166" s="35" t="s">
        <v>58</v>
      </c>
      <c r="C166" s="43">
        <f>C70</f>
        <v>0</v>
      </c>
      <c r="D166" s="44">
        <f t="shared" ref="D166:N166" si="89">C166</f>
        <v>0</v>
      </c>
      <c r="E166" s="43">
        <f t="shared" si="89"/>
        <v>0</v>
      </c>
      <c r="F166" s="44">
        <f t="shared" si="89"/>
        <v>0</v>
      </c>
      <c r="G166" s="43">
        <f t="shared" si="89"/>
        <v>0</v>
      </c>
      <c r="H166" s="44">
        <f t="shared" si="89"/>
        <v>0</v>
      </c>
      <c r="I166" s="43">
        <f t="shared" si="89"/>
        <v>0</v>
      </c>
      <c r="J166" s="44">
        <f t="shared" si="89"/>
        <v>0</v>
      </c>
      <c r="K166" s="43">
        <f t="shared" si="89"/>
        <v>0</v>
      </c>
      <c r="L166" s="44">
        <f t="shared" si="89"/>
        <v>0</v>
      </c>
      <c r="M166" s="43">
        <f t="shared" si="89"/>
        <v>0</v>
      </c>
      <c r="N166" s="44">
        <f t="shared" si="89"/>
        <v>0</v>
      </c>
      <c r="O166" s="45">
        <f>IF(O165=0,0,+O167/O165)</f>
        <v>0</v>
      </c>
      <c r="Q166" s="33"/>
      <c r="R166" s="46"/>
      <c r="S166" s="46"/>
      <c r="T166" s="46"/>
      <c r="U166" s="47"/>
      <c r="V166" s="41"/>
      <c r="W166" s="8"/>
    </row>
    <row r="167" spans="1:23">
      <c r="A167" s="42"/>
      <c r="B167" s="35" t="s">
        <v>15</v>
      </c>
      <c r="C167" s="48">
        <f t="shared" ref="C167:N167" si="90">C165*C166</f>
        <v>0</v>
      </c>
      <c r="D167" s="49">
        <f t="shared" si="90"/>
        <v>0</v>
      </c>
      <c r="E167" s="48">
        <f t="shared" si="90"/>
        <v>0</v>
      </c>
      <c r="F167" s="49">
        <f t="shared" si="90"/>
        <v>0</v>
      </c>
      <c r="G167" s="48">
        <f t="shared" si="90"/>
        <v>0</v>
      </c>
      <c r="H167" s="49">
        <f t="shared" si="90"/>
        <v>0</v>
      </c>
      <c r="I167" s="48">
        <f t="shared" si="90"/>
        <v>0</v>
      </c>
      <c r="J167" s="49">
        <f t="shared" si="90"/>
        <v>0</v>
      </c>
      <c r="K167" s="48">
        <f t="shared" si="90"/>
        <v>0</v>
      </c>
      <c r="L167" s="49">
        <f t="shared" si="90"/>
        <v>0</v>
      </c>
      <c r="M167" s="48">
        <f t="shared" si="90"/>
        <v>0</v>
      </c>
      <c r="N167" s="49">
        <f t="shared" si="90"/>
        <v>0</v>
      </c>
      <c r="O167" s="50">
        <f>SUM(C167:N167)</f>
        <v>0</v>
      </c>
      <c r="Q167" s="33"/>
      <c r="R167" s="40"/>
      <c r="S167" s="40"/>
      <c r="T167" s="40"/>
      <c r="U167" s="40"/>
      <c r="V167" s="41"/>
      <c r="W167" s="8"/>
    </row>
    <row r="168" spans="1:23" ht="16.5" thickBot="1">
      <c r="A168" s="51"/>
      <c r="B168" s="52" t="s">
        <v>59</v>
      </c>
      <c r="C168" s="53">
        <f t="shared" ref="C168:O168" si="91">C167/C$103</f>
        <v>0</v>
      </c>
      <c r="D168" s="54">
        <f t="shared" si="91"/>
        <v>0</v>
      </c>
      <c r="E168" s="53">
        <f t="shared" si="91"/>
        <v>0</v>
      </c>
      <c r="F168" s="54">
        <f t="shared" si="91"/>
        <v>0</v>
      </c>
      <c r="G168" s="53">
        <f t="shared" si="91"/>
        <v>0</v>
      </c>
      <c r="H168" s="54">
        <f t="shared" si="91"/>
        <v>0</v>
      </c>
      <c r="I168" s="53">
        <f t="shared" si="91"/>
        <v>0</v>
      </c>
      <c r="J168" s="54">
        <f t="shared" si="91"/>
        <v>0</v>
      </c>
      <c r="K168" s="53">
        <f t="shared" si="91"/>
        <v>0</v>
      </c>
      <c r="L168" s="54">
        <f t="shared" si="91"/>
        <v>0</v>
      </c>
      <c r="M168" s="53">
        <f t="shared" si="91"/>
        <v>0</v>
      </c>
      <c r="N168" s="54">
        <f t="shared" si="91"/>
        <v>0</v>
      </c>
      <c r="O168" s="55">
        <f t="shared" si="91"/>
        <v>0</v>
      </c>
      <c r="Q168" s="33"/>
      <c r="R168" s="56"/>
      <c r="S168" s="56"/>
      <c r="T168" s="56"/>
      <c r="U168" s="57"/>
      <c r="V168" s="41"/>
      <c r="W168" s="8"/>
    </row>
    <row r="169" spans="1:23">
      <c r="A169" s="28" t="s">
        <v>74</v>
      </c>
      <c r="B169" s="29" t="s">
        <v>55</v>
      </c>
      <c r="C169" s="30">
        <f>C170/C$103</f>
        <v>0</v>
      </c>
      <c r="D169" s="31">
        <f t="shared" ref="D169:O169" si="92">D170/D$103</f>
        <v>0</v>
      </c>
      <c r="E169" s="30">
        <f t="shared" si="92"/>
        <v>36.795570069353012</v>
      </c>
      <c r="F169" s="31">
        <f t="shared" si="92"/>
        <v>52.337489350901805</v>
      </c>
      <c r="G169" s="30">
        <f t="shared" si="92"/>
        <v>42.20525141305383</v>
      </c>
      <c r="H169" s="31">
        <f t="shared" si="92"/>
        <v>29.376414557648467</v>
      </c>
      <c r="I169" s="30">
        <f t="shared" si="92"/>
        <v>45.256823219499559</v>
      </c>
      <c r="J169" s="31">
        <f t="shared" si="92"/>
        <v>15.494125928310678</v>
      </c>
      <c r="K169" s="30">
        <f t="shared" si="92"/>
        <v>1.6403560059767426</v>
      </c>
      <c r="L169" s="31">
        <f t="shared" si="92"/>
        <v>0</v>
      </c>
      <c r="M169" s="30">
        <f t="shared" si="92"/>
        <v>7.0740717320664732</v>
      </c>
      <c r="N169" s="31">
        <f t="shared" si="92"/>
        <v>21.035480279959479</v>
      </c>
      <c r="O169" s="32">
        <f t="shared" si="92"/>
        <v>21.56405041393279</v>
      </c>
      <c r="Q169" s="33"/>
    </row>
    <row r="170" spans="1:23">
      <c r="A170" s="103" t="s">
        <v>64</v>
      </c>
      <c r="B170" s="35" t="s">
        <v>57</v>
      </c>
      <c r="C170" s="36">
        <v>0</v>
      </c>
      <c r="D170" s="37">
        <v>0</v>
      </c>
      <c r="E170" s="36">
        <v>19031</v>
      </c>
      <c r="F170" s="37">
        <v>26601</v>
      </c>
      <c r="G170" s="36">
        <v>26157</v>
      </c>
      <c r="H170" s="37">
        <v>21533</v>
      </c>
      <c r="I170" s="36">
        <f>-'[9]July 2011 KRS '!$J$16</f>
        <v>34240</v>
      </c>
      <c r="J170" s="37">
        <v>11358</v>
      </c>
      <c r="K170" s="36">
        <v>1010</v>
      </c>
      <c r="L170" s="37">
        <v>0</v>
      </c>
      <c r="M170" s="36">
        <v>3468</v>
      </c>
      <c r="N170" s="37">
        <v>10922</v>
      </c>
      <c r="O170" s="38">
        <f>SUM(C170:N170)</f>
        <v>154320</v>
      </c>
      <c r="Q170" s="33"/>
      <c r="R170" s="57"/>
      <c r="S170" s="57"/>
      <c r="T170" s="57"/>
      <c r="U170" s="60"/>
      <c r="V170" s="41"/>
      <c r="W170" s="8"/>
    </row>
    <row r="171" spans="1:23" ht="15.75">
      <c r="A171" s="42"/>
      <c r="B171" s="35" t="s">
        <v>58</v>
      </c>
      <c r="C171" s="43" t="e">
        <f>C172/C170</f>
        <v>#DIV/0!</v>
      </c>
      <c r="D171" s="44" t="e">
        <f t="shared" ref="D171:N171" si="93">D172/D170</f>
        <v>#DIV/0!</v>
      </c>
      <c r="E171" s="43">
        <f t="shared" si="93"/>
        <v>8.0999947454153745E-2</v>
      </c>
      <c r="F171" s="44">
        <f t="shared" si="93"/>
        <v>8.099996240742828E-2</v>
      </c>
      <c r="G171" s="43">
        <f t="shared" si="93"/>
        <v>0.10500019115341973</v>
      </c>
      <c r="H171" s="44">
        <f t="shared" si="93"/>
        <v>0.10500023220173686</v>
      </c>
      <c r="I171" s="43">
        <f t="shared" si="93"/>
        <v>0.11829994158878505</v>
      </c>
      <c r="J171" s="44">
        <f t="shared" si="93"/>
        <v>0.1243000528262018</v>
      </c>
      <c r="K171" s="43">
        <f t="shared" si="93"/>
        <v>0.1242970297029703</v>
      </c>
      <c r="L171" s="44" t="e">
        <f t="shared" si="93"/>
        <v>#DIV/0!</v>
      </c>
      <c r="M171" s="43">
        <f t="shared" si="93"/>
        <v>0.1242993079584775</v>
      </c>
      <c r="N171" s="44">
        <f t="shared" si="93"/>
        <v>0.1242995788317158</v>
      </c>
      <c r="O171" s="45">
        <f>IF(O170=0,0,+O172/O170)</f>
        <v>0.10420068688439606</v>
      </c>
      <c r="Q171" s="33"/>
      <c r="R171" s="46"/>
      <c r="S171" s="46"/>
      <c r="T171" s="46"/>
      <c r="U171" s="47"/>
      <c r="V171" s="41"/>
      <c r="W171" s="8"/>
    </row>
    <row r="172" spans="1:23">
      <c r="A172" s="42"/>
      <c r="B172" s="35" t="s">
        <v>15</v>
      </c>
      <c r="C172" s="48">
        <v>0</v>
      </c>
      <c r="D172" s="49">
        <v>0</v>
      </c>
      <c r="E172" s="48">
        <v>1541.51</v>
      </c>
      <c r="F172" s="49">
        <v>2154.6799999999998</v>
      </c>
      <c r="G172" s="48">
        <v>2746.49</v>
      </c>
      <c r="H172" s="49">
        <v>2260.9699999999998</v>
      </c>
      <c r="I172" s="36">
        <f>'[9]July 2011 KRS '!$L$16</f>
        <v>4050.59</v>
      </c>
      <c r="J172" s="49">
        <v>1411.8</v>
      </c>
      <c r="K172" s="48">
        <v>125.54</v>
      </c>
      <c r="L172" s="49">
        <v>0</v>
      </c>
      <c r="M172" s="48">
        <v>431.07</v>
      </c>
      <c r="N172" s="49">
        <v>1357.6</v>
      </c>
      <c r="O172" s="50">
        <f>SUM(C172:N172)</f>
        <v>16080.25</v>
      </c>
      <c r="Q172" s="33"/>
      <c r="R172" s="40"/>
      <c r="S172" s="40"/>
      <c r="T172" s="40"/>
      <c r="U172" s="40"/>
      <c r="V172" s="41"/>
      <c r="W172" s="8"/>
    </row>
    <row r="173" spans="1:23" ht="16.5" thickBot="1">
      <c r="A173" s="51"/>
      <c r="B173" s="52" t="s">
        <v>59</v>
      </c>
      <c r="C173" s="53">
        <f t="shared" ref="C173:O173" si="94">C172/C$103</f>
        <v>0</v>
      </c>
      <c r="D173" s="54">
        <f t="shared" si="94"/>
        <v>0</v>
      </c>
      <c r="E173" s="53">
        <f t="shared" si="94"/>
        <v>2.9804392421632264</v>
      </c>
      <c r="F173" s="54">
        <f t="shared" si="94"/>
        <v>4.2393346699222239</v>
      </c>
      <c r="G173" s="53">
        <f t="shared" si="94"/>
        <v>4.4315594660487898</v>
      </c>
      <c r="H173" s="54">
        <f t="shared" si="94"/>
        <v>3.0845303498075718</v>
      </c>
      <c r="I173" s="53">
        <f t="shared" si="94"/>
        <v>5.3538795433607689</v>
      </c>
      <c r="J173" s="54">
        <f t="shared" si="94"/>
        <v>1.9259206713848402</v>
      </c>
      <c r="K173" s="53">
        <f t="shared" si="94"/>
        <v>0.20389137919833691</v>
      </c>
      <c r="L173" s="54">
        <f t="shared" si="94"/>
        <v>0</v>
      </c>
      <c r="M173" s="53">
        <f t="shared" si="94"/>
        <v>0.87930222074449094</v>
      </c>
      <c r="N173" s="54">
        <f t="shared" si="94"/>
        <v>2.6147013393218264</v>
      </c>
      <c r="O173" s="55">
        <f t="shared" si="94"/>
        <v>2.2469888651415419</v>
      </c>
      <c r="Q173" s="33"/>
      <c r="R173" s="56"/>
      <c r="S173" s="56"/>
      <c r="T173" s="56"/>
      <c r="U173" s="57"/>
      <c r="V173" s="41"/>
      <c r="W173" s="8"/>
    </row>
    <row r="174" spans="1:23">
      <c r="A174" s="181" t="s">
        <v>75</v>
      </c>
      <c r="B174" s="29" t="s">
        <v>55</v>
      </c>
      <c r="C174" s="30">
        <v>0</v>
      </c>
      <c r="D174" s="31">
        <v>0</v>
      </c>
      <c r="E174" s="30">
        <v>0</v>
      </c>
      <c r="F174" s="31">
        <v>0</v>
      </c>
      <c r="G174" s="30">
        <v>0</v>
      </c>
      <c r="H174" s="31">
        <v>0</v>
      </c>
      <c r="I174" s="30">
        <v>0</v>
      </c>
      <c r="J174" s="31">
        <v>0</v>
      </c>
      <c r="K174" s="30">
        <v>0</v>
      </c>
      <c r="L174" s="31">
        <v>0</v>
      </c>
      <c r="M174" s="30">
        <v>0</v>
      </c>
      <c r="N174" s="31">
        <v>0</v>
      </c>
      <c r="O174" s="32">
        <f>O175/O$103</f>
        <v>0</v>
      </c>
      <c r="P174" s="9"/>
      <c r="Q174" s="9"/>
      <c r="R174" s="9"/>
      <c r="S174" s="9"/>
      <c r="T174" s="9"/>
      <c r="U174" s="9"/>
      <c r="V174" s="70"/>
    </row>
    <row r="175" spans="1:23">
      <c r="A175" s="34" t="s">
        <v>71</v>
      </c>
      <c r="B175" s="35" t="s">
        <v>57</v>
      </c>
      <c r="C175" s="65">
        <f t="shared" ref="C175:I175" si="95">C$103*C174</f>
        <v>0</v>
      </c>
      <c r="D175" s="66">
        <f t="shared" si="95"/>
        <v>0</v>
      </c>
      <c r="E175" s="65">
        <f t="shared" si="95"/>
        <v>0</v>
      </c>
      <c r="F175" s="66">
        <f t="shared" si="95"/>
        <v>0</v>
      </c>
      <c r="G175" s="65">
        <f t="shared" si="95"/>
        <v>0</v>
      </c>
      <c r="H175" s="66">
        <f t="shared" si="95"/>
        <v>0</v>
      </c>
      <c r="I175" s="65">
        <f t="shared" si="95"/>
        <v>0</v>
      </c>
      <c r="J175" s="66">
        <v>0</v>
      </c>
      <c r="K175" s="65">
        <v>0</v>
      </c>
      <c r="L175" s="66">
        <v>0</v>
      </c>
      <c r="M175" s="65">
        <v>0</v>
      </c>
      <c r="N175" s="66">
        <f>N$103*N174</f>
        <v>0</v>
      </c>
      <c r="O175" s="67">
        <f>SUM(C175:N175)</f>
        <v>0</v>
      </c>
      <c r="R175" s="15"/>
      <c r="S175" s="15"/>
      <c r="T175" s="15"/>
      <c r="U175" s="15"/>
      <c r="V175" s="71"/>
    </row>
    <row r="176" spans="1:23" ht="15.75">
      <c r="A176" s="182" t="s">
        <v>64</v>
      </c>
      <c r="B176" s="35" t="s">
        <v>58</v>
      </c>
      <c r="C176" s="43">
        <f>'[10]Price Changes'!$F$35</f>
        <v>0.98365000000000002</v>
      </c>
      <c r="D176" s="44">
        <v>0.98365000000000002</v>
      </c>
      <c r="E176" s="43">
        <v>0.98365000000000002</v>
      </c>
      <c r="F176" s="44">
        <v>0.98365000000000002</v>
      </c>
      <c r="G176" s="43">
        <v>0.98365000000000002</v>
      </c>
      <c r="H176" s="44">
        <v>0.98365000000000002</v>
      </c>
      <c r="I176" s="43">
        <v>0.98365000000000002</v>
      </c>
      <c r="J176" s="44">
        <v>0.98365000000000002</v>
      </c>
      <c r="K176" s="43">
        <v>0.98365000000000002</v>
      </c>
      <c r="L176" s="44">
        <v>0.98365000000000002</v>
      </c>
      <c r="M176" s="43">
        <v>0.98365000000000002</v>
      </c>
      <c r="N176" s="44">
        <v>0.98365000000000002</v>
      </c>
      <c r="O176" s="45">
        <f>IF(O175=0,0,+O177/O175)</f>
        <v>0</v>
      </c>
      <c r="R176" s="72"/>
      <c r="S176" s="15"/>
      <c r="T176" s="72"/>
      <c r="U176" s="15"/>
      <c r="V176" s="15"/>
    </row>
    <row r="177" spans="1:22">
      <c r="A177" s="42"/>
      <c r="B177" s="35" t="s">
        <v>15</v>
      </c>
      <c r="C177" s="48">
        <f t="shared" ref="C177:N177" si="96">C175*C176</f>
        <v>0</v>
      </c>
      <c r="D177" s="49">
        <f t="shared" si="96"/>
        <v>0</v>
      </c>
      <c r="E177" s="48">
        <f t="shared" si="96"/>
        <v>0</v>
      </c>
      <c r="F177" s="49">
        <f t="shared" si="96"/>
        <v>0</v>
      </c>
      <c r="G177" s="48">
        <f t="shared" si="96"/>
        <v>0</v>
      </c>
      <c r="H177" s="49">
        <f t="shared" si="96"/>
        <v>0</v>
      </c>
      <c r="I177" s="48">
        <f t="shared" si="96"/>
        <v>0</v>
      </c>
      <c r="J177" s="49">
        <f t="shared" si="96"/>
        <v>0</v>
      </c>
      <c r="K177" s="48">
        <f t="shared" si="96"/>
        <v>0</v>
      </c>
      <c r="L177" s="49">
        <f t="shared" si="96"/>
        <v>0</v>
      </c>
      <c r="M177" s="48">
        <f t="shared" si="96"/>
        <v>0</v>
      </c>
      <c r="N177" s="49">
        <f t="shared" si="96"/>
        <v>0</v>
      </c>
      <c r="O177" s="50">
        <f>SUM(C177:N177)</f>
        <v>0</v>
      </c>
      <c r="R177" s="15"/>
      <c r="S177" s="15"/>
      <c r="T177" s="15"/>
      <c r="U177" s="15"/>
      <c r="V177" s="15"/>
    </row>
    <row r="178" spans="1:22" ht="13.5" thickBot="1">
      <c r="A178" s="51"/>
      <c r="B178" s="52" t="s">
        <v>59</v>
      </c>
      <c r="C178" s="53">
        <f t="shared" ref="C178:O178" si="97">C177/C$103</f>
        <v>0</v>
      </c>
      <c r="D178" s="54">
        <f t="shared" si="97"/>
        <v>0</v>
      </c>
      <c r="E178" s="53">
        <f t="shared" si="97"/>
        <v>0</v>
      </c>
      <c r="F178" s="54">
        <f t="shared" si="97"/>
        <v>0</v>
      </c>
      <c r="G178" s="53">
        <f t="shared" si="97"/>
        <v>0</v>
      </c>
      <c r="H178" s="54">
        <f t="shared" si="97"/>
        <v>0</v>
      </c>
      <c r="I178" s="53">
        <f t="shared" si="97"/>
        <v>0</v>
      </c>
      <c r="J178" s="54">
        <f t="shared" si="97"/>
        <v>0</v>
      </c>
      <c r="K178" s="53">
        <f t="shared" si="97"/>
        <v>0</v>
      </c>
      <c r="L178" s="54">
        <f t="shared" si="97"/>
        <v>0</v>
      </c>
      <c r="M178" s="53">
        <f t="shared" si="97"/>
        <v>0</v>
      </c>
      <c r="N178" s="54">
        <f t="shared" si="97"/>
        <v>0</v>
      </c>
      <c r="O178" s="55">
        <f t="shared" si="97"/>
        <v>0</v>
      </c>
      <c r="S178" s="8"/>
      <c r="V178" s="41"/>
    </row>
    <row r="179" spans="1:22">
      <c r="A179" s="181" t="s">
        <v>76</v>
      </c>
      <c r="B179" s="29" t="s">
        <v>55</v>
      </c>
      <c r="C179" s="30">
        <v>0</v>
      </c>
      <c r="D179" s="31">
        <v>0</v>
      </c>
      <c r="E179" s="30">
        <v>0</v>
      </c>
      <c r="F179" s="31">
        <v>0</v>
      </c>
      <c r="G179" s="30">
        <v>0</v>
      </c>
      <c r="H179" s="31">
        <v>0</v>
      </c>
      <c r="I179" s="30">
        <v>0</v>
      </c>
      <c r="J179" s="31">
        <v>0</v>
      </c>
      <c r="K179" s="30">
        <v>0</v>
      </c>
      <c r="L179" s="31">
        <v>0</v>
      </c>
      <c r="M179" s="30">
        <v>0</v>
      </c>
      <c r="N179" s="31">
        <v>0</v>
      </c>
      <c r="O179" s="32">
        <f>O180/O$103</f>
        <v>0</v>
      </c>
    </row>
    <row r="180" spans="1:22">
      <c r="A180" s="34" t="s">
        <v>64</v>
      </c>
      <c r="B180" s="35" t="s">
        <v>57</v>
      </c>
      <c r="C180" s="65">
        <f t="shared" ref="C180:N180" si="98">C$103*C179</f>
        <v>0</v>
      </c>
      <c r="D180" s="66">
        <f t="shared" si="98"/>
        <v>0</v>
      </c>
      <c r="E180" s="65">
        <f t="shared" si="98"/>
        <v>0</v>
      </c>
      <c r="F180" s="66">
        <f t="shared" si="98"/>
        <v>0</v>
      </c>
      <c r="G180" s="65">
        <f t="shared" si="98"/>
        <v>0</v>
      </c>
      <c r="H180" s="66">
        <f t="shared" si="98"/>
        <v>0</v>
      </c>
      <c r="I180" s="65">
        <f t="shared" si="98"/>
        <v>0</v>
      </c>
      <c r="J180" s="66">
        <f t="shared" si="98"/>
        <v>0</v>
      </c>
      <c r="K180" s="65">
        <f t="shared" si="98"/>
        <v>0</v>
      </c>
      <c r="L180" s="66">
        <f t="shared" si="98"/>
        <v>0</v>
      </c>
      <c r="M180" s="65">
        <f t="shared" si="98"/>
        <v>0</v>
      </c>
      <c r="N180" s="66">
        <f t="shared" si="98"/>
        <v>0</v>
      </c>
      <c r="O180" s="67">
        <f>SUM(C180:N180)</f>
        <v>0</v>
      </c>
    </row>
    <row r="181" spans="1:22">
      <c r="A181" s="34"/>
      <c r="B181" s="35" t="s">
        <v>58</v>
      </c>
      <c r="C181" s="43">
        <f>'[10]Price Changes'!$F$36</f>
        <v>0</v>
      </c>
      <c r="D181" s="44">
        <f>'[10]Price Changes'!$F$36</f>
        <v>0</v>
      </c>
      <c r="E181" s="43">
        <f>'[10]Price Changes'!$F$36</f>
        <v>0</v>
      </c>
      <c r="F181" s="44">
        <f>'[10]Price Changes'!$F$36</f>
        <v>0</v>
      </c>
      <c r="G181" s="43">
        <f>'[10]Price Changes'!$F$36</f>
        <v>0</v>
      </c>
      <c r="H181" s="44">
        <f>'[10]Price Changes'!$F$36</f>
        <v>0</v>
      </c>
      <c r="I181" s="43">
        <f>'[10]Price Changes'!$F$36</f>
        <v>0</v>
      </c>
      <c r="J181" s="44">
        <f>'[10]Price Changes'!$F$36</f>
        <v>0</v>
      </c>
      <c r="K181" s="43">
        <f>'[10]Price Changes'!$F$36</f>
        <v>0</v>
      </c>
      <c r="L181" s="44">
        <f>'[10]Price Changes'!$F$36</f>
        <v>0</v>
      </c>
      <c r="M181" s="43">
        <f>'[10]Price Changes'!$F$36</f>
        <v>0</v>
      </c>
      <c r="N181" s="44">
        <f>'[10]Price Changes'!$F$36</f>
        <v>0</v>
      </c>
      <c r="O181" s="45">
        <f>IF(O180=0,0,+O182/O180)</f>
        <v>0</v>
      </c>
    </row>
    <row r="182" spans="1:22">
      <c r="A182" s="42"/>
      <c r="B182" s="35" t="s">
        <v>15</v>
      </c>
      <c r="C182" s="48">
        <f t="shared" ref="C182:N182" si="99">C180*C181</f>
        <v>0</v>
      </c>
      <c r="D182" s="49">
        <f t="shared" si="99"/>
        <v>0</v>
      </c>
      <c r="E182" s="48">
        <f t="shared" si="99"/>
        <v>0</v>
      </c>
      <c r="F182" s="49">
        <f t="shared" si="99"/>
        <v>0</v>
      </c>
      <c r="G182" s="48">
        <f t="shared" si="99"/>
        <v>0</v>
      </c>
      <c r="H182" s="49">
        <f t="shared" si="99"/>
        <v>0</v>
      </c>
      <c r="I182" s="48">
        <f t="shared" si="99"/>
        <v>0</v>
      </c>
      <c r="J182" s="49">
        <f t="shared" si="99"/>
        <v>0</v>
      </c>
      <c r="K182" s="48">
        <f t="shared" si="99"/>
        <v>0</v>
      </c>
      <c r="L182" s="49">
        <f t="shared" si="99"/>
        <v>0</v>
      </c>
      <c r="M182" s="48">
        <f t="shared" si="99"/>
        <v>0</v>
      </c>
      <c r="N182" s="49">
        <f t="shared" si="99"/>
        <v>0</v>
      </c>
      <c r="O182" s="50">
        <f>SUM(C182:N182)</f>
        <v>0</v>
      </c>
    </row>
    <row r="183" spans="1:22" ht="13.5" thickBot="1">
      <c r="A183" s="51"/>
      <c r="B183" s="52" t="s">
        <v>59</v>
      </c>
      <c r="C183" s="53">
        <f t="shared" ref="C183:O183" si="100">C182/C$103</f>
        <v>0</v>
      </c>
      <c r="D183" s="54">
        <f t="shared" si="100"/>
        <v>0</v>
      </c>
      <c r="E183" s="53">
        <f t="shared" si="100"/>
        <v>0</v>
      </c>
      <c r="F183" s="54">
        <f t="shared" si="100"/>
        <v>0</v>
      </c>
      <c r="G183" s="53">
        <f t="shared" si="100"/>
        <v>0</v>
      </c>
      <c r="H183" s="54">
        <f t="shared" si="100"/>
        <v>0</v>
      </c>
      <c r="I183" s="53">
        <f t="shared" si="100"/>
        <v>0</v>
      </c>
      <c r="J183" s="54">
        <f t="shared" si="100"/>
        <v>0</v>
      </c>
      <c r="K183" s="53">
        <f t="shared" si="100"/>
        <v>0</v>
      </c>
      <c r="L183" s="54">
        <f t="shared" si="100"/>
        <v>0</v>
      </c>
      <c r="M183" s="53">
        <f t="shared" si="100"/>
        <v>0</v>
      </c>
      <c r="N183" s="54">
        <f t="shared" si="100"/>
        <v>0</v>
      </c>
      <c r="O183" s="55">
        <f t="shared" si="100"/>
        <v>0</v>
      </c>
    </row>
    <row r="184" spans="1:22" ht="13.5" thickBot="1">
      <c r="A184" s="10" t="s">
        <v>1</v>
      </c>
      <c r="B184" s="73" t="s">
        <v>1</v>
      </c>
      <c r="C184" s="74" t="s">
        <v>1</v>
      </c>
      <c r="D184" s="75" t="s">
        <v>1</v>
      </c>
      <c r="E184" s="74" t="s">
        <v>1</v>
      </c>
      <c r="F184" s="75" t="s">
        <v>1</v>
      </c>
      <c r="G184" s="74" t="s">
        <v>1</v>
      </c>
      <c r="H184" s="75" t="s">
        <v>1</v>
      </c>
      <c r="I184" s="74" t="s">
        <v>1</v>
      </c>
      <c r="J184" s="75" t="s">
        <v>1</v>
      </c>
      <c r="K184" s="74" t="s">
        <v>1</v>
      </c>
      <c r="L184" s="75" t="s">
        <v>1</v>
      </c>
      <c r="M184" s="74" t="s">
        <v>1</v>
      </c>
      <c r="N184" s="75" t="s">
        <v>1</v>
      </c>
      <c r="O184" s="6" t="s">
        <v>1</v>
      </c>
      <c r="P184" s="9"/>
      <c r="Q184" s="9"/>
      <c r="R184" s="76"/>
      <c r="S184" s="9"/>
      <c r="T184" s="9"/>
      <c r="U184" s="9"/>
      <c r="V184" s="70"/>
    </row>
    <row r="185" spans="1:22" ht="16.5" thickBot="1">
      <c r="A185" s="104" t="s">
        <v>507</v>
      </c>
      <c r="B185" s="105"/>
      <c r="C185" s="106">
        <v>30.317204301075272</v>
      </c>
      <c r="D185" s="107">
        <v>47.833333333333329</v>
      </c>
      <c r="E185" s="106">
        <v>91.096774193548413</v>
      </c>
      <c r="F185" s="107">
        <v>115.34777777777778</v>
      </c>
      <c r="G185" s="106">
        <v>53.526881720430104</v>
      </c>
      <c r="H185" s="107">
        <v>79.627777777777766</v>
      </c>
      <c r="I185" s="106">
        <v>40.673118279569898</v>
      </c>
      <c r="J185" s="107">
        <v>18.806451612903228</v>
      </c>
      <c r="K185" s="106">
        <v>33.644444444444446</v>
      </c>
      <c r="L185" s="107">
        <v>14.231182795698926</v>
      </c>
      <c r="M185" s="106">
        <v>60.25</v>
      </c>
      <c r="N185" s="107">
        <v>55.233870967741936</v>
      </c>
      <c r="O185" s="108">
        <f>SUM(C185:N185)</f>
        <v>640.58881720430111</v>
      </c>
      <c r="P185" s="9"/>
      <c r="Q185" s="9"/>
      <c r="R185" s="76"/>
      <c r="S185" s="9"/>
      <c r="T185" s="9"/>
      <c r="U185" s="9"/>
      <c r="V185" s="70"/>
    </row>
    <row r="186" spans="1:22">
      <c r="A186" s="77" t="s">
        <v>82</v>
      </c>
      <c r="B186" s="29" t="s">
        <v>55</v>
      </c>
      <c r="C186" s="78">
        <f t="shared" ref="C186:N186" si="101">C187/C103</f>
        <v>457.44272608847535</v>
      </c>
      <c r="D186" s="79">
        <f t="shared" si="101"/>
        <v>471.58146397952896</v>
      </c>
      <c r="E186" s="78">
        <f t="shared" si="101"/>
        <v>643.3724084461021</v>
      </c>
      <c r="F186" s="79">
        <f t="shared" si="101"/>
        <v>645.88920215874191</v>
      </c>
      <c r="G186" s="78">
        <f t="shared" si="101"/>
        <v>515.13738449101834</v>
      </c>
      <c r="H186" s="79">
        <f t="shared" si="101"/>
        <v>550.46705129446946</v>
      </c>
      <c r="I186" s="78">
        <f t="shared" si="101"/>
        <v>573.13325517367173</v>
      </c>
      <c r="J186" s="79">
        <f t="shared" si="101"/>
        <v>436.3278457735604</v>
      </c>
      <c r="K186" s="78">
        <f t="shared" si="101"/>
        <v>519.29610862080165</v>
      </c>
      <c r="L186" s="79">
        <f t="shared" si="101"/>
        <v>450.8105929246139</v>
      </c>
      <c r="M186" s="78">
        <f t="shared" si="101"/>
        <v>579.10497082047402</v>
      </c>
      <c r="N186" s="79">
        <f t="shared" si="101"/>
        <v>565.65835544992672</v>
      </c>
      <c r="O186" s="32">
        <f>O187/O$103</f>
        <v>530.76000282266602</v>
      </c>
      <c r="Q186" s="33"/>
      <c r="R186" s="57"/>
      <c r="S186" s="57"/>
      <c r="T186" s="57"/>
      <c r="U186" s="57"/>
      <c r="V186" s="41"/>
    </row>
    <row r="187" spans="1:22" ht="15.75">
      <c r="A187" s="34"/>
      <c r="B187" s="35" t="s">
        <v>57</v>
      </c>
      <c r="C187" s="36">
        <f t="shared" ref="C187:N187" si="102">C105+C110+C115+C130+C135+C140+C145+C150+C155+C160+C170+C180+C165+C125+C120+C175</f>
        <v>265825</v>
      </c>
      <c r="D187" s="37">
        <f t="shared" si="102"/>
        <v>227232</v>
      </c>
      <c r="E187" s="36">
        <f t="shared" si="102"/>
        <v>332758</v>
      </c>
      <c r="F187" s="37">
        <f t="shared" si="102"/>
        <v>328279</v>
      </c>
      <c r="G187" s="36">
        <f t="shared" si="102"/>
        <v>319260</v>
      </c>
      <c r="H187" s="37">
        <f t="shared" si="102"/>
        <v>403494</v>
      </c>
      <c r="I187" s="36">
        <f t="shared" si="102"/>
        <v>433616</v>
      </c>
      <c r="J187" s="37">
        <f t="shared" si="102"/>
        <v>319851</v>
      </c>
      <c r="K187" s="36">
        <f t="shared" si="102"/>
        <v>319741</v>
      </c>
      <c r="L187" s="37">
        <f t="shared" si="102"/>
        <v>270650</v>
      </c>
      <c r="M187" s="36">
        <f t="shared" si="102"/>
        <v>283901</v>
      </c>
      <c r="N187" s="37">
        <f t="shared" si="102"/>
        <v>293700</v>
      </c>
      <c r="O187" s="38">
        <f>SUM(C187:N187)</f>
        <v>3798307</v>
      </c>
      <c r="Q187" s="33"/>
      <c r="R187" s="46"/>
      <c r="S187" s="56"/>
      <c r="T187" s="47"/>
      <c r="U187" s="47"/>
      <c r="V187" s="41"/>
    </row>
    <row r="188" spans="1:22">
      <c r="A188" s="42"/>
      <c r="B188" s="35" t="s">
        <v>58</v>
      </c>
      <c r="C188" s="81">
        <f t="shared" ref="C188:N188" si="103">C189/C187</f>
        <v>0.20055318348537571</v>
      </c>
      <c r="D188" s="82">
        <f t="shared" si="103"/>
        <v>0.20760055801999716</v>
      </c>
      <c r="E188" s="81">
        <f t="shared" si="103"/>
        <v>0.17784440945071192</v>
      </c>
      <c r="F188" s="82">
        <f t="shared" si="103"/>
        <v>0.17106372932779737</v>
      </c>
      <c r="G188" s="81">
        <f t="shared" si="103"/>
        <v>0.18663850779928587</v>
      </c>
      <c r="H188" s="82">
        <f t="shared" si="103"/>
        <v>0.184113022746311</v>
      </c>
      <c r="I188" s="81">
        <f t="shared" si="103"/>
        <v>0.18619965591675583</v>
      </c>
      <c r="J188" s="82">
        <f t="shared" si="103"/>
        <v>0.20014753744712382</v>
      </c>
      <c r="K188" s="81">
        <f t="shared" si="103"/>
        <v>0.19294982501462121</v>
      </c>
      <c r="L188" s="82">
        <f t="shared" si="103"/>
        <v>0.20008054683170148</v>
      </c>
      <c r="M188" s="81">
        <f t="shared" si="103"/>
        <v>0.18543446483105025</v>
      </c>
      <c r="N188" s="82">
        <f t="shared" si="103"/>
        <v>0.18572536601974801</v>
      </c>
      <c r="O188" s="45">
        <f>IF(O187=0,0,+O189/O187)</f>
        <v>0.18889755620069681</v>
      </c>
      <c r="Q188" s="33"/>
      <c r="R188" s="40"/>
      <c r="S188" s="40"/>
      <c r="T188" s="40"/>
      <c r="U188" s="40"/>
      <c r="V188" s="41"/>
    </row>
    <row r="189" spans="1:22" ht="15.75">
      <c r="A189" s="83" t="s">
        <v>506</v>
      </c>
      <c r="B189" s="35" t="s">
        <v>15</v>
      </c>
      <c r="C189" s="48">
        <f t="shared" ref="C189:N189" si="104">C107+C112+C122+C117+C132+C137+C142+C147+C152+C157+C162+C172+C182+C167+C127+C177</f>
        <v>53312.049999999996</v>
      </c>
      <c r="D189" s="49">
        <f t="shared" si="104"/>
        <v>47173.49</v>
      </c>
      <c r="E189" s="48">
        <f t="shared" si="104"/>
        <v>59179.15</v>
      </c>
      <c r="F189" s="49">
        <f t="shared" si="104"/>
        <v>56156.62999999999</v>
      </c>
      <c r="G189" s="48">
        <f t="shared" si="104"/>
        <v>59586.210000000006</v>
      </c>
      <c r="H189" s="49">
        <f t="shared" si="104"/>
        <v>74288.500000000015</v>
      </c>
      <c r="I189" s="48">
        <f t="shared" si="104"/>
        <v>80739.149999999994</v>
      </c>
      <c r="J189" s="49">
        <f t="shared" si="104"/>
        <v>64017.39</v>
      </c>
      <c r="K189" s="48">
        <f t="shared" si="104"/>
        <v>61693.97</v>
      </c>
      <c r="L189" s="49">
        <f t="shared" si="104"/>
        <v>54151.8</v>
      </c>
      <c r="M189" s="48">
        <f t="shared" si="104"/>
        <v>52645.03</v>
      </c>
      <c r="N189" s="49">
        <f t="shared" si="104"/>
        <v>54547.539999999994</v>
      </c>
      <c r="O189" s="50">
        <f>SUM(C189:N189)</f>
        <v>717490.91000000015</v>
      </c>
      <c r="Q189" s="33"/>
      <c r="R189" s="56"/>
      <c r="S189" s="80"/>
      <c r="T189" s="57"/>
      <c r="U189" s="57"/>
      <c r="V189" s="41"/>
    </row>
    <row r="190" spans="1:22" ht="13.5" thickBot="1">
      <c r="A190" s="51"/>
      <c r="B190" s="52" t="s">
        <v>59</v>
      </c>
      <c r="C190" s="53">
        <f t="shared" ref="C190:N190" si="105">C189/C103</f>
        <v>91.741594979272463</v>
      </c>
      <c r="D190" s="54">
        <f t="shared" si="105"/>
        <v>97.900575074037405</v>
      </c>
      <c r="E190" s="53">
        <f t="shared" si="105"/>
        <v>114.42018603697926</v>
      </c>
      <c r="F190" s="54">
        <f t="shared" si="105"/>
        <v>110.48821565383001</v>
      </c>
      <c r="G190" s="53">
        <f t="shared" si="105"/>
        <v>96.144472753030641</v>
      </c>
      <c r="H190" s="54">
        <f t="shared" si="105"/>
        <v>101.3481527360734</v>
      </c>
      <c r="I190" s="53">
        <f t="shared" si="105"/>
        <v>106.71721490778789</v>
      </c>
      <c r="J190" s="54">
        <f t="shared" si="105"/>
        <v>87.329943851186542</v>
      </c>
      <c r="K190" s="53">
        <f t="shared" si="105"/>
        <v>100.19809328915741</v>
      </c>
      <c r="L190" s="54">
        <f t="shared" si="105"/>
        <v>90.198429949880321</v>
      </c>
      <c r="M190" s="53">
        <f t="shared" si="105"/>
        <v>107.38602034509557</v>
      </c>
      <c r="N190" s="54">
        <f t="shared" si="105"/>
        <v>105.05710510806635</v>
      </c>
      <c r="O190" s="55">
        <f>O189/O$103</f>
        <v>100.25926746227655</v>
      </c>
      <c r="P190" s="9"/>
      <c r="Q190" s="9"/>
      <c r="R190" s="76"/>
      <c r="S190" s="9"/>
      <c r="T190" s="9"/>
      <c r="U190" s="9"/>
      <c r="V190" s="70"/>
    </row>
    <row r="191" spans="1:22" ht="13.5" thickBot="1">
      <c r="A191" s="10" t="s">
        <v>1</v>
      </c>
      <c r="B191" s="73" t="s">
        <v>1</v>
      </c>
      <c r="C191" s="74" t="s">
        <v>1</v>
      </c>
      <c r="D191" s="75" t="s">
        <v>1</v>
      </c>
      <c r="E191" s="74" t="s">
        <v>1</v>
      </c>
      <c r="F191" s="75" t="s">
        <v>1</v>
      </c>
      <c r="G191" s="74" t="s">
        <v>1</v>
      </c>
      <c r="H191" s="75" t="s">
        <v>1</v>
      </c>
      <c r="I191" s="74" t="s">
        <v>1</v>
      </c>
      <c r="J191" s="75" t="s">
        <v>1</v>
      </c>
      <c r="K191" s="74" t="s">
        <v>1</v>
      </c>
      <c r="L191" s="75" t="s">
        <v>1</v>
      </c>
      <c r="M191" s="74" t="s">
        <v>1</v>
      </c>
      <c r="N191" s="75" t="s">
        <v>1</v>
      </c>
      <c r="O191" s="6" t="s">
        <v>1</v>
      </c>
      <c r="Q191" s="33"/>
      <c r="R191" s="57"/>
      <c r="S191" s="39"/>
      <c r="T191" s="39"/>
      <c r="U191" s="39"/>
      <c r="V191" s="41"/>
    </row>
    <row r="192" spans="1:22" ht="62.25" customHeight="1" thickBot="1">
      <c r="A192" s="580" t="s">
        <v>83</v>
      </c>
      <c r="B192" s="588"/>
      <c r="C192" s="588"/>
      <c r="D192" s="588"/>
      <c r="E192" s="588"/>
      <c r="F192" s="588"/>
      <c r="G192" s="588"/>
      <c r="H192" s="588"/>
      <c r="I192" s="588"/>
      <c r="J192" s="588"/>
      <c r="K192" s="588"/>
      <c r="L192" s="588"/>
      <c r="M192" s="588"/>
      <c r="N192" s="588"/>
      <c r="O192" s="589"/>
    </row>
    <row r="193" spans="1:23">
      <c r="A193" s="10" t="s">
        <v>1</v>
      </c>
      <c r="B193" s="11" t="s">
        <v>0</v>
      </c>
      <c r="C193" s="381">
        <f>C189+4197.03</f>
        <v>57509.079999999994</v>
      </c>
      <c r="D193" s="410">
        <f>D189+3496.5</f>
        <v>50669.99</v>
      </c>
      <c r="E193" s="381">
        <f>E189+5138.15</f>
        <v>64317.3</v>
      </c>
      <c r="F193" s="410">
        <f>F189+4960</f>
        <v>61116.62999999999</v>
      </c>
      <c r="G193" s="381">
        <f>G189+2653.7</f>
        <v>62239.91</v>
      </c>
      <c r="H193" s="410">
        <f>H189+2528.96</f>
        <v>76817.460000000021</v>
      </c>
      <c r="I193" s="96"/>
      <c r="J193" s="382">
        <f>J189+2722.59</f>
        <v>66739.98</v>
      </c>
      <c r="K193" s="383">
        <f>K189+3363.32</f>
        <v>65057.29</v>
      </c>
      <c r="L193" s="382">
        <f>L189+4149.93</f>
        <v>58301.73</v>
      </c>
      <c r="M193" s="383">
        <f>M189+3732.98</f>
        <v>56378.01</v>
      </c>
      <c r="N193" s="382">
        <f>N189+3440.33</f>
        <v>57987.869999999995</v>
      </c>
      <c r="O193" s="2"/>
      <c r="V193" s="15"/>
    </row>
    <row r="194" spans="1:23" ht="15.75">
      <c r="A194" s="98" t="str">
        <f>A100</f>
        <v>2011 BUDGET</v>
      </c>
      <c r="B194" s="3"/>
      <c r="O194" s="2"/>
    </row>
    <row r="195" spans="1:23">
      <c r="A195" s="99" t="str">
        <f>A101</f>
        <v>Bid Dollars</v>
      </c>
      <c r="B195" s="3"/>
      <c r="O195" s="2"/>
      <c r="P195" s="9"/>
      <c r="Q195" s="9"/>
      <c r="R195" s="9"/>
      <c r="S195" s="9"/>
      <c r="T195" s="9"/>
      <c r="U195" s="9"/>
      <c r="V195" s="9"/>
    </row>
    <row r="196" spans="1:23">
      <c r="A196" s="4"/>
      <c r="B196" s="3"/>
      <c r="C196" s="22" t="str">
        <f t="shared" ref="C196:N196" si="106">C102</f>
        <v>JAN</v>
      </c>
      <c r="D196" s="23" t="str">
        <f t="shared" si="106"/>
        <v>FEB</v>
      </c>
      <c r="E196" s="22" t="str">
        <f t="shared" si="106"/>
        <v>MAR</v>
      </c>
      <c r="F196" s="23" t="str">
        <f t="shared" si="106"/>
        <v>APR</v>
      </c>
      <c r="G196" s="22" t="str">
        <f t="shared" si="106"/>
        <v>MAY</v>
      </c>
      <c r="H196" s="23" t="str">
        <f t="shared" si="106"/>
        <v>JUNE</v>
      </c>
      <c r="I196" s="22" t="str">
        <f t="shared" si="106"/>
        <v>JULY</v>
      </c>
      <c r="J196" s="23" t="str">
        <f t="shared" si="106"/>
        <v>AUG</v>
      </c>
      <c r="K196" s="22" t="str">
        <f t="shared" si="106"/>
        <v>SEPT</v>
      </c>
      <c r="L196" s="23" t="str">
        <f t="shared" si="106"/>
        <v>OCT</v>
      </c>
      <c r="M196" s="22" t="str">
        <f t="shared" si="106"/>
        <v>NOV</v>
      </c>
      <c r="N196" s="23" t="str">
        <f t="shared" si="106"/>
        <v>DEC</v>
      </c>
      <c r="O196" s="24" t="s">
        <v>13</v>
      </c>
      <c r="R196" s="15"/>
      <c r="S196" s="15"/>
      <c r="T196" s="15"/>
      <c r="U196" s="15"/>
      <c r="V196" s="15"/>
    </row>
    <row r="197" spans="1:23" ht="16.5" thickBot="1">
      <c r="A197" s="19" t="s">
        <v>53</v>
      </c>
      <c r="B197" s="3"/>
      <c r="C197" s="110">
        <v>29.055</v>
      </c>
      <c r="D197" s="111">
        <v>29.783000000000001</v>
      </c>
      <c r="E197" s="112">
        <v>29.457999999999998</v>
      </c>
      <c r="F197" s="111">
        <v>27.516999999999999</v>
      </c>
      <c r="G197" s="112">
        <v>30.94</v>
      </c>
      <c r="H197" s="111">
        <v>31.454000000000001</v>
      </c>
      <c r="I197" s="112">
        <v>33.722000000000001</v>
      </c>
      <c r="J197" s="111">
        <v>32.231999999999999</v>
      </c>
      <c r="K197" s="112">
        <v>29.059000000000001</v>
      </c>
      <c r="L197" s="111">
        <v>30.539000000000001</v>
      </c>
      <c r="M197" s="112">
        <v>28.09</v>
      </c>
      <c r="N197" s="111">
        <v>28.132999999999999</v>
      </c>
      <c r="O197" s="27">
        <f>SUM(C197:N197)</f>
        <v>359.98199999999997</v>
      </c>
      <c r="R197" s="72"/>
      <c r="S197" s="15"/>
      <c r="T197" s="72"/>
      <c r="U197" s="15"/>
      <c r="V197" s="15"/>
    </row>
    <row r="198" spans="1:23">
      <c r="A198" s="28" t="s">
        <v>54</v>
      </c>
      <c r="B198" s="29" t="s">
        <v>55</v>
      </c>
      <c r="C198" s="30">
        <v>0</v>
      </c>
      <c r="D198" s="31">
        <v>0</v>
      </c>
      <c r="E198" s="30">
        <v>0</v>
      </c>
      <c r="F198" s="31">
        <v>0</v>
      </c>
      <c r="G198" s="30">
        <v>0</v>
      </c>
      <c r="H198" s="31">
        <v>0</v>
      </c>
      <c r="I198" s="30">
        <v>0</v>
      </c>
      <c r="J198" s="31">
        <v>0</v>
      </c>
      <c r="K198" s="30">
        <v>0</v>
      </c>
      <c r="L198" s="31">
        <v>0</v>
      </c>
      <c r="M198" s="30">
        <v>0</v>
      </c>
      <c r="N198" s="31">
        <v>0</v>
      </c>
      <c r="O198" s="32">
        <f>O199/O$197</f>
        <v>0</v>
      </c>
      <c r="Q198" s="33"/>
    </row>
    <row r="199" spans="1:23">
      <c r="A199" s="34" t="s">
        <v>56</v>
      </c>
      <c r="B199" s="35" t="s">
        <v>57</v>
      </c>
      <c r="C199" s="65">
        <f t="shared" ref="C199:I199" si="107">C$197*C198</f>
        <v>0</v>
      </c>
      <c r="D199" s="66">
        <f t="shared" si="107"/>
        <v>0</v>
      </c>
      <c r="E199" s="65">
        <f t="shared" si="107"/>
        <v>0</v>
      </c>
      <c r="F199" s="66">
        <f t="shared" si="107"/>
        <v>0</v>
      </c>
      <c r="G199" s="65">
        <f t="shared" si="107"/>
        <v>0</v>
      </c>
      <c r="H199" s="66">
        <f t="shared" si="107"/>
        <v>0</v>
      </c>
      <c r="I199" s="65">
        <f t="shared" si="107"/>
        <v>0</v>
      </c>
      <c r="J199" s="66">
        <v>0</v>
      </c>
      <c r="K199" s="65">
        <f>K$197*K198</f>
        <v>0</v>
      </c>
      <c r="L199" s="66">
        <f>L$197*L198</f>
        <v>0</v>
      </c>
      <c r="M199" s="65">
        <f>M$197*M198</f>
        <v>0</v>
      </c>
      <c r="N199" s="66">
        <f>N$197*N198</f>
        <v>0</v>
      </c>
      <c r="O199" s="67">
        <f>SUM(C199:N199)</f>
        <v>0</v>
      </c>
      <c r="Q199" s="33"/>
      <c r="R199" s="57"/>
      <c r="S199" s="57"/>
      <c r="T199" s="57"/>
      <c r="U199" s="57"/>
      <c r="V199" s="41"/>
    </row>
    <row r="200" spans="1:23" ht="15.75">
      <c r="A200" s="42"/>
      <c r="B200" s="35" t="s">
        <v>58</v>
      </c>
      <c r="C200" s="43">
        <f>'[10]Price Changes'!$F$39</f>
        <v>0</v>
      </c>
      <c r="D200" s="44">
        <f>'[10]Price Changes'!$F$39</f>
        <v>0</v>
      </c>
      <c r="E200" s="43">
        <f>'[10]Price Changes'!$F$39</f>
        <v>0</v>
      </c>
      <c r="F200" s="44">
        <f>'[10]Price Changes'!$F$39</f>
        <v>0</v>
      </c>
      <c r="G200" s="43">
        <f>'[10]Price Changes'!$F$39</f>
        <v>0</v>
      </c>
      <c r="H200" s="44">
        <f>'[10]Price Changes'!$F$39</f>
        <v>0</v>
      </c>
      <c r="I200" s="43">
        <f>'[10]Price Changes'!$F$39</f>
        <v>0</v>
      </c>
      <c r="J200" s="44">
        <v>0</v>
      </c>
      <c r="K200" s="43">
        <f>'[10]Price Changes'!$F$39</f>
        <v>0</v>
      </c>
      <c r="L200" s="44">
        <f>'[10]Price Changes'!$F$39</f>
        <v>0</v>
      </c>
      <c r="M200" s="43">
        <f>'[10]Price Changes'!$F$39</f>
        <v>0</v>
      </c>
      <c r="N200" s="44">
        <f>'[10]Price Changes'!$F$39</f>
        <v>0</v>
      </c>
      <c r="O200" s="45">
        <f>IF(O199=0,0,+O201/O199)</f>
        <v>0</v>
      </c>
      <c r="Q200" s="33"/>
      <c r="R200" s="46"/>
      <c r="S200" s="80"/>
      <c r="T200" s="68"/>
      <c r="U200" s="47"/>
      <c r="V200" s="41"/>
    </row>
    <row r="201" spans="1:23">
      <c r="A201" s="42"/>
      <c r="B201" s="35" t="s">
        <v>15</v>
      </c>
      <c r="C201" s="48">
        <f t="shared" ref="C201:I201" si="108">C199*C200</f>
        <v>0</v>
      </c>
      <c r="D201" s="49">
        <f t="shared" si="108"/>
        <v>0</v>
      </c>
      <c r="E201" s="48">
        <f t="shared" si="108"/>
        <v>0</v>
      </c>
      <c r="F201" s="49">
        <f t="shared" si="108"/>
        <v>0</v>
      </c>
      <c r="G201" s="48">
        <f t="shared" si="108"/>
        <v>0</v>
      </c>
      <c r="H201" s="49">
        <f t="shared" si="108"/>
        <v>0</v>
      </c>
      <c r="I201" s="48">
        <f t="shared" si="108"/>
        <v>0</v>
      </c>
      <c r="J201" s="49">
        <v>0</v>
      </c>
      <c r="K201" s="48">
        <f>K199*K200</f>
        <v>0</v>
      </c>
      <c r="L201" s="49">
        <f>L199*L200</f>
        <v>0</v>
      </c>
      <c r="M201" s="48">
        <f>M199*M200</f>
        <v>0</v>
      </c>
      <c r="N201" s="49">
        <f>N199*N200</f>
        <v>0</v>
      </c>
      <c r="O201" s="50">
        <f>SUM(C201:N201)</f>
        <v>0</v>
      </c>
      <c r="Q201" s="33"/>
      <c r="R201" s="40"/>
      <c r="S201" s="40"/>
      <c r="T201" s="40"/>
      <c r="U201" s="40"/>
      <c r="V201" s="41"/>
    </row>
    <row r="202" spans="1:23" ht="16.5" thickBot="1">
      <c r="A202" s="51"/>
      <c r="B202" s="52" t="s">
        <v>59</v>
      </c>
      <c r="C202" s="53">
        <f t="shared" ref="C202:I202" si="109">C201/C$197</f>
        <v>0</v>
      </c>
      <c r="D202" s="54">
        <f t="shared" si="109"/>
        <v>0</v>
      </c>
      <c r="E202" s="53">
        <f t="shared" si="109"/>
        <v>0</v>
      </c>
      <c r="F202" s="54">
        <f t="shared" si="109"/>
        <v>0</v>
      </c>
      <c r="G202" s="53">
        <f t="shared" si="109"/>
        <v>0</v>
      </c>
      <c r="H202" s="54">
        <f t="shared" si="109"/>
        <v>0</v>
      </c>
      <c r="I202" s="53">
        <f t="shared" si="109"/>
        <v>0</v>
      </c>
      <c r="J202" s="54">
        <v>0</v>
      </c>
      <c r="K202" s="53">
        <f>K201/K$197</f>
        <v>0</v>
      </c>
      <c r="L202" s="54">
        <f>L201/L$197</f>
        <v>0</v>
      </c>
      <c r="M202" s="53">
        <f>M201/M$197</f>
        <v>0</v>
      </c>
      <c r="N202" s="54">
        <f>N201/N$197</f>
        <v>0</v>
      </c>
      <c r="O202" s="55">
        <f>O201/O$197</f>
        <v>0</v>
      </c>
      <c r="Q202" s="33"/>
      <c r="R202" s="56"/>
      <c r="S202" s="80"/>
      <c r="T202" s="57"/>
      <c r="U202" s="57"/>
      <c r="V202" s="41"/>
    </row>
    <row r="203" spans="1:23">
      <c r="A203" s="28" t="s">
        <v>60</v>
      </c>
      <c r="B203" s="29" t="s">
        <v>55</v>
      </c>
      <c r="C203" s="30">
        <f>C204/C$197</f>
        <v>55.067974531061779</v>
      </c>
      <c r="D203" s="31">
        <f t="shared" ref="D203:O203" si="110">D204/D$197</f>
        <v>89.74918577712117</v>
      </c>
      <c r="E203" s="30">
        <f t="shared" si="110"/>
        <v>123.05655509539005</v>
      </c>
      <c r="F203" s="31">
        <f t="shared" si="110"/>
        <v>110.04106552313115</v>
      </c>
      <c r="G203" s="30">
        <f t="shared" si="110"/>
        <v>114.80284421460891</v>
      </c>
      <c r="H203" s="31">
        <f t="shared" si="110"/>
        <v>132.12945889235073</v>
      </c>
      <c r="I203" s="30">
        <f t="shared" si="110"/>
        <v>117.34179467409999</v>
      </c>
      <c r="J203" s="31">
        <f t="shared" si="110"/>
        <v>111.50409530900968</v>
      </c>
      <c r="K203" s="30">
        <f t="shared" si="110"/>
        <v>116.03978113493237</v>
      </c>
      <c r="L203" s="31">
        <f t="shared" si="110"/>
        <v>118.47146271980091</v>
      </c>
      <c r="M203" s="30">
        <f t="shared" si="110"/>
        <v>129.83268066927732</v>
      </c>
      <c r="N203" s="31">
        <f t="shared" si="110"/>
        <v>132.15796395691893</v>
      </c>
      <c r="O203" s="32">
        <f t="shared" si="110"/>
        <v>112.61674194820853</v>
      </c>
      <c r="Q203" s="33"/>
      <c r="R203" s="58"/>
      <c r="S203" s="58"/>
      <c r="T203" s="58"/>
      <c r="U203" s="58"/>
      <c r="V203" s="41"/>
      <c r="W203" s="8"/>
    </row>
    <row r="204" spans="1:23">
      <c r="A204" s="34" t="s">
        <v>56</v>
      </c>
      <c r="B204" s="35" t="s">
        <v>57</v>
      </c>
      <c r="C204" s="36">
        <v>1600</v>
      </c>
      <c r="D204" s="37">
        <v>2673</v>
      </c>
      <c r="E204" s="36">
        <v>3625</v>
      </c>
      <c r="F204" s="37">
        <v>3028</v>
      </c>
      <c r="G204" s="36">
        <v>3552</v>
      </c>
      <c r="H204" s="37">
        <v>4156</v>
      </c>
      <c r="I204" s="36">
        <v>3957</v>
      </c>
      <c r="J204" s="37">
        <v>3594</v>
      </c>
      <c r="K204" s="36">
        <v>3372</v>
      </c>
      <c r="L204" s="37">
        <v>3618</v>
      </c>
      <c r="M204" s="36">
        <v>3647</v>
      </c>
      <c r="N204" s="37">
        <v>3718</v>
      </c>
      <c r="O204" s="38">
        <f>SUM(C204:N204)</f>
        <v>40540</v>
      </c>
      <c r="Q204" s="33"/>
      <c r="R204" s="57"/>
      <c r="S204" s="57"/>
      <c r="T204" s="57"/>
      <c r="U204" s="57"/>
      <c r="V204" s="41"/>
      <c r="W204" s="8"/>
    </row>
    <row r="205" spans="1:23" ht="15.75">
      <c r="A205" s="42"/>
      <c r="B205" s="35" t="s">
        <v>58</v>
      </c>
      <c r="C205" s="43">
        <f>C206/C204</f>
        <v>0.90099999999999991</v>
      </c>
      <c r="D205" s="44">
        <f t="shared" ref="D205:N205" si="111">D206/D204</f>
        <v>0.9116011971567527</v>
      </c>
      <c r="E205" s="43">
        <f t="shared" si="111"/>
        <v>0.91160000000000008</v>
      </c>
      <c r="F205" s="44">
        <f t="shared" si="111"/>
        <v>0.91159841479524439</v>
      </c>
      <c r="G205" s="43">
        <f t="shared" si="111"/>
        <v>0.91159909909909909</v>
      </c>
      <c r="H205" s="44">
        <f t="shared" si="111"/>
        <v>0.91160009624639082</v>
      </c>
      <c r="I205" s="43">
        <f t="shared" si="111"/>
        <v>0.91159969673995445</v>
      </c>
      <c r="J205" s="44">
        <f t="shared" si="111"/>
        <v>0.91159988870339459</v>
      </c>
      <c r="K205" s="43">
        <f t="shared" si="111"/>
        <v>0.91160142348754447</v>
      </c>
      <c r="L205" s="44">
        <f t="shared" si="111"/>
        <v>0.91160033167495857</v>
      </c>
      <c r="M205" s="43">
        <f t="shared" si="111"/>
        <v>0.91160131615026052</v>
      </c>
      <c r="N205" s="44">
        <f t="shared" si="111"/>
        <v>0.91160032275416891</v>
      </c>
      <c r="O205" s="45">
        <f>IF(O204=0,0,+O206/O204)</f>
        <v>0.91118179575727687</v>
      </c>
      <c r="Q205" s="33"/>
      <c r="R205" s="46"/>
      <c r="S205" s="46"/>
      <c r="T205" s="47"/>
      <c r="U205" s="47"/>
      <c r="V205" s="41"/>
      <c r="W205" s="8"/>
    </row>
    <row r="206" spans="1:23">
      <c r="A206" s="42"/>
      <c r="B206" s="35" t="s">
        <v>15</v>
      </c>
      <c r="C206" s="48">
        <v>1441.6</v>
      </c>
      <c r="D206" s="49">
        <v>2436.71</v>
      </c>
      <c r="E206" s="48">
        <v>3304.55</v>
      </c>
      <c r="F206" s="49">
        <v>2760.32</v>
      </c>
      <c r="G206" s="48">
        <v>3238</v>
      </c>
      <c r="H206" s="49">
        <v>3788.61</v>
      </c>
      <c r="I206" s="48">
        <v>3607.2</v>
      </c>
      <c r="J206" s="49">
        <v>3276.29</v>
      </c>
      <c r="K206" s="48">
        <v>3073.92</v>
      </c>
      <c r="L206" s="49">
        <v>3298.17</v>
      </c>
      <c r="M206" s="48">
        <v>3324.61</v>
      </c>
      <c r="N206" s="49">
        <v>3389.33</v>
      </c>
      <c r="O206" s="50">
        <f>SUM(C206:N206)</f>
        <v>36939.310000000005</v>
      </c>
      <c r="Q206" s="33"/>
      <c r="R206" s="40"/>
      <c r="S206" s="40"/>
      <c r="T206" s="40"/>
      <c r="U206" s="40"/>
      <c r="V206" s="41"/>
      <c r="W206" s="8"/>
    </row>
    <row r="207" spans="1:23" ht="16.5" thickBot="1">
      <c r="A207" s="51"/>
      <c r="B207" s="52" t="s">
        <v>59</v>
      </c>
      <c r="C207" s="53">
        <f t="shared" ref="C207:I207" si="112">C206/C$197</f>
        <v>49.616245052486661</v>
      </c>
      <c r="D207" s="54">
        <f t="shared" si="112"/>
        <v>81.815465198267461</v>
      </c>
      <c r="E207" s="53">
        <f t="shared" si="112"/>
        <v>112.17835562495758</v>
      </c>
      <c r="F207" s="54">
        <f t="shared" si="112"/>
        <v>100.31326089326599</v>
      </c>
      <c r="G207" s="53">
        <f t="shared" si="112"/>
        <v>104.65416936005171</v>
      </c>
      <c r="H207" s="54">
        <f t="shared" si="112"/>
        <v>120.44922744325046</v>
      </c>
      <c r="I207" s="53">
        <f t="shared" si="112"/>
        <v>106.96874443983155</v>
      </c>
      <c r="J207" s="54">
        <v>135.17868911126709</v>
      </c>
      <c r="K207" s="53">
        <f>K206/K$197</f>
        <v>105.78202966378747</v>
      </c>
      <c r="L207" s="54">
        <f>L206/L$197</f>
        <v>107.998624709388</v>
      </c>
      <c r="M207" s="53">
        <f>M206/M$197</f>
        <v>118.35564257742969</v>
      </c>
      <c r="N207" s="54">
        <f>N206/N$197</f>
        <v>120.47524259766111</v>
      </c>
      <c r="O207" s="55">
        <f>O206/O$197</f>
        <v>102.61432516070251</v>
      </c>
      <c r="Q207" s="33"/>
      <c r="R207" s="56"/>
      <c r="S207" s="56"/>
      <c r="T207" s="57"/>
      <c r="U207" s="57"/>
      <c r="V207" s="41"/>
      <c r="W207" s="8"/>
    </row>
    <row r="208" spans="1:23">
      <c r="A208" s="28" t="s">
        <v>61</v>
      </c>
      <c r="B208" s="29" t="s">
        <v>55</v>
      </c>
      <c r="C208" s="30">
        <f>C209/C$197</f>
        <v>26.811220099810704</v>
      </c>
      <c r="D208" s="31">
        <f t="shared" ref="D208:O208" si="113">D209/D$197</f>
        <v>31.259443306584291</v>
      </c>
      <c r="E208" s="30">
        <f t="shared" si="113"/>
        <v>25.426030280399214</v>
      </c>
      <c r="F208" s="31">
        <f t="shared" si="113"/>
        <v>23.65810226405495</v>
      </c>
      <c r="G208" s="30">
        <f t="shared" si="113"/>
        <v>25.048480930833872</v>
      </c>
      <c r="H208" s="31">
        <f t="shared" si="113"/>
        <v>29.9484962166974</v>
      </c>
      <c r="I208" s="30">
        <f t="shared" si="113"/>
        <v>30.336278987011447</v>
      </c>
      <c r="J208" s="31">
        <f t="shared" si="113"/>
        <v>29.970215934475057</v>
      </c>
      <c r="K208" s="30">
        <f t="shared" si="113"/>
        <v>27.220482466705668</v>
      </c>
      <c r="L208" s="31">
        <f t="shared" si="113"/>
        <v>35.823045941255444</v>
      </c>
      <c r="M208" s="30">
        <f t="shared" si="113"/>
        <v>33.392666429334284</v>
      </c>
      <c r="N208" s="31">
        <f t="shared" si="113"/>
        <v>30.711264351473361</v>
      </c>
      <c r="O208" s="32">
        <f t="shared" si="113"/>
        <v>29.17645882294115</v>
      </c>
      <c r="Q208" s="33"/>
    </row>
    <row r="209" spans="1:23">
      <c r="A209" s="34" t="s">
        <v>56</v>
      </c>
      <c r="B209" s="35" t="s">
        <v>57</v>
      </c>
      <c r="C209" s="36">
        <v>779</v>
      </c>
      <c r="D209" s="37">
        <v>931</v>
      </c>
      <c r="E209" s="36">
        <v>749</v>
      </c>
      <c r="F209" s="37">
        <v>651</v>
      </c>
      <c r="G209" s="36">
        <v>775</v>
      </c>
      <c r="H209" s="37">
        <v>942</v>
      </c>
      <c r="I209" s="36">
        <v>1023</v>
      </c>
      <c r="J209" s="37">
        <v>966</v>
      </c>
      <c r="K209" s="36">
        <v>791</v>
      </c>
      <c r="L209" s="37">
        <v>1094</v>
      </c>
      <c r="M209" s="36">
        <v>938</v>
      </c>
      <c r="N209" s="37">
        <v>864</v>
      </c>
      <c r="O209" s="38">
        <f>SUM(C209:N209)</f>
        <v>10503</v>
      </c>
      <c r="Q209" s="33"/>
      <c r="R209" s="57"/>
      <c r="S209" s="57"/>
      <c r="T209" s="47"/>
      <c r="U209" s="57"/>
      <c r="V209" s="41"/>
      <c r="W209" s="8"/>
    </row>
    <row r="210" spans="1:23" ht="15.75">
      <c r="A210" s="42"/>
      <c r="B210" s="35" t="s">
        <v>58</v>
      </c>
      <c r="C210" s="43">
        <f>C211/C209</f>
        <v>0.43699614890885752</v>
      </c>
      <c r="D210" s="44">
        <f t="shared" ref="D210:N210" si="114">D211/D209</f>
        <v>0.44500537056928036</v>
      </c>
      <c r="E210" s="43">
        <f t="shared" si="114"/>
        <v>0.44500667556742324</v>
      </c>
      <c r="F210" s="44">
        <f t="shared" si="114"/>
        <v>0.45210445468509985</v>
      </c>
      <c r="G210" s="43">
        <f t="shared" si="114"/>
        <v>0.45210322580645163</v>
      </c>
      <c r="H210" s="44">
        <f t="shared" si="114"/>
        <v>0.45429936305732482</v>
      </c>
      <c r="I210" s="43">
        <f t="shared" si="114"/>
        <v>0.45500488758553276</v>
      </c>
      <c r="J210" s="44">
        <f t="shared" si="114"/>
        <v>0.45530020703933749</v>
      </c>
      <c r="K210" s="43">
        <f t="shared" si="114"/>
        <v>0.45549936788874845</v>
      </c>
      <c r="L210" s="44">
        <f t="shared" si="114"/>
        <v>0.45560329067641681</v>
      </c>
      <c r="M210" s="43">
        <f t="shared" si="114"/>
        <v>0.42650319829424305</v>
      </c>
      <c r="N210" s="44">
        <f t="shared" si="114"/>
        <v>0.44</v>
      </c>
      <c r="O210" s="45">
        <f>IF(O209=0,0,+O211/O209)</f>
        <v>0.44795963058173854</v>
      </c>
      <c r="Q210" s="33"/>
      <c r="R210" s="46"/>
      <c r="S210" s="46"/>
      <c r="T210" s="47"/>
      <c r="U210" s="47"/>
      <c r="V210" s="41"/>
      <c r="W210" s="8"/>
    </row>
    <row r="211" spans="1:23">
      <c r="A211" s="42"/>
      <c r="B211" s="35" t="s">
        <v>15</v>
      </c>
      <c r="C211" s="48">
        <v>340.42</v>
      </c>
      <c r="D211" s="49">
        <v>414.3</v>
      </c>
      <c r="E211" s="48">
        <v>333.31</v>
      </c>
      <c r="F211" s="49">
        <v>294.32</v>
      </c>
      <c r="G211" s="48">
        <v>350.38</v>
      </c>
      <c r="H211" s="49">
        <v>427.95</v>
      </c>
      <c r="I211" s="48">
        <v>465.47</v>
      </c>
      <c r="J211" s="49">
        <v>439.82</v>
      </c>
      <c r="K211" s="48">
        <v>360.3</v>
      </c>
      <c r="L211" s="49">
        <v>498.43</v>
      </c>
      <c r="M211" s="48">
        <v>400.06</v>
      </c>
      <c r="N211" s="49">
        <v>380.16</v>
      </c>
      <c r="O211" s="50">
        <f>SUM(C211:N211)</f>
        <v>4704.92</v>
      </c>
      <c r="Q211" s="33"/>
      <c r="R211" s="40"/>
      <c r="S211" s="40"/>
      <c r="T211" s="40"/>
      <c r="U211" s="40"/>
      <c r="V211" s="41"/>
    </row>
    <row r="212" spans="1:23" ht="16.5" thickBot="1">
      <c r="A212" s="51"/>
      <c r="B212" s="52" t="s">
        <v>59</v>
      </c>
      <c r="C212" s="53">
        <f t="shared" ref="C212:I212" si="115">C211/C$197</f>
        <v>11.716399931165032</v>
      </c>
      <c r="D212" s="54">
        <f t="shared" si="115"/>
        <v>13.910620152435953</v>
      </c>
      <c r="E212" s="53">
        <f t="shared" si="115"/>
        <v>11.314753207957093</v>
      </c>
      <c r="F212" s="54">
        <f t="shared" si="115"/>
        <v>10.695933422974889</v>
      </c>
      <c r="G212" s="53">
        <f t="shared" si="115"/>
        <v>11.324499030381382</v>
      </c>
      <c r="H212" s="54">
        <f t="shared" si="115"/>
        <v>13.60558275577033</v>
      </c>
      <c r="I212" s="53">
        <f t="shared" si="115"/>
        <v>13.803155210248503</v>
      </c>
      <c r="J212" s="54">
        <v>18.146834085174845</v>
      </c>
      <c r="K212" s="53">
        <f>K211/K$197</f>
        <v>12.39891255721119</v>
      </c>
      <c r="L212" s="54">
        <f>L211/L$197</f>
        <v>16.321097612888437</v>
      </c>
      <c r="M212" s="53">
        <f>M211/M$197</f>
        <v>14.242079031683874</v>
      </c>
      <c r="N212" s="54">
        <f>N211/N$197</f>
        <v>13.51295631464828</v>
      </c>
      <c r="O212" s="55">
        <f>O211/O$197</f>
        <v>13.069875716008024</v>
      </c>
      <c r="Q212" s="33"/>
      <c r="R212" s="46"/>
      <c r="S212" s="56"/>
      <c r="T212" s="57"/>
      <c r="U212" s="57"/>
      <c r="V212" s="41"/>
    </row>
    <row r="213" spans="1:23">
      <c r="A213" s="28" t="s">
        <v>62</v>
      </c>
      <c r="B213" s="29" t="s">
        <v>55</v>
      </c>
      <c r="C213" s="30">
        <v>0</v>
      </c>
      <c r="D213" s="31">
        <v>0</v>
      </c>
      <c r="E213" s="30">
        <v>3.9100684261974585</v>
      </c>
      <c r="F213" s="31">
        <f>F214/F$197</f>
        <v>3.6341170912526803</v>
      </c>
      <c r="G213" s="30">
        <v>0</v>
      </c>
      <c r="H213" s="31">
        <f>H214/H$197</f>
        <v>1.5896229414382907</v>
      </c>
      <c r="I213" s="30">
        <v>3.9100684261974585</v>
      </c>
      <c r="J213" s="31">
        <v>0</v>
      </c>
      <c r="K213" s="30">
        <f>K214/K$197</f>
        <v>3.4412746481296672</v>
      </c>
      <c r="L213" s="31">
        <v>0</v>
      </c>
      <c r="M213" s="30">
        <v>0</v>
      </c>
      <c r="N213" s="31">
        <v>0</v>
      </c>
      <c r="O213" s="32">
        <f>O214/O$197</f>
        <v>0.69447916840286461</v>
      </c>
      <c r="Q213" s="33"/>
    </row>
    <row r="214" spans="1:23">
      <c r="A214" s="34" t="s">
        <v>56</v>
      </c>
      <c r="B214" s="35" t="s">
        <v>57</v>
      </c>
      <c r="C214" s="65">
        <f>C$197*C213</f>
        <v>0</v>
      </c>
      <c r="D214" s="66">
        <f>D$197*D213</f>
        <v>0</v>
      </c>
      <c r="E214" s="65">
        <v>0</v>
      </c>
      <c r="F214" s="66">
        <v>100</v>
      </c>
      <c r="G214" s="65">
        <v>0</v>
      </c>
      <c r="H214" s="66">
        <v>50</v>
      </c>
      <c r="I214" s="65">
        <v>0</v>
      </c>
      <c r="J214" s="66">
        <v>0</v>
      </c>
      <c r="K214" s="65">
        <v>100</v>
      </c>
      <c r="L214" s="66">
        <f>L$197*L213</f>
        <v>0</v>
      </c>
      <c r="M214" s="65">
        <v>0</v>
      </c>
      <c r="N214" s="66">
        <f>N$197*N213</f>
        <v>0</v>
      </c>
      <c r="O214" s="67">
        <f>SUM(C214:N214)</f>
        <v>250</v>
      </c>
      <c r="Q214" s="33"/>
      <c r="R214" s="57"/>
      <c r="S214" s="60"/>
      <c r="T214" s="57"/>
      <c r="U214" s="57"/>
      <c r="V214" s="41"/>
      <c r="W214" s="8"/>
    </row>
    <row r="215" spans="1:23" ht="15.75">
      <c r="A215" s="42"/>
      <c r="B215" s="35" t="s">
        <v>58</v>
      </c>
      <c r="C215" s="43" t="e">
        <f>C216/C214</f>
        <v>#DIV/0!</v>
      </c>
      <c r="D215" s="44" t="e">
        <f t="shared" ref="D215:N215" si="116">D216/D214</f>
        <v>#DIV/0!</v>
      </c>
      <c r="E215" s="43" t="e">
        <f t="shared" si="116"/>
        <v>#DIV/0!</v>
      </c>
      <c r="F215" s="44">
        <f t="shared" si="116"/>
        <v>1.8493000000000002</v>
      </c>
      <c r="G215" s="43" t="e">
        <f t="shared" si="116"/>
        <v>#DIV/0!</v>
      </c>
      <c r="H215" s="44">
        <f t="shared" si="116"/>
        <v>1.8493999999999999</v>
      </c>
      <c r="I215" s="43" t="e">
        <f t="shared" si="116"/>
        <v>#DIV/0!</v>
      </c>
      <c r="J215" s="44" t="e">
        <f t="shared" si="116"/>
        <v>#DIV/0!</v>
      </c>
      <c r="K215" s="43">
        <f t="shared" si="116"/>
        <v>1.8493000000000002</v>
      </c>
      <c r="L215" s="44" t="e">
        <f t="shared" si="116"/>
        <v>#DIV/0!</v>
      </c>
      <c r="M215" s="43" t="e">
        <f t="shared" si="116"/>
        <v>#DIV/0!</v>
      </c>
      <c r="N215" s="44" t="e">
        <f t="shared" si="116"/>
        <v>#DIV/0!</v>
      </c>
      <c r="O215" s="45">
        <f>IF(O214=0,0,+O216/O214)</f>
        <v>1.8493199999999999</v>
      </c>
      <c r="Q215" s="33"/>
      <c r="R215" s="46"/>
      <c r="S215" s="46"/>
      <c r="T215" s="47"/>
      <c r="U215" s="47"/>
      <c r="V215" s="41"/>
      <c r="W215" s="8"/>
    </row>
    <row r="216" spans="1:23">
      <c r="A216" s="42"/>
      <c r="B216" s="35" t="s">
        <v>15</v>
      </c>
      <c r="C216" s="48">
        <v>0</v>
      </c>
      <c r="D216" s="49">
        <v>0</v>
      </c>
      <c r="E216" s="48">
        <v>0</v>
      </c>
      <c r="F216" s="49">
        <v>184.93</v>
      </c>
      <c r="G216" s="48">
        <v>0</v>
      </c>
      <c r="H216" s="49">
        <v>92.47</v>
      </c>
      <c r="I216" s="48">
        <v>0</v>
      </c>
      <c r="J216" s="49">
        <v>0</v>
      </c>
      <c r="K216" s="48">
        <v>184.93</v>
      </c>
      <c r="L216" s="49">
        <v>0</v>
      </c>
      <c r="M216" s="48">
        <v>0</v>
      </c>
      <c r="N216" s="49">
        <v>0</v>
      </c>
      <c r="O216" s="50">
        <f>SUM(C216:N216)</f>
        <v>462.33</v>
      </c>
      <c r="Q216" s="33"/>
      <c r="R216" s="40"/>
      <c r="S216" s="40"/>
      <c r="T216" s="40"/>
      <c r="U216" s="40"/>
      <c r="V216" s="41"/>
      <c r="W216" s="8"/>
    </row>
    <row r="217" spans="1:23" ht="16.5" thickBot="1">
      <c r="A217" s="51"/>
      <c r="B217" s="52" t="s">
        <v>59</v>
      </c>
      <c r="C217" s="53">
        <f t="shared" ref="C217:I217" si="117">C216/C$197</f>
        <v>0</v>
      </c>
      <c r="D217" s="54">
        <f t="shared" si="117"/>
        <v>0</v>
      </c>
      <c r="E217" s="53">
        <f t="shared" si="117"/>
        <v>0</v>
      </c>
      <c r="F217" s="54">
        <f t="shared" si="117"/>
        <v>6.7205727368535815</v>
      </c>
      <c r="G217" s="53">
        <f t="shared" si="117"/>
        <v>0</v>
      </c>
      <c r="H217" s="54">
        <f t="shared" si="117"/>
        <v>2.939848667895975</v>
      </c>
      <c r="I217" s="53">
        <f t="shared" si="117"/>
        <v>0</v>
      </c>
      <c r="J217" s="54">
        <v>0</v>
      </c>
      <c r="K217" s="53">
        <f>K216/K$197</f>
        <v>6.3639492067861934</v>
      </c>
      <c r="L217" s="54">
        <f>L216/L$197</f>
        <v>0</v>
      </c>
      <c r="M217" s="53">
        <f>M216/M$197</f>
        <v>0</v>
      </c>
      <c r="N217" s="54">
        <f>N216/N$197</f>
        <v>0</v>
      </c>
      <c r="O217" s="55">
        <f>O216/O$197</f>
        <v>1.2843142157107856</v>
      </c>
      <c r="Q217" s="33"/>
      <c r="R217" s="46"/>
      <c r="S217" s="56"/>
      <c r="T217" s="57"/>
      <c r="U217" s="57"/>
      <c r="V217" s="41"/>
    </row>
    <row r="218" spans="1:23">
      <c r="A218" s="181" t="s">
        <v>63</v>
      </c>
      <c r="B218" s="29" t="s">
        <v>55</v>
      </c>
      <c r="C218" s="30">
        <v>0</v>
      </c>
      <c r="D218" s="31">
        <v>0</v>
      </c>
      <c r="E218" s="30">
        <v>0</v>
      </c>
      <c r="F218" s="31">
        <v>0</v>
      </c>
      <c r="G218" s="30">
        <v>0</v>
      </c>
      <c r="H218" s="31">
        <v>0</v>
      </c>
      <c r="I218" s="30">
        <v>0</v>
      </c>
      <c r="J218" s="31">
        <v>0</v>
      </c>
      <c r="K218" s="30">
        <v>0</v>
      </c>
      <c r="L218" s="31">
        <v>0</v>
      </c>
      <c r="M218" s="30">
        <v>0</v>
      </c>
      <c r="N218" s="31">
        <v>0</v>
      </c>
      <c r="O218" s="32">
        <f>O219/O$197</f>
        <v>0</v>
      </c>
    </row>
    <row r="219" spans="1:23">
      <c r="A219" s="34" t="s">
        <v>64</v>
      </c>
      <c r="B219" s="35" t="s">
        <v>57</v>
      </c>
      <c r="C219" s="65">
        <f t="shared" ref="C219:I219" si="118">C$197*C218</f>
        <v>0</v>
      </c>
      <c r="D219" s="66">
        <f t="shared" si="118"/>
        <v>0</v>
      </c>
      <c r="E219" s="65">
        <f t="shared" si="118"/>
        <v>0</v>
      </c>
      <c r="F219" s="66">
        <f t="shared" si="118"/>
        <v>0</v>
      </c>
      <c r="G219" s="65">
        <f t="shared" si="118"/>
        <v>0</v>
      </c>
      <c r="H219" s="66">
        <f t="shared" si="118"/>
        <v>0</v>
      </c>
      <c r="I219" s="65">
        <f t="shared" si="118"/>
        <v>0</v>
      </c>
      <c r="J219" s="66">
        <v>0</v>
      </c>
      <c r="K219" s="65">
        <f>K$197*K218</f>
        <v>0</v>
      </c>
      <c r="L219" s="66">
        <f>L$197*L218</f>
        <v>0</v>
      </c>
      <c r="M219" s="65">
        <f>M$197*M218</f>
        <v>0</v>
      </c>
      <c r="N219" s="66">
        <f>N$197*N218</f>
        <v>0</v>
      </c>
      <c r="O219" s="67">
        <f>SUM(C219:N219)</f>
        <v>0</v>
      </c>
    </row>
    <row r="220" spans="1:23">
      <c r="A220" s="34"/>
      <c r="B220" s="35" t="s">
        <v>58</v>
      </c>
      <c r="C220" s="43">
        <f>'[10]Price Changes'!F43</f>
        <v>0</v>
      </c>
      <c r="D220" s="44">
        <f t="shared" ref="D220:I220" si="119">C220</f>
        <v>0</v>
      </c>
      <c r="E220" s="43">
        <f t="shared" si="119"/>
        <v>0</v>
      </c>
      <c r="F220" s="44">
        <f t="shared" si="119"/>
        <v>0</v>
      </c>
      <c r="G220" s="43">
        <f t="shared" si="119"/>
        <v>0</v>
      </c>
      <c r="H220" s="44">
        <f t="shared" si="119"/>
        <v>0</v>
      </c>
      <c r="I220" s="43">
        <f t="shared" si="119"/>
        <v>0</v>
      </c>
      <c r="J220" s="44">
        <v>0</v>
      </c>
      <c r="K220" s="43">
        <f>J220</f>
        <v>0</v>
      </c>
      <c r="L220" s="44">
        <f>K220</f>
        <v>0</v>
      </c>
      <c r="M220" s="43">
        <f>L220</f>
        <v>0</v>
      </c>
      <c r="N220" s="44">
        <f>M220</f>
        <v>0</v>
      </c>
      <c r="O220" s="45">
        <f>IF(O219=0,0,+O221/O219)</f>
        <v>0</v>
      </c>
    </row>
    <row r="221" spans="1:23">
      <c r="A221" s="42"/>
      <c r="B221" s="35" t="s">
        <v>15</v>
      </c>
      <c r="C221" s="48">
        <f t="shared" ref="C221:I221" si="120">C219*C220</f>
        <v>0</v>
      </c>
      <c r="D221" s="49">
        <f t="shared" si="120"/>
        <v>0</v>
      </c>
      <c r="E221" s="48">
        <f t="shared" si="120"/>
        <v>0</v>
      </c>
      <c r="F221" s="49">
        <f t="shared" si="120"/>
        <v>0</v>
      </c>
      <c r="G221" s="48">
        <f t="shared" si="120"/>
        <v>0</v>
      </c>
      <c r="H221" s="49">
        <f t="shared" si="120"/>
        <v>0</v>
      </c>
      <c r="I221" s="48">
        <f t="shared" si="120"/>
        <v>0</v>
      </c>
      <c r="J221" s="49">
        <v>0</v>
      </c>
      <c r="K221" s="48">
        <f>K219*K220</f>
        <v>0</v>
      </c>
      <c r="L221" s="49">
        <f>L219*L220</f>
        <v>0</v>
      </c>
      <c r="M221" s="48">
        <f>M219*M220</f>
        <v>0</v>
      </c>
      <c r="N221" s="49">
        <f>N219*N220</f>
        <v>0</v>
      </c>
      <c r="O221" s="50">
        <f>SUM(C221:N221)</f>
        <v>0</v>
      </c>
    </row>
    <row r="222" spans="1:23" ht="13.5" thickBot="1">
      <c r="A222" s="51"/>
      <c r="B222" s="52" t="s">
        <v>59</v>
      </c>
      <c r="C222" s="53">
        <f t="shared" ref="C222:I222" si="121">C221/C$197</f>
        <v>0</v>
      </c>
      <c r="D222" s="54">
        <f t="shared" si="121"/>
        <v>0</v>
      </c>
      <c r="E222" s="53">
        <f t="shared" si="121"/>
        <v>0</v>
      </c>
      <c r="F222" s="54">
        <f t="shared" si="121"/>
        <v>0</v>
      </c>
      <c r="G222" s="53">
        <f t="shared" si="121"/>
        <v>0</v>
      </c>
      <c r="H222" s="54">
        <f t="shared" si="121"/>
        <v>0</v>
      </c>
      <c r="I222" s="53">
        <f t="shared" si="121"/>
        <v>0</v>
      </c>
      <c r="J222" s="54">
        <v>0</v>
      </c>
      <c r="K222" s="53">
        <f>K221/K$197</f>
        <v>0</v>
      </c>
      <c r="L222" s="54">
        <f>L221/L$197</f>
        <v>0</v>
      </c>
      <c r="M222" s="53">
        <f>M221/M$197</f>
        <v>0</v>
      </c>
      <c r="N222" s="54">
        <f>N221/N$197</f>
        <v>0</v>
      </c>
      <c r="O222" s="55">
        <f>O221/O$197</f>
        <v>0</v>
      </c>
    </row>
    <row r="223" spans="1:23">
      <c r="A223" s="28" t="s">
        <v>65</v>
      </c>
      <c r="B223" s="29" t="s">
        <v>55</v>
      </c>
      <c r="C223" s="30">
        <f>C224/C$197</f>
        <v>844.29530201342288</v>
      </c>
      <c r="D223" s="31">
        <f t="shared" ref="D223:O223" si="122">D224/D$197</f>
        <v>896.68602894268543</v>
      </c>
      <c r="E223" s="30">
        <f t="shared" si="122"/>
        <v>1143.5263765360853</v>
      </c>
      <c r="F223" s="31">
        <f t="shared" si="122"/>
        <v>1114.0022531525965</v>
      </c>
      <c r="G223" s="30">
        <f t="shared" si="122"/>
        <v>1115.8371040723982</v>
      </c>
      <c r="H223" s="31">
        <f t="shared" si="122"/>
        <v>1053.4431232911554</v>
      </c>
      <c r="I223" s="30">
        <f t="shared" si="122"/>
        <v>1000.3261965482474</v>
      </c>
      <c r="J223" s="31">
        <f t="shared" si="122"/>
        <v>1067.8518242740133</v>
      </c>
      <c r="K223" s="30">
        <f t="shared" si="122"/>
        <v>1059.5684641591245</v>
      </c>
      <c r="L223" s="31">
        <f t="shared" si="122"/>
        <v>822.29280592029863</v>
      </c>
      <c r="M223" s="30">
        <f t="shared" si="122"/>
        <v>1449.9466002135991</v>
      </c>
      <c r="N223" s="31">
        <f t="shared" si="122"/>
        <v>1233.2492091138522</v>
      </c>
      <c r="O223" s="32">
        <f t="shared" si="122"/>
        <v>1063.1476018245357</v>
      </c>
      <c r="Q223" s="33"/>
    </row>
    <row r="224" spans="1:23">
      <c r="A224" s="182" t="s">
        <v>64</v>
      </c>
      <c r="B224" s="35" t="s">
        <v>57</v>
      </c>
      <c r="C224" s="36">
        <v>24531</v>
      </c>
      <c r="D224" s="37">
        <v>26706</v>
      </c>
      <c r="E224" s="36">
        <v>33686</v>
      </c>
      <c r="F224" s="37">
        <v>30654</v>
      </c>
      <c r="G224" s="36">
        <v>34524</v>
      </c>
      <c r="H224" s="37">
        <v>33135</v>
      </c>
      <c r="I224" s="36">
        <v>33733</v>
      </c>
      <c r="J224" s="37">
        <v>34419</v>
      </c>
      <c r="K224" s="36">
        <v>30790</v>
      </c>
      <c r="L224" s="37">
        <v>25112</v>
      </c>
      <c r="M224" s="36">
        <v>40729</v>
      </c>
      <c r="N224" s="37">
        <v>34695</v>
      </c>
      <c r="O224" s="38">
        <f>SUM(C224:N224)</f>
        <v>382714</v>
      </c>
      <c r="Q224" s="33"/>
      <c r="R224" s="57"/>
      <c r="S224" s="57"/>
      <c r="T224" s="57"/>
      <c r="U224" s="57"/>
      <c r="V224" s="41"/>
      <c r="W224" s="8"/>
    </row>
    <row r="225" spans="1:23" ht="15.75">
      <c r="A225" s="42"/>
      <c r="B225" s="35" t="s">
        <v>58</v>
      </c>
      <c r="C225" s="43">
        <f>C226/C224</f>
        <v>0.25299987770576005</v>
      </c>
      <c r="D225" s="44">
        <f t="shared" ref="D225:N225" si="123">D226/D224</f>
        <v>0.23529993259941587</v>
      </c>
      <c r="E225" s="43">
        <f t="shared" si="123"/>
        <v>0.23530012468087633</v>
      </c>
      <c r="F225" s="44">
        <f t="shared" si="123"/>
        <v>0.22110001957330203</v>
      </c>
      <c r="G225" s="43">
        <f t="shared" si="123"/>
        <v>0.22019986096628433</v>
      </c>
      <c r="H225" s="44">
        <f t="shared" si="123"/>
        <v>0.22</v>
      </c>
      <c r="I225" s="43">
        <f t="shared" si="123"/>
        <v>0.22</v>
      </c>
      <c r="J225" s="44">
        <f t="shared" si="123"/>
        <v>0.22</v>
      </c>
      <c r="K225" s="43">
        <f t="shared" si="123"/>
        <v>0.22</v>
      </c>
      <c r="L225" s="44">
        <f t="shared" si="123"/>
        <v>0.22</v>
      </c>
      <c r="M225" s="43">
        <f t="shared" si="123"/>
        <v>0.21999999999999997</v>
      </c>
      <c r="N225" s="44">
        <f t="shared" si="123"/>
        <v>0.22</v>
      </c>
      <c r="O225" s="45">
        <f>IF(O224=0,0,+O226/O224)</f>
        <v>0.22463568095235606</v>
      </c>
      <c r="Q225" s="33"/>
      <c r="R225" s="46"/>
      <c r="S225" s="46"/>
      <c r="T225" s="47"/>
      <c r="U225" s="47"/>
      <c r="V225" s="41"/>
      <c r="W225" s="8"/>
    </row>
    <row r="226" spans="1:23">
      <c r="A226" s="42"/>
      <c r="B226" s="35" t="s">
        <v>15</v>
      </c>
      <c r="C226" s="48">
        <v>6206.34</v>
      </c>
      <c r="D226" s="49">
        <v>6283.92</v>
      </c>
      <c r="E226" s="48">
        <v>7926.32</v>
      </c>
      <c r="F226" s="49">
        <v>6777.6</v>
      </c>
      <c r="G226" s="48">
        <v>7602.18</v>
      </c>
      <c r="H226" s="49">
        <v>7289.7</v>
      </c>
      <c r="I226" s="48">
        <v>7421.26</v>
      </c>
      <c r="J226" s="49">
        <v>7572.18</v>
      </c>
      <c r="K226" s="48">
        <v>6773.8</v>
      </c>
      <c r="L226" s="49">
        <v>5524.64</v>
      </c>
      <c r="M226" s="48">
        <v>8960.3799999999992</v>
      </c>
      <c r="N226" s="49">
        <v>7632.9</v>
      </c>
      <c r="O226" s="50">
        <f>SUM(C226:N226)</f>
        <v>85971.22</v>
      </c>
      <c r="Q226" s="33"/>
      <c r="R226" s="40"/>
      <c r="S226" s="40"/>
      <c r="T226" s="40"/>
      <c r="U226" s="40"/>
      <c r="V226" s="41"/>
    </row>
    <row r="227" spans="1:23" ht="16.5" thickBot="1">
      <c r="A227" s="51"/>
      <c r="B227" s="52" t="s">
        <v>59</v>
      </c>
      <c r="C227" s="53">
        <f t="shared" ref="C227:I227" si="124">C226/C$197</f>
        <v>213.60660815694374</v>
      </c>
      <c r="D227" s="54">
        <f t="shared" si="124"/>
        <v>210.99016217305174</v>
      </c>
      <c r="E227" s="53">
        <f t="shared" si="124"/>
        <v>269.07189897481157</v>
      </c>
      <c r="F227" s="54">
        <f t="shared" si="124"/>
        <v>246.30591997674168</v>
      </c>
      <c r="G227" s="53">
        <f t="shared" si="124"/>
        <v>245.70717517776342</v>
      </c>
      <c r="H227" s="54">
        <f t="shared" si="124"/>
        <v>231.75748712405417</v>
      </c>
      <c r="I227" s="53">
        <f t="shared" si="124"/>
        <v>220.07176324061444</v>
      </c>
      <c r="J227" s="54">
        <v>312.42575172361256</v>
      </c>
      <c r="K227" s="53">
        <f>K226/K$197</f>
        <v>233.1050621150074</v>
      </c>
      <c r="L227" s="54">
        <f>L226/L$197</f>
        <v>180.9044173024657</v>
      </c>
      <c r="M227" s="53">
        <f>M226/M$197</f>
        <v>318.98825204699176</v>
      </c>
      <c r="N227" s="54">
        <f>N226/N$197</f>
        <v>271.31482600504745</v>
      </c>
      <c r="O227" s="55">
        <f>O226/O$197</f>
        <v>238.82088548871891</v>
      </c>
      <c r="Q227" s="33"/>
      <c r="R227" s="56"/>
      <c r="S227" s="56"/>
      <c r="T227" s="57"/>
      <c r="U227" s="57"/>
      <c r="V227" s="41"/>
    </row>
    <row r="228" spans="1:23">
      <c r="A228" s="28" t="s">
        <v>66</v>
      </c>
      <c r="B228" s="29" t="s">
        <v>55</v>
      </c>
      <c r="C228" s="30">
        <f>C229/C$197</f>
        <v>36.276028222336947</v>
      </c>
      <c r="D228" s="31">
        <f t="shared" ref="D228:O228" si="125">D229/D$197</f>
        <v>29.849242856663196</v>
      </c>
      <c r="E228" s="30">
        <f t="shared" si="125"/>
        <v>29.940932853554216</v>
      </c>
      <c r="F228" s="31">
        <f t="shared" si="125"/>
        <v>38.557982338190939</v>
      </c>
      <c r="G228" s="30">
        <f t="shared" si="125"/>
        <v>31.027795733678087</v>
      </c>
      <c r="H228" s="31">
        <f t="shared" si="125"/>
        <v>37.642271253258727</v>
      </c>
      <c r="I228" s="30">
        <f t="shared" si="125"/>
        <v>19.660755589822667</v>
      </c>
      <c r="J228" s="31">
        <f t="shared" si="125"/>
        <v>36.361379995035989</v>
      </c>
      <c r="K228" s="30">
        <f t="shared" si="125"/>
        <v>30.007914931690696</v>
      </c>
      <c r="L228" s="31">
        <f t="shared" si="125"/>
        <v>31.926389207243197</v>
      </c>
      <c r="M228" s="30">
        <f t="shared" si="125"/>
        <v>24.314702741189034</v>
      </c>
      <c r="N228" s="31">
        <f t="shared" si="125"/>
        <v>37.109444424696974</v>
      </c>
      <c r="O228" s="32">
        <f t="shared" si="125"/>
        <v>31.776588829441476</v>
      </c>
      <c r="Q228" s="33"/>
    </row>
    <row r="229" spans="1:23">
      <c r="A229" s="34" t="s">
        <v>64</v>
      </c>
      <c r="B229" s="35" t="s">
        <v>57</v>
      </c>
      <c r="C229" s="36">
        <v>1054</v>
      </c>
      <c r="D229" s="37">
        <v>889</v>
      </c>
      <c r="E229" s="36">
        <v>882</v>
      </c>
      <c r="F229" s="37">
        <v>1061</v>
      </c>
      <c r="G229" s="36">
        <v>960</v>
      </c>
      <c r="H229" s="37">
        <v>1184</v>
      </c>
      <c r="I229" s="36">
        <v>663</v>
      </c>
      <c r="J229" s="37">
        <v>1172</v>
      </c>
      <c r="K229" s="36">
        <v>872</v>
      </c>
      <c r="L229" s="37">
        <v>975</v>
      </c>
      <c r="M229" s="36">
        <v>683</v>
      </c>
      <c r="N229" s="37">
        <v>1044</v>
      </c>
      <c r="O229" s="38">
        <f>SUM(C229:N229)</f>
        <v>11439</v>
      </c>
      <c r="Q229" s="33"/>
      <c r="R229" s="57"/>
      <c r="S229" s="57"/>
      <c r="T229" s="57"/>
      <c r="U229" s="57"/>
      <c r="V229" s="41"/>
      <c r="W229" s="8"/>
    </row>
    <row r="230" spans="1:23" ht="15.75">
      <c r="A230" s="42"/>
      <c r="B230" s="35" t="s">
        <v>58</v>
      </c>
      <c r="C230" s="43">
        <f>C231/C229</f>
        <v>0.43000000000000005</v>
      </c>
      <c r="D230" s="44">
        <f t="shared" ref="D230:N230" si="126">D231/D229</f>
        <v>0.42239595050618672</v>
      </c>
      <c r="E230" s="43">
        <f t="shared" si="126"/>
        <v>0.42240362811791382</v>
      </c>
      <c r="F230" s="44">
        <f t="shared" si="126"/>
        <v>0.42060320452403394</v>
      </c>
      <c r="G230" s="43">
        <f t="shared" si="126"/>
        <v>0.42010416666666667</v>
      </c>
      <c r="H230" s="44">
        <f t="shared" si="126"/>
        <v>0.42010135135135135</v>
      </c>
      <c r="I230" s="43">
        <f t="shared" si="126"/>
        <v>0.42</v>
      </c>
      <c r="J230" s="44">
        <f t="shared" si="126"/>
        <v>0.42</v>
      </c>
      <c r="K230" s="43">
        <f t="shared" si="126"/>
        <v>0.42</v>
      </c>
      <c r="L230" s="44">
        <f t="shared" si="126"/>
        <v>0.42</v>
      </c>
      <c r="M230" s="43">
        <f t="shared" si="126"/>
        <v>0.42000000000000004</v>
      </c>
      <c r="N230" s="44">
        <f t="shared" si="126"/>
        <v>0.42000000000000004</v>
      </c>
      <c r="O230" s="45">
        <f>IF(O229=0,0,+O231/O229)</f>
        <v>0.42136812658449158</v>
      </c>
      <c r="Q230" s="33"/>
      <c r="R230" s="46"/>
      <c r="S230" s="46"/>
      <c r="T230" s="47"/>
      <c r="U230" s="47"/>
      <c r="V230" s="41"/>
      <c r="W230" s="8"/>
    </row>
    <row r="231" spans="1:23">
      <c r="A231" s="42"/>
      <c r="B231" s="35" t="s">
        <v>15</v>
      </c>
      <c r="C231" s="48">
        <v>453.22</v>
      </c>
      <c r="D231" s="49">
        <v>375.51</v>
      </c>
      <c r="E231" s="48">
        <v>372.56</v>
      </c>
      <c r="F231" s="49">
        <v>446.26</v>
      </c>
      <c r="G231" s="48">
        <v>403.3</v>
      </c>
      <c r="H231" s="49">
        <v>497.4</v>
      </c>
      <c r="I231" s="48">
        <v>278.45999999999998</v>
      </c>
      <c r="J231" s="49">
        <v>492.24</v>
      </c>
      <c r="K231" s="48">
        <v>366.24</v>
      </c>
      <c r="L231" s="49">
        <v>409.5</v>
      </c>
      <c r="M231" s="48">
        <v>286.86</v>
      </c>
      <c r="N231" s="49">
        <v>438.48</v>
      </c>
      <c r="O231" s="50">
        <f>SUM(C231:N231)</f>
        <v>4820.0299999999988</v>
      </c>
      <c r="Q231" s="33"/>
      <c r="R231" s="40"/>
      <c r="S231" s="40"/>
      <c r="T231" s="40"/>
      <c r="U231" s="40"/>
      <c r="V231" s="41"/>
    </row>
    <row r="232" spans="1:23" ht="16.5" thickBot="1">
      <c r="A232" s="51"/>
      <c r="B232" s="52" t="s">
        <v>59</v>
      </c>
      <c r="C232" s="53">
        <f t="shared" ref="C232:I232" si="127">C231/C$197</f>
        <v>15.598692135604889</v>
      </c>
      <c r="D232" s="54">
        <f t="shared" si="127"/>
        <v>12.608199308330255</v>
      </c>
      <c r="E232" s="53">
        <f t="shared" si="127"/>
        <v>12.647158666576143</v>
      </c>
      <c r="F232" s="54">
        <f t="shared" si="127"/>
        <v>16.217610931424211</v>
      </c>
      <c r="G232" s="53">
        <f t="shared" si="127"/>
        <v>13.034906270200388</v>
      </c>
      <c r="H232" s="54">
        <f t="shared" si="127"/>
        <v>15.813569021428115</v>
      </c>
      <c r="I232" s="53">
        <f t="shared" si="127"/>
        <v>8.2575173477255195</v>
      </c>
      <c r="J232" s="54">
        <v>20.30966670475755</v>
      </c>
      <c r="K232" s="53">
        <f>K231/K$197</f>
        <v>12.603324271310093</v>
      </c>
      <c r="L232" s="54">
        <f>L231/L$197</f>
        <v>13.409083467042143</v>
      </c>
      <c r="M232" s="53">
        <f>M231/M$197</f>
        <v>10.212175151299395</v>
      </c>
      <c r="N232" s="54">
        <f>N231/N$197</f>
        <v>15.585966658372731</v>
      </c>
      <c r="O232" s="55">
        <f>O231/O$197</f>
        <v>13.389641704307435</v>
      </c>
      <c r="Q232" s="33"/>
      <c r="R232" s="46"/>
      <c r="S232" s="56"/>
      <c r="T232" s="57"/>
      <c r="U232" s="57"/>
      <c r="V232" s="41"/>
    </row>
    <row r="233" spans="1:23">
      <c r="A233" s="69" t="s">
        <v>67</v>
      </c>
      <c r="B233" s="29" t="s">
        <v>55</v>
      </c>
      <c r="C233" s="30">
        <v>0</v>
      </c>
      <c r="D233" s="31">
        <v>0</v>
      </c>
      <c r="E233" s="30">
        <v>0</v>
      </c>
      <c r="F233" s="31">
        <v>0</v>
      </c>
      <c r="G233" s="30">
        <v>0</v>
      </c>
      <c r="H233" s="31">
        <v>0</v>
      </c>
      <c r="I233" s="30">
        <v>0</v>
      </c>
      <c r="J233" s="31">
        <v>0</v>
      </c>
      <c r="K233" s="30">
        <v>0</v>
      </c>
      <c r="L233" s="31">
        <v>0</v>
      </c>
      <c r="M233" s="30">
        <v>0</v>
      </c>
      <c r="N233" s="31">
        <v>0</v>
      </c>
      <c r="O233" s="32">
        <f>O234/O$197</f>
        <v>0</v>
      </c>
    </row>
    <row r="234" spans="1:23">
      <c r="A234" s="34" t="s">
        <v>64</v>
      </c>
      <c r="B234" s="35" t="s">
        <v>57</v>
      </c>
      <c r="C234" s="65">
        <f t="shared" ref="C234:I234" si="128">C$197*C233</f>
        <v>0</v>
      </c>
      <c r="D234" s="66">
        <f t="shared" si="128"/>
        <v>0</v>
      </c>
      <c r="E234" s="65">
        <f t="shared" si="128"/>
        <v>0</v>
      </c>
      <c r="F234" s="66">
        <f t="shared" si="128"/>
        <v>0</v>
      </c>
      <c r="G234" s="65">
        <f t="shared" si="128"/>
        <v>0</v>
      </c>
      <c r="H234" s="66">
        <f t="shared" si="128"/>
        <v>0</v>
      </c>
      <c r="I234" s="65">
        <f t="shared" si="128"/>
        <v>0</v>
      </c>
      <c r="J234" s="66">
        <v>0</v>
      </c>
      <c r="K234" s="65">
        <f>K$197*K233</f>
        <v>0</v>
      </c>
      <c r="L234" s="66">
        <f>L$197*L233</f>
        <v>0</v>
      </c>
      <c r="M234" s="65">
        <f>M$197*M233</f>
        <v>0</v>
      </c>
      <c r="N234" s="66">
        <f>N$197*N233</f>
        <v>0</v>
      </c>
      <c r="O234" s="67">
        <f>SUM(C234:N234)</f>
        <v>0</v>
      </c>
    </row>
    <row r="235" spans="1:23">
      <c r="A235" s="42"/>
      <c r="B235" s="35" t="s">
        <v>58</v>
      </c>
      <c r="C235" s="43">
        <f>'[10]Price Changes'!F46</f>
        <v>0</v>
      </c>
      <c r="D235" s="44">
        <f t="shared" ref="D235:I235" si="129">C235</f>
        <v>0</v>
      </c>
      <c r="E235" s="43">
        <f t="shared" si="129"/>
        <v>0</v>
      </c>
      <c r="F235" s="44">
        <f t="shared" si="129"/>
        <v>0</v>
      </c>
      <c r="G235" s="43">
        <f t="shared" si="129"/>
        <v>0</v>
      </c>
      <c r="H235" s="44">
        <f t="shared" si="129"/>
        <v>0</v>
      </c>
      <c r="I235" s="43">
        <f t="shared" si="129"/>
        <v>0</v>
      </c>
      <c r="J235" s="44">
        <v>0</v>
      </c>
      <c r="K235" s="43">
        <f>J235</f>
        <v>0</v>
      </c>
      <c r="L235" s="44">
        <f>K235</f>
        <v>0</v>
      </c>
      <c r="M235" s="43">
        <f>L235</f>
        <v>0</v>
      </c>
      <c r="N235" s="44">
        <f>M235</f>
        <v>0</v>
      </c>
      <c r="O235" s="45">
        <f>IF(O234=0,0,+O236/O234)</f>
        <v>0</v>
      </c>
    </row>
    <row r="236" spans="1:23">
      <c r="A236" s="42"/>
      <c r="B236" s="35" t="s">
        <v>15</v>
      </c>
      <c r="C236" s="48">
        <f t="shared" ref="C236:I236" si="130">C234*C235</f>
        <v>0</v>
      </c>
      <c r="D236" s="49">
        <f t="shared" si="130"/>
        <v>0</v>
      </c>
      <c r="E236" s="48">
        <f t="shared" si="130"/>
        <v>0</v>
      </c>
      <c r="F236" s="49">
        <f t="shared" si="130"/>
        <v>0</v>
      </c>
      <c r="G236" s="48">
        <f t="shared" si="130"/>
        <v>0</v>
      </c>
      <c r="H236" s="49">
        <f t="shared" si="130"/>
        <v>0</v>
      </c>
      <c r="I236" s="48">
        <f t="shared" si="130"/>
        <v>0</v>
      </c>
      <c r="J236" s="49">
        <v>0</v>
      </c>
      <c r="K236" s="48">
        <f>K234*K235</f>
        <v>0</v>
      </c>
      <c r="L236" s="49">
        <f>L234*L235</f>
        <v>0</v>
      </c>
      <c r="M236" s="48">
        <f>M234*M235</f>
        <v>0</v>
      </c>
      <c r="N236" s="49">
        <f>N234*N235</f>
        <v>0</v>
      </c>
      <c r="O236" s="50">
        <f>SUM(C236:N236)</f>
        <v>0</v>
      </c>
    </row>
    <row r="237" spans="1:23" ht="13.5" thickBot="1">
      <c r="A237" s="51"/>
      <c r="B237" s="52" t="s">
        <v>59</v>
      </c>
      <c r="C237" s="53">
        <f t="shared" ref="C237:I237" si="131">C236/C$197</f>
        <v>0</v>
      </c>
      <c r="D237" s="54">
        <f t="shared" si="131"/>
        <v>0</v>
      </c>
      <c r="E237" s="53">
        <f t="shared" si="131"/>
        <v>0</v>
      </c>
      <c r="F237" s="54">
        <f t="shared" si="131"/>
        <v>0</v>
      </c>
      <c r="G237" s="53">
        <f t="shared" si="131"/>
        <v>0</v>
      </c>
      <c r="H237" s="54">
        <f t="shared" si="131"/>
        <v>0</v>
      </c>
      <c r="I237" s="53">
        <f t="shared" si="131"/>
        <v>0</v>
      </c>
      <c r="J237" s="54">
        <v>0</v>
      </c>
      <c r="K237" s="53">
        <f>K236/K$197</f>
        <v>0</v>
      </c>
      <c r="L237" s="54">
        <f>L236/L$197</f>
        <v>0</v>
      </c>
      <c r="M237" s="53">
        <f>M236/M$197</f>
        <v>0</v>
      </c>
      <c r="N237" s="54">
        <f>N236/N$197</f>
        <v>0</v>
      </c>
      <c r="O237" s="55">
        <f>O236/O$197</f>
        <v>0</v>
      </c>
    </row>
    <row r="238" spans="1:23">
      <c r="A238" s="28" t="s">
        <v>68</v>
      </c>
      <c r="B238" s="29" t="s">
        <v>55</v>
      </c>
      <c r="C238" s="30">
        <f>C239/C$197</f>
        <v>1.3078643951127173</v>
      </c>
      <c r="D238" s="31">
        <f t="shared" ref="D238:O238" si="132">D239/D$197</f>
        <v>0.94013363328073063</v>
      </c>
      <c r="E238" s="30">
        <f t="shared" si="132"/>
        <v>1.4936519790888725</v>
      </c>
      <c r="F238" s="31">
        <f t="shared" si="132"/>
        <v>52.731038994076393</v>
      </c>
      <c r="G238" s="30">
        <f t="shared" si="132"/>
        <v>3.1674208144796379</v>
      </c>
      <c r="H238" s="31">
        <f t="shared" si="132"/>
        <v>8.7747186367393653</v>
      </c>
      <c r="I238" s="30">
        <f t="shared" si="132"/>
        <v>5.337761698594389</v>
      </c>
      <c r="J238" s="31">
        <f t="shared" si="132"/>
        <v>4.4055596922313232</v>
      </c>
      <c r="K238" s="30">
        <f t="shared" si="132"/>
        <v>0</v>
      </c>
      <c r="L238" s="31">
        <f t="shared" si="132"/>
        <v>1.2443105537181964</v>
      </c>
      <c r="M238" s="30">
        <f t="shared" si="132"/>
        <v>0.96119615521537916</v>
      </c>
      <c r="N238" s="31">
        <f t="shared" si="132"/>
        <v>7.5711797533146132</v>
      </c>
      <c r="O238" s="32">
        <f t="shared" si="132"/>
        <v>7.0420187676050476</v>
      </c>
      <c r="Q238" s="33"/>
    </row>
    <row r="239" spans="1:23">
      <c r="A239" s="34" t="s">
        <v>64</v>
      </c>
      <c r="B239" s="35" t="s">
        <v>57</v>
      </c>
      <c r="C239" s="36">
        <v>38</v>
      </c>
      <c r="D239" s="37">
        <v>28</v>
      </c>
      <c r="E239" s="36">
        <v>44</v>
      </c>
      <c r="F239" s="37">
        <v>1451</v>
      </c>
      <c r="G239" s="36">
        <v>98</v>
      </c>
      <c r="H239" s="37">
        <v>276</v>
      </c>
      <c r="I239" s="36">
        <v>180</v>
      </c>
      <c r="J239" s="37">
        <v>142</v>
      </c>
      <c r="K239" s="36">
        <v>0</v>
      </c>
      <c r="L239" s="37">
        <v>38</v>
      </c>
      <c r="M239" s="36">
        <v>27</v>
      </c>
      <c r="N239" s="37">
        <v>213</v>
      </c>
      <c r="O239" s="38">
        <f>SUM(C239:N239)</f>
        <v>2535</v>
      </c>
      <c r="Q239" s="33"/>
      <c r="R239" s="57"/>
      <c r="S239" s="68"/>
      <c r="T239" s="68"/>
      <c r="U239" s="33"/>
      <c r="V239" s="41"/>
    </row>
    <row r="240" spans="1:23" ht="15.75">
      <c r="A240" s="42"/>
      <c r="B240" s="35" t="s">
        <v>58</v>
      </c>
      <c r="C240" s="43">
        <f>C241/C239</f>
        <v>0.91684210526315801</v>
      </c>
      <c r="D240" s="44">
        <f t="shared" ref="D240:N240" si="133">D241/D239</f>
        <v>0.91678571428571431</v>
      </c>
      <c r="E240" s="43">
        <f t="shared" si="133"/>
        <v>0.91681818181818187</v>
      </c>
      <c r="F240" s="44">
        <f t="shared" si="133"/>
        <v>0.53999999999999992</v>
      </c>
      <c r="G240" s="43">
        <f t="shared" si="133"/>
        <v>0.98908163265306126</v>
      </c>
      <c r="H240" s="44">
        <f t="shared" si="133"/>
        <v>0.98909420289855077</v>
      </c>
      <c r="I240" s="43">
        <f t="shared" si="133"/>
        <v>0.98911111111111105</v>
      </c>
      <c r="J240" s="44">
        <f t="shared" si="133"/>
        <v>0.98908450704225348</v>
      </c>
      <c r="K240" s="43" t="e">
        <f t="shared" si="133"/>
        <v>#DIV/0!</v>
      </c>
      <c r="L240" s="44">
        <f t="shared" si="133"/>
        <v>0.98921052631578954</v>
      </c>
      <c r="M240" s="43">
        <f t="shared" si="133"/>
        <v>1.0359259259259259</v>
      </c>
      <c r="N240" s="44">
        <f t="shared" si="133"/>
        <v>1.0361032863849766</v>
      </c>
      <c r="O240" s="45">
        <f>IF(O239=0,0,+O241/O239)</f>
        <v>0.73335305719921107</v>
      </c>
      <c r="Q240" s="33"/>
      <c r="R240" s="46"/>
      <c r="S240" s="80"/>
      <c r="T240" s="46"/>
      <c r="U240" s="47"/>
      <c r="V240" s="41"/>
    </row>
    <row r="241" spans="1:22">
      <c r="A241" s="42"/>
      <c r="B241" s="35" t="s">
        <v>15</v>
      </c>
      <c r="C241" s="48">
        <v>34.840000000000003</v>
      </c>
      <c r="D241" s="49">
        <v>25.67</v>
      </c>
      <c r="E241" s="48">
        <v>40.340000000000003</v>
      </c>
      <c r="F241" s="49">
        <v>783.54</v>
      </c>
      <c r="G241" s="48">
        <v>96.93</v>
      </c>
      <c r="H241" s="49">
        <v>272.99</v>
      </c>
      <c r="I241" s="48">
        <v>178.04</v>
      </c>
      <c r="J241" s="49">
        <v>140.44999999999999</v>
      </c>
      <c r="K241" s="48">
        <v>0</v>
      </c>
      <c r="L241" s="49">
        <v>37.590000000000003</v>
      </c>
      <c r="M241" s="48">
        <v>27.97</v>
      </c>
      <c r="N241" s="49">
        <v>220.69</v>
      </c>
      <c r="O241" s="50">
        <f>SUM(C241:N241)</f>
        <v>1859.05</v>
      </c>
      <c r="Q241" s="33"/>
      <c r="R241" s="40"/>
      <c r="S241" s="40"/>
      <c r="T241" s="40"/>
      <c r="U241" s="40"/>
      <c r="V241" s="41"/>
    </row>
    <row r="242" spans="1:22" ht="16.5" thickBot="1">
      <c r="A242" s="51"/>
      <c r="B242" s="52" t="s">
        <v>59</v>
      </c>
      <c r="C242" s="53">
        <f t="shared" ref="C242:I242" si="134">C241/C$197</f>
        <v>1.1991051454138704</v>
      </c>
      <c r="D242" s="54">
        <f t="shared" si="134"/>
        <v>0.86190108451129843</v>
      </c>
      <c r="E242" s="53">
        <f t="shared" si="134"/>
        <v>1.369407291737389</v>
      </c>
      <c r="F242" s="54">
        <f t="shared" si="134"/>
        <v>28.474761056801249</v>
      </c>
      <c r="G242" s="53">
        <f t="shared" si="134"/>
        <v>3.1328377504848093</v>
      </c>
      <c r="H242" s="54">
        <f t="shared" si="134"/>
        <v>8.6790233356647803</v>
      </c>
      <c r="I242" s="53">
        <f t="shared" si="134"/>
        <v>5.2796394045430279</v>
      </c>
      <c r="J242" s="54">
        <v>5.7949225757419098</v>
      </c>
      <c r="K242" s="53">
        <f>K241/K$197</f>
        <v>0</v>
      </c>
      <c r="L242" s="54">
        <f>L241/L$197</f>
        <v>1.2308850977438686</v>
      </c>
      <c r="M242" s="53">
        <f>M241/M$197</f>
        <v>0.99572801708793157</v>
      </c>
      <c r="N242" s="54">
        <f>N241/N$197</f>
        <v>7.8445242242206659</v>
      </c>
      <c r="O242" s="55">
        <f>O241/O$197</f>
        <v>5.1642859920773816</v>
      </c>
      <c r="Q242" s="33"/>
      <c r="R242" s="56"/>
      <c r="S242" s="80"/>
      <c r="T242" s="56"/>
      <c r="U242" s="57"/>
      <c r="V242" s="41"/>
    </row>
    <row r="243" spans="1:22">
      <c r="A243" s="28" t="s">
        <v>69</v>
      </c>
      <c r="B243" s="29" t="s">
        <v>55</v>
      </c>
      <c r="C243" s="30">
        <v>0</v>
      </c>
      <c r="D243" s="31">
        <v>0</v>
      </c>
      <c r="E243" s="30">
        <v>0</v>
      </c>
      <c r="F243" s="31">
        <f>F244/F$197</f>
        <v>1.7443762038012864</v>
      </c>
      <c r="G243" s="30">
        <v>0</v>
      </c>
      <c r="H243" s="31">
        <v>0</v>
      </c>
      <c r="I243" s="30">
        <v>0</v>
      </c>
      <c r="J243" s="31">
        <v>0</v>
      </c>
      <c r="K243" s="30">
        <v>0</v>
      </c>
      <c r="L243" s="31">
        <v>0</v>
      </c>
      <c r="M243" s="30">
        <v>0</v>
      </c>
      <c r="N243" s="31">
        <v>0</v>
      </c>
      <c r="O243" s="32">
        <f>O244/O$197</f>
        <v>0.13334000033335</v>
      </c>
      <c r="Q243" s="33"/>
    </row>
    <row r="244" spans="1:22">
      <c r="A244" s="34" t="s">
        <v>64</v>
      </c>
      <c r="B244" s="35" t="s">
        <v>57</v>
      </c>
      <c r="C244" s="65">
        <f>C$197*C243</f>
        <v>0</v>
      </c>
      <c r="D244" s="66">
        <f>D$197*D243</f>
        <v>0</v>
      </c>
      <c r="E244" s="65">
        <f>E$197*E243</f>
        <v>0</v>
      </c>
      <c r="F244" s="66">
        <v>48</v>
      </c>
      <c r="G244" s="65">
        <f>G$197*G243</f>
        <v>0</v>
      </c>
      <c r="H244" s="66">
        <f>H$197*H243</f>
        <v>0</v>
      </c>
      <c r="I244" s="65">
        <f>I$197*I243</f>
        <v>0</v>
      </c>
      <c r="J244" s="66">
        <v>0</v>
      </c>
      <c r="K244" s="65">
        <f>K$197*K243</f>
        <v>0</v>
      </c>
      <c r="L244" s="66">
        <f>L$197*L243</f>
        <v>0</v>
      </c>
      <c r="M244" s="65">
        <f>M$197*M243</f>
        <v>0</v>
      </c>
      <c r="N244" s="66">
        <f>N$197*N243</f>
        <v>0</v>
      </c>
      <c r="O244" s="67">
        <f>SUM(C244:N244)</f>
        <v>48</v>
      </c>
      <c r="Q244" s="33"/>
      <c r="R244" s="39"/>
      <c r="S244" s="39"/>
      <c r="T244" s="39"/>
      <c r="U244" s="39"/>
      <c r="V244" s="41"/>
    </row>
    <row r="245" spans="1:22" ht="15.75">
      <c r="A245" s="42"/>
      <c r="B245" s="35" t="s">
        <v>58</v>
      </c>
      <c r="C245" s="43" t="e">
        <f>C246/C244</f>
        <v>#DIV/0!</v>
      </c>
      <c r="D245" s="44" t="e">
        <f t="shared" ref="D245:N245" si="135">D246/D244</f>
        <v>#DIV/0!</v>
      </c>
      <c r="E245" s="43" t="e">
        <f t="shared" si="135"/>
        <v>#DIV/0!</v>
      </c>
      <c r="F245" s="44">
        <f t="shared" si="135"/>
        <v>0.916875</v>
      </c>
      <c r="G245" s="43" t="e">
        <f t="shared" si="135"/>
        <v>#DIV/0!</v>
      </c>
      <c r="H245" s="44" t="e">
        <f t="shared" si="135"/>
        <v>#DIV/0!</v>
      </c>
      <c r="I245" s="43" t="e">
        <f t="shared" si="135"/>
        <v>#DIV/0!</v>
      </c>
      <c r="J245" s="44" t="e">
        <f t="shared" si="135"/>
        <v>#DIV/0!</v>
      </c>
      <c r="K245" s="43" t="e">
        <f t="shared" si="135"/>
        <v>#DIV/0!</v>
      </c>
      <c r="L245" s="44" t="e">
        <f t="shared" si="135"/>
        <v>#DIV/0!</v>
      </c>
      <c r="M245" s="43" t="e">
        <f t="shared" si="135"/>
        <v>#DIV/0!</v>
      </c>
      <c r="N245" s="44" t="e">
        <f t="shared" si="135"/>
        <v>#DIV/0!</v>
      </c>
      <c r="O245" s="45">
        <f>IF(O244=0,0,+O246/O244)</f>
        <v>0.916875</v>
      </c>
      <c r="Q245" s="33"/>
      <c r="R245" s="46"/>
      <c r="S245" s="46"/>
      <c r="T245" s="47"/>
      <c r="U245" s="47"/>
      <c r="V245" s="41"/>
    </row>
    <row r="246" spans="1:22">
      <c r="A246" s="42"/>
      <c r="B246" s="35" t="s">
        <v>15</v>
      </c>
      <c r="C246" s="48">
        <v>0</v>
      </c>
      <c r="D246" s="49">
        <v>0</v>
      </c>
      <c r="E246" s="48">
        <v>0</v>
      </c>
      <c r="F246" s="49">
        <v>44.01</v>
      </c>
      <c r="G246" s="48">
        <v>0</v>
      </c>
      <c r="H246" s="49">
        <v>0</v>
      </c>
      <c r="I246" s="48">
        <v>0</v>
      </c>
      <c r="J246" s="49">
        <v>0</v>
      </c>
      <c r="K246" s="48">
        <v>0</v>
      </c>
      <c r="L246" s="49">
        <v>0</v>
      </c>
      <c r="M246" s="48">
        <v>0</v>
      </c>
      <c r="N246" s="49">
        <v>0</v>
      </c>
      <c r="O246" s="50">
        <f>SUM(C246:N246)</f>
        <v>44.01</v>
      </c>
      <c r="Q246" s="33"/>
      <c r="R246" s="40"/>
      <c r="S246" s="40"/>
      <c r="T246" s="40"/>
      <c r="U246" s="40"/>
      <c r="V246" s="41"/>
    </row>
    <row r="247" spans="1:22" ht="16.5" thickBot="1">
      <c r="A247" s="51"/>
      <c r="B247" s="52" t="s">
        <v>59</v>
      </c>
      <c r="C247" s="53">
        <f t="shared" ref="C247:I247" si="136">C246/C$197</f>
        <v>0</v>
      </c>
      <c r="D247" s="54">
        <f t="shared" si="136"/>
        <v>0</v>
      </c>
      <c r="E247" s="53">
        <f t="shared" si="136"/>
        <v>0</v>
      </c>
      <c r="F247" s="54">
        <f t="shared" si="136"/>
        <v>1.5993749318603045</v>
      </c>
      <c r="G247" s="53">
        <f t="shared" si="136"/>
        <v>0</v>
      </c>
      <c r="H247" s="54">
        <f t="shared" si="136"/>
        <v>0</v>
      </c>
      <c r="I247" s="53">
        <f t="shared" si="136"/>
        <v>0</v>
      </c>
      <c r="J247" s="54">
        <v>0</v>
      </c>
      <c r="K247" s="53">
        <f>K246/K$197</f>
        <v>0</v>
      </c>
      <c r="L247" s="54">
        <f>L246/L$197</f>
        <v>0</v>
      </c>
      <c r="M247" s="53">
        <f>M246/M$197</f>
        <v>0</v>
      </c>
      <c r="N247" s="54">
        <f>N246/N$197</f>
        <v>0</v>
      </c>
      <c r="O247" s="55">
        <f>O246/O$197</f>
        <v>0.12225611280564029</v>
      </c>
      <c r="Q247" s="33"/>
      <c r="R247" s="56"/>
      <c r="S247" s="56"/>
      <c r="T247" s="57"/>
      <c r="U247" s="57"/>
      <c r="V247" s="41"/>
    </row>
    <row r="248" spans="1:22">
      <c r="A248" s="28" t="s">
        <v>70</v>
      </c>
      <c r="B248" s="29" t="s">
        <v>55</v>
      </c>
      <c r="C248" s="30">
        <f>C249/C$197</f>
        <v>0</v>
      </c>
      <c r="D248" s="31">
        <v>0</v>
      </c>
      <c r="E248" s="30">
        <v>0.78201368523949166</v>
      </c>
      <c r="F248" s="31">
        <v>0</v>
      </c>
      <c r="G248" s="30">
        <v>0</v>
      </c>
      <c r="H248" s="31">
        <f>H249/H$197</f>
        <v>15.260380237807592</v>
      </c>
      <c r="I248" s="30">
        <v>0.78201368523949166</v>
      </c>
      <c r="J248" s="31">
        <f>J249/J$197</f>
        <v>0</v>
      </c>
      <c r="K248" s="30">
        <f>K249/K$197</f>
        <v>0</v>
      </c>
      <c r="L248" s="31">
        <v>0</v>
      </c>
      <c r="M248" s="30">
        <v>0</v>
      </c>
      <c r="N248" s="31">
        <v>0.78201368523949166</v>
      </c>
      <c r="O248" s="32">
        <f>O249/O$197</f>
        <v>1.3334000033335001</v>
      </c>
      <c r="P248" s="9"/>
      <c r="Q248" s="9"/>
      <c r="R248" s="9"/>
      <c r="S248" s="9"/>
      <c r="T248" s="9"/>
      <c r="U248" s="9"/>
      <c r="V248" s="70"/>
    </row>
    <row r="249" spans="1:22">
      <c r="A249" s="34" t="s">
        <v>71</v>
      </c>
      <c r="B249" s="35" t="s">
        <v>57</v>
      </c>
      <c r="C249" s="36">
        <v>0</v>
      </c>
      <c r="D249" s="37">
        <v>0</v>
      </c>
      <c r="E249" s="36">
        <v>0</v>
      </c>
      <c r="F249" s="37">
        <v>0</v>
      </c>
      <c r="G249" s="36">
        <v>0</v>
      </c>
      <c r="H249" s="37">
        <v>480</v>
      </c>
      <c r="I249" s="36">
        <v>0</v>
      </c>
      <c r="J249" s="37">
        <v>0</v>
      </c>
      <c r="K249" s="36">
        <v>0</v>
      </c>
      <c r="L249" s="37">
        <v>0</v>
      </c>
      <c r="M249" s="36">
        <v>0</v>
      </c>
      <c r="N249" s="37">
        <v>0</v>
      </c>
      <c r="O249" s="38">
        <f>SUM(C249:N249)</f>
        <v>480</v>
      </c>
      <c r="R249" s="15"/>
      <c r="S249" s="15"/>
      <c r="T249" s="15"/>
      <c r="U249" s="15"/>
      <c r="V249" s="71"/>
    </row>
    <row r="250" spans="1:22" ht="15.75">
      <c r="A250" s="34" t="s">
        <v>56</v>
      </c>
      <c r="B250" s="35" t="s">
        <v>58</v>
      </c>
      <c r="C250" s="43" t="e">
        <f>C251/C249</f>
        <v>#DIV/0!</v>
      </c>
      <c r="D250" s="44" t="e">
        <f t="shared" ref="D250:N250" si="137">D251/D249</f>
        <v>#DIV/0!</v>
      </c>
      <c r="E250" s="43" t="e">
        <f t="shared" si="137"/>
        <v>#DIV/0!</v>
      </c>
      <c r="F250" s="44" t="e">
        <f t="shared" si="137"/>
        <v>#DIV/0!</v>
      </c>
      <c r="G250" s="43" t="e">
        <f t="shared" si="137"/>
        <v>#DIV/0!</v>
      </c>
      <c r="H250" s="44">
        <f t="shared" si="137"/>
        <v>2.9818958333333332</v>
      </c>
      <c r="I250" s="43" t="e">
        <f t="shared" si="137"/>
        <v>#DIV/0!</v>
      </c>
      <c r="J250" s="44" t="e">
        <f t="shared" si="137"/>
        <v>#DIV/0!</v>
      </c>
      <c r="K250" s="43" t="e">
        <f t="shared" si="137"/>
        <v>#DIV/0!</v>
      </c>
      <c r="L250" s="44" t="e">
        <f t="shared" si="137"/>
        <v>#DIV/0!</v>
      </c>
      <c r="M250" s="43" t="e">
        <f t="shared" si="137"/>
        <v>#DIV/0!</v>
      </c>
      <c r="N250" s="44" t="e">
        <f t="shared" si="137"/>
        <v>#DIV/0!</v>
      </c>
      <c r="O250" s="45">
        <f>IF(O249=0,0,+O251/O249)</f>
        <v>2.9818958333333332</v>
      </c>
      <c r="R250" s="72"/>
      <c r="S250" s="15"/>
      <c r="T250" s="72"/>
      <c r="U250" s="15"/>
      <c r="V250" s="15"/>
    </row>
    <row r="251" spans="1:22">
      <c r="A251" s="42"/>
      <c r="B251" s="35" t="s">
        <v>15</v>
      </c>
      <c r="C251" s="48">
        <v>0</v>
      </c>
      <c r="D251" s="49">
        <v>0</v>
      </c>
      <c r="E251" s="48">
        <v>0</v>
      </c>
      <c r="F251" s="49">
        <v>0</v>
      </c>
      <c r="G251" s="48">
        <v>0</v>
      </c>
      <c r="H251" s="49">
        <v>1431.31</v>
      </c>
      <c r="I251" s="48">
        <v>0</v>
      </c>
      <c r="J251" s="49">
        <v>0</v>
      </c>
      <c r="K251" s="48">
        <v>0</v>
      </c>
      <c r="L251" s="49">
        <v>0</v>
      </c>
      <c r="M251" s="48">
        <v>0</v>
      </c>
      <c r="N251" s="49">
        <v>0</v>
      </c>
      <c r="O251" s="50">
        <f>SUM(C251:N251)</f>
        <v>1431.31</v>
      </c>
      <c r="R251" s="15"/>
      <c r="S251" s="15"/>
      <c r="T251" s="15"/>
      <c r="U251" s="15"/>
      <c r="V251" s="15"/>
    </row>
    <row r="252" spans="1:22" ht="13.5" thickBot="1">
      <c r="A252" s="51"/>
      <c r="B252" s="52" t="s">
        <v>59</v>
      </c>
      <c r="C252" s="53">
        <f t="shared" ref="C252:I252" si="138">C251/C$197</f>
        <v>0</v>
      </c>
      <c r="D252" s="54">
        <f t="shared" si="138"/>
        <v>0</v>
      </c>
      <c r="E252" s="53">
        <f t="shared" si="138"/>
        <v>0</v>
      </c>
      <c r="F252" s="54">
        <f t="shared" si="138"/>
        <v>0</v>
      </c>
      <c r="G252" s="53">
        <f t="shared" si="138"/>
        <v>0</v>
      </c>
      <c r="H252" s="54">
        <f t="shared" si="138"/>
        <v>45.504864246200796</v>
      </c>
      <c r="I252" s="53">
        <f t="shared" si="138"/>
        <v>0</v>
      </c>
      <c r="J252" s="54">
        <v>0</v>
      </c>
      <c r="K252" s="53">
        <f>K251/K$197</f>
        <v>0</v>
      </c>
      <c r="L252" s="54">
        <f>L251/L$197</f>
        <v>0</v>
      </c>
      <c r="M252" s="53">
        <f>M251/M$197</f>
        <v>0</v>
      </c>
      <c r="N252" s="54">
        <f>N251/N$197</f>
        <v>0</v>
      </c>
      <c r="O252" s="55">
        <f>O251/O$197</f>
        <v>3.9760599141068167</v>
      </c>
      <c r="S252" s="8"/>
      <c r="V252" s="41"/>
    </row>
    <row r="253" spans="1:22">
      <c r="A253" s="28" t="s">
        <v>72</v>
      </c>
      <c r="B253" s="29" t="s">
        <v>55</v>
      </c>
      <c r="C253" s="30">
        <v>0</v>
      </c>
      <c r="D253" s="31">
        <v>0</v>
      </c>
      <c r="E253" s="30">
        <v>0</v>
      </c>
      <c r="F253" s="31">
        <v>0</v>
      </c>
      <c r="G253" s="30">
        <v>0</v>
      </c>
      <c r="H253" s="31">
        <v>0</v>
      </c>
      <c r="I253" s="30">
        <v>0</v>
      </c>
      <c r="J253" s="31">
        <v>0</v>
      </c>
      <c r="K253" s="30">
        <v>0</v>
      </c>
      <c r="L253" s="31">
        <v>0</v>
      </c>
      <c r="M253" s="30">
        <v>0</v>
      </c>
      <c r="N253" s="31">
        <v>0</v>
      </c>
      <c r="O253" s="32">
        <f>O254/O$197</f>
        <v>0</v>
      </c>
      <c r="Q253" s="33"/>
    </row>
    <row r="254" spans="1:22">
      <c r="A254" s="34" t="s">
        <v>56</v>
      </c>
      <c r="B254" s="35" t="s">
        <v>57</v>
      </c>
      <c r="C254" s="65">
        <f t="shared" ref="C254:I254" si="139">C$197*C253</f>
        <v>0</v>
      </c>
      <c r="D254" s="66">
        <f t="shared" si="139"/>
        <v>0</v>
      </c>
      <c r="E254" s="65">
        <f t="shared" si="139"/>
        <v>0</v>
      </c>
      <c r="F254" s="66">
        <f t="shared" si="139"/>
        <v>0</v>
      </c>
      <c r="G254" s="65">
        <f t="shared" si="139"/>
        <v>0</v>
      </c>
      <c r="H254" s="66">
        <f t="shared" si="139"/>
        <v>0</v>
      </c>
      <c r="I254" s="65">
        <f t="shared" si="139"/>
        <v>0</v>
      </c>
      <c r="J254" s="66">
        <v>0</v>
      </c>
      <c r="K254" s="65">
        <f>K$197*K253</f>
        <v>0</v>
      </c>
      <c r="L254" s="66">
        <f>L$197*L253</f>
        <v>0</v>
      </c>
      <c r="M254" s="65">
        <f>M$197*M253</f>
        <v>0</v>
      </c>
      <c r="N254" s="66">
        <f>N$197*N253</f>
        <v>0</v>
      </c>
      <c r="O254" s="67">
        <f>SUM(C254:N254)</f>
        <v>0</v>
      </c>
      <c r="Q254" s="33"/>
      <c r="R254" s="57"/>
      <c r="S254" s="57"/>
      <c r="T254" s="57"/>
      <c r="U254" s="60"/>
      <c r="V254" s="41"/>
    </row>
    <row r="255" spans="1:22" ht="15.75">
      <c r="A255" s="42"/>
      <c r="B255" s="35" t="s">
        <v>58</v>
      </c>
      <c r="C255" s="43">
        <f>'[10]Price Changes'!F50</f>
        <v>0</v>
      </c>
      <c r="D255" s="44">
        <f t="shared" ref="D255:I255" si="140">C255</f>
        <v>0</v>
      </c>
      <c r="E255" s="43">
        <f t="shared" si="140"/>
        <v>0</v>
      </c>
      <c r="F255" s="44">
        <f t="shared" si="140"/>
        <v>0</v>
      </c>
      <c r="G255" s="43">
        <f t="shared" si="140"/>
        <v>0</v>
      </c>
      <c r="H255" s="44">
        <f t="shared" si="140"/>
        <v>0</v>
      </c>
      <c r="I255" s="43">
        <f t="shared" si="140"/>
        <v>0</v>
      </c>
      <c r="J255" s="44">
        <v>0</v>
      </c>
      <c r="K255" s="43">
        <f>J255</f>
        <v>0</v>
      </c>
      <c r="L255" s="44">
        <f>K255</f>
        <v>0</v>
      </c>
      <c r="M255" s="43">
        <f>L255</f>
        <v>0</v>
      </c>
      <c r="N255" s="44">
        <f>M255</f>
        <v>0</v>
      </c>
      <c r="O255" s="45">
        <f>IF(O254=0,0,+O256/O254)</f>
        <v>0</v>
      </c>
      <c r="Q255" s="33"/>
      <c r="R255" s="46"/>
      <c r="S255" s="46"/>
      <c r="T255" s="47"/>
      <c r="U255" s="47"/>
      <c r="V255" s="41"/>
    </row>
    <row r="256" spans="1:22">
      <c r="A256" s="42"/>
      <c r="B256" s="35" t="s">
        <v>15</v>
      </c>
      <c r="C256" s="48">
        <f t="shared" ref="C256:I256" si="141">C254*C255</f>
        <v>0</v>
      </c>
      <c r="D256" s="49">
        <f t="shared" si="141"/>
        <v>0</v>
      </c>
      <c r="E256" s="48">
        <f t="shared" si="141"/>
        <v>0</v>
      </c>
      <c r="F256" s="49">
        <f t="shared" si="141"/>
        <v>0</v>
      </c>
      <c r="G256" s="48">
        <f t="shared" si="141"/>
        <v>0</v>
      </c>
      <c r="H256" s="49">
        <f t="shared" si="141"/>
        <v>0</v>
      </c>
      <c r="I256" s="48">
        <f t="shared" si="141"/>
        <v>0</v>
      </c>
      <c r="J256" s="49">
        <v>0</v>
      </c>
      <c r="K256" s="48">
        <f>K254*K255</f>
        <v>0</v>
      </c>
      <c r="L256" s="49">
        <f>L254*L255</f>
        <v>0</v>
      </c>
      <c r="M256" s="48">
        <f>M254*M255</f>
        <v>0</v>
      </c>
      <c r="N256" s="49">
        <f>N254*N255</f>
        <v>0</v>
      </c>
      <c r="O256" s="50">
        <f>SUM(C256:N256)</f>
        <v>0</v>
      </c>
      <c r="Q256" s="33"/>
      <c r="R256" s="40"/>
      <c r="S256" s="40"/>
      <c r="T256" s="40"/>
      <c r="U256" s="40"/>
      <c r="V256" s="41"/>
    </row>
    <row r="257" spans="1:23" ht="16.5" thickBot="1">
      <c r="A257" s="51"/>
      <c r="B257" s="52" t="s">
        <v>59</v>
      </c>
      <c r="C257" s="53">
        <f t="shared" ref="C257:I257" si="142">C256/C$197</f>
        <v>0</v>
      </c>
      <c r="D257" s="54">
        <f t="shared" si="142"/>
        <v>0</v>
      </c>
      <c r="E257" s="53">
        <f t="shared" si="142"/>
        <v>0</v>
      </c>
      <c r="F257" s="54">
        <f t="shared" si="142"/>
        <v>0</v>
      </c>
      <c r="G257" s="53">
        <f t="shared" si="142"/>
        <v>0</v>
      </c>
      <c r="H257" s="54">
        <f t="shared" si="142"/>
        <v>0</v>
      </c>
      <c r="I257" s="53">
        <f t="shared" si="142"/>
        <v>0</v>
      </c>
      <c r="J257" s="54">
        <v>0</v>
      </c>
      <c r="K257" s="53">
        <f>K256/K$197</f>
        <v>0</v>
      </c>
      <c r="L257" s="54">
        <f>L256/L$197</f>
        <v>0</v>
      </c>
      <c r="M257" s="53">
        <f>M256/M$197</f>
        <v>0</v>
      </c>
      <c r="N257" s="54">
        <f>N256/N$197</f>
        <v>0</v>
      </c>
      <c r="O257" s="55">
        <f>O256/O$197</f>
        <v>0</v>
      </c>
      <c r="Q257" s="33"/>
      <c r="R257" s="56"/>
      <c r="S257" s="56"/>
      <c r="T257" s="57"/>
      <c r="U257" s="57"/>
      <c r="V257" s="41"/>
    </row>
    <row r="258" spans="1:23">
      <c r="A258" s="181" t="s">
        <v>73</v>
      </c>
      <c r="B258" s="29" t="s">
        <v>55</v>
      </c>
      <c r="C258" s="30">
        <f>C259/C$197</f>
        <v>577.00912063328167</v>
      </c>
      <c r="D258" s="31">
        <f t="shared" ref="D258:N258" si="143">D259/D$197</f>
        <v>491.48843299869048</v>
      </c>
      <c r="E258" s="30">
        <f t="shared" si="143"/>
        <v>553.56779143186918</v>
      </c>
      <c r="F258" s="31">
        <f t="shared" si="143"/>
        <v>471.09059853908497</v>
      </c>
      <c r="G258" s="30">
        <f t="shared" si="143"/>
        <v>57.466063348416284</v>
      </c>
      <c r="H258" s="31">
        <f t="shared" si="143"/>
        <v>11.445285178355693</v>
      </c>
      <c r="I258" s="30">
        <f t="shared" si="143"/>
        <v>0</v>
      </c>
      <c r="J258" s="31">
        <f t="shared" si="143"/>
        <v>0</v>
      </c>
      <c r="K258" s="30">
        <f t="shared" si="143"/>
        <v>0</v>
      </c>
      <c r="L258" s="31">
        <f t="shared" si="143"/>
        <v>0</v>
      </c>
      <c r="M258" s="30">
        <f t="shared" si="143"/>
        <v>325.3826984692061</v>
      </c>
      <c r="N258" s="31">
        <f t="shared" si="143"/>
        <v>644.61664237727939</v>
      </c>
      <c r="O258" s="32">
        <f>O259/O$197</f>
        <v>250.25140145896185</v>
      </c>
      <c r="Q258" s="33"/>
    </row>
    <row r="259" spans="1:23">
      <c r="A259" s="103" t="s">
        <v>64</v>
      </c>
      <c r="B259" s="35" t="s">
        <v>57</v>
      </c>
      <c r="C259" s="36">
        <v>16765</v>
      </c>
      <c r="D259" s="37">
        <v>14638</v>
      </c>
      <c r="E259" s="36">
        <v>16307</v>
      </c>
      <c r="F259" s="37">
        <v>12963</v>
      </c>
      <c r="G259" s="36">
        <v>1778</v>
      </c>
      <c r="H259" s="37">
        <v>360</v>
      </c>
      <c r="I259" s="36">
        <v>0</v>
      </c>
      <c r="J259" s="37">
        <v>0</v>
      </c>
      <c r="K259" s="36">
        <v>0</v>
      </c>
      <c r="L259" s="37">
        <v>0</v>
      </c>
      <c r="M259" s="36">
        <v>9140</v>
      </c>
      <c r="N259" s="37">
        <v>18135</v>
      </c>
      <c r="O259" s="38">
        <f>SUM(C259:N259)</f>
        <v>90086</v>
      </c>
      <c r="Q259" s="33"/>
      <c r="R259" s="57"/>
      <c r="S259" s="57"/>
      <c r="T259" s="57"/>
      <c r="U259" s="60"/>
      <c r="V259" s="41"/>
      <c r="W259" s="8"/>
    </row>
    <row r="260" spans="1:23" ht="15.75">
      <c r="A260" s="42"/>
      <c r="B260" s="35" t="s">
        <v>58</v>
      </c>
      <c r="C260" s="43">
        <f>C261/C259</f>
        <v>0.1687998807038473</v>
      </c>
      <c r="D260" s="44">
        <f t="shared" ref="D260:N260" si="144">D261/D259</f>
        <v>0.18289998633693128</v>
      </c>
      <c r="E260" s="43">
        <f t="shared" si="144"/>
        <v>0.1862997485742319</v>
      </c>
      <c r="F260" s="44">
        <f t="shared" si="144"/>
        <v>0.1892000308570547</v>
      </c>
      <c r="G260" s="43">
        <f t="shared" si="144"/>
        <v>0.18920134983127107</v>
      </c>
      <c r="H260" s="44">
        <f t="shared" si="144"/>
        <v>0.18919444444444444</v>
      </c>
      <c r="I260" s="43" t="e">
        <f t="shared" si="144"/>
        <v>#DIV/0!</v>
      </c>
      <c r="J260" s="44" t="e">
        <f t="shared" si="144"/>
        <v>#DIV/0!</v>
      </c>
      <c r="K260" s="43" t="e">
        <f t="shared" si="144"/>
        <v>#DIV/0!</v>
      </c>
      <c r="L260" s="44" t="e">
        <f t="shared" si="144"/>
        <v>#DIV/0!</v>
      </c>
      <c r="M260" s="43">
        <f t="shared" si="144"/>
        <v>0.19</v>
      </c>
      <c r="N260" s="44">
        <f t="shared" si="144"/>
        <v>0.19</v>
      </c>
      <c r="O260" s="45">
        <f>IF(O259=0,0,+O261/O259)</f>
        <v>0.18409708500765934</v>
      </c>
      <c r="Q260" s="33"/>
      <c r="R260" s="46"/>
      <c r="S260" s="46"/>
      <c r="T260" s="46"/>
      <c r="U260" s="47"/>
      <c r="V260" s="41"/>
      <c r="W260" s="8"/>
    </row>
    <row r="261" spans="1:23">
      <c r="A261" s="42"/>
      <c r="B261" s="35" t="s">
        <v>15</v>
      </c>
      <c r="C261" s="48">
        <v>2829.93</v>
      </c>
      <c r="D261" s="49">
        <v>2677.29</v>
      </c>
      <c r="E261" s="48">
        <v>3037.99</v>
      </c>
      <c r="F261" s="49">
        <v>2452.6</v>
      </c>
      <c r="G261" s="48">
        <v>336.4</v>
      </c>
      <c r="H261" s="49">
        <v>68.11</v>
      </c>
      <c r="I261" s="48">
        <v>0</v>
      </c>
      <c r="J261" s="49">
        <v>0</v>
      </c>
      <c r="K261" s="48">
        <v>0</v>
      </c>
      <c r="L261" s="49">
        <v>0</v>
      </c>
      <c r="M261" s="48">
        <v>1736.6</v>
      </c>
      <c r="N261" s="49">
        <v>3445.65</v>
      </c>
      <c r="O261" s="50">
        <f>SUM(C261:N261)</f>
        <v>16584.57</v>
      </c>
      <c r="Q261" s="33"/>
      <c r="R261" s="40"/>
      <c r="S261" s="40"/>
      <c r="T261" s="40"/>
      <c r="U261" s="40"/>
      <c r="V261" s="41"/>
      <c r="W261" s="8"/>
    </row>
    <row r="262" spans="1:23" ht="16.5" thickBot="1">
      <c r="A262" s="51"/>
      <c r="B262" s="52" t="s">
        <v>59</v>
      </c>
      <c r="C262" s="53">
        <f t="shared" ref="C262:I262" si="145">C261/C$197</f>
        <v>97.399070727929782</v>
      </c>
      <c r="D262" s="54">
        <f t="shared" si="145"/>
        <v>89.893227680220249</v>
      </c>
      <c r="E262" s="53">
        <f t="shared" si="145"/>
        <v>103.12954036255007</v>
      </c>
      <c r="F262" s="54">
        <f t="shared" si="145"/>
        <v>89.130355780063226</v>
      </c>
      <c r="G262" s="53">
        <f t="shared" si="145"/>
        <v>10.872656755009695</v>
      </c>
      <c r="H262" s="54">
        <f t="shared" si="145"/>
        <v>2.1653843708272396</v>
      </c>
      <c r="I262" s="53">
        <f t="shared" si="145"/>
        <v>0</v>
      </c>
      <c r="J262" s="54">
        <v>0</v>
      </c>
      <c r="K262" s="53">
        <f>K261/K$197</f>
        <v>0</v>
      </c>
      <c r="L262" s="54">
        <f>L261/L$197</f>
        <v>0</v>
      </c>
      <c r="M262" s="53">
        <f>M261/M$197</f>
        <v>61.822712709149158</v>
      </c>
      <c r="N262" s="54">
        <f>N261/N$197</f>
        <v>122.47716205168308</v>
      </c>
      <c r="O262" s="55">
        <f>O261/O$197</f>
        <v>46.070553527676388</v>
      </c>
      <c r="Q262" s="33"/>
      <c r="R262" s="56"/>
      <c r="S262" s="56"/>
      <c r="T262" s="56"/>
      <c r="U262" s="57"/>
      <c r="V262" s="41"/>
      <c r="W262" s="8"/>
    </row>
    <row r="263" spans="1:23">
      <c r="A263" s="28" t="s">
        <v>74</v>
      </c>
      <c r="B263" s="29" t="s">
        <v>55</v>
      </c>
      <c r="C263" s="30">
        <f>C264/C$197</f>
        <v>0</v>
      </c>
      <c r="D263" s="31">
        <f t="shared" ref="D263:N263" si="146">D264/D$197</f>
        <v>0</v>
      </c>
      <c r="E263" s="30">
        <f t="shared" si="146"/>
        <v>0</v>
      </c>
      <c r="F263" s="31">
        <f t="shared" si="146"/>
        <v>0</v>
      </c>
      <c r="G263" s="30">
        <f t="shared" si="146"/>
        <v>306.14091790562378</v>
      </c>
      <c r="H263" s="31">
        <f t="shared" si="146"/>
        <v>367.39365422521774</v>
      </c>
      <c r="I263" s="30">
        <f t="shared" si="146"/>
        <v>305.14204376964591</v>
      </c>
      <c r="J263" s="31">
        <f t="shared" si="146"/>
        <v>323.59146190121618</v>
      </c>
      <c r="K263" s="30">
        <f t="shared" si="146"/>
        <v>384.08066347775213</v>
      </c>
      <c r="L263" s="31">
        <f t="shared" si="146"/>
        <v>310.84842332754835</v>
      </c>
      <c r="M263" s="30">
        <f t="shared" si="146"/>
        <v>128.08828764684941</v>
      </c>
      <c r="N263" s="31">
        <f t="shared" si="146"/>
        <v>0</v>
      </c>
      <c r="O263" s="32">
        <f>O264/O$197</f>
        <v>183.34250045835626</v>
      </c>
      <c r="Q263" s="33"/>
    </row>
    <row r="264" spans="1:23">
      <c r="A264" s="103" t="s">
        <v>64</v>
      </c>
      <c r="B264" s="35" t="s">
        <v>57</v>
      </c>
      <c r="C264" s="36">
        <v>0</v>
      </c>
      <c r="D264" s="37">
        <v>0</v>
      </c>
      <c r="E264" s="36">
        <v>0</v>
      </c>
      <c r="F264" s="37">
        <v>0</v>
      </c>
      <c r="G264" s="36">
        <v>9472</v>
      </c>
      <c r="H264" s="37">
        <v>11556</v>
      </c>
      <c r="I264" s="36">
        <v>10290</v>
      </c>
      <c r="J264" s="37">
        <v>10430</v>
      </c>
      <c r="K264" s="36">
        <v>11161</v>
      </c>
      <c r="L264" s="37">
        <v>9493</v>
      </c>
      <c r="M264" s="36">
        <v>3598</v>
      </c>
      <c r="N264" s="37">
        <v>0</v>
      </c>
      <c r="O264" s="38">
        <f>SUM(C264:N264)</f>
        <v>66000</v>
      </c>
      <c r="Q264" s="33"/>
      <c r="R264" s="57"/>
      <c r="S264" s="57"/>
      <c r="T264" s="57"/>
      <c r="U264" s="60"/>
      <c r="V264" s="41"/>
      <c r="W264" s="8"/>
    </row>
    <row r="265" spans="1:23" ht="15.75">
      <c r="A265" s="42"/>
      <c r="B265" s="35" t="s">
        <v>58</v>
      </c>
      <c r="C265" s="43" t="e">
        <f>C266/C264</f>
        <v>#DIV/0!</v>
      </c>
      <c r="D265" s="44" t="e">
        <f t="shared" ref="D265:N265" si="147">D266/D264</f>
        <v>#DIV/0!</v>
      </c>
      <c r="E265" s="43" t="e">
        <f t="shared" si="147"/>
        <v>#DIV/0!</v>
      </c>
      <c r="F265" s="44" t="e">
        <f t="shared" si="147"/>
        <v>#DIV/0!</v>
      </c>
      <c r="G265" s="43">
        <f t="shared" si="147"/>
        <v>0.21</v>
      </c>
      <c r="H265" s="44">
        <f t="shared" si="147"/>
        <v>0.21000000000000002</v>
      </c>
      <c r="I265" s="43">
        <f t="shared" si="147"/>
        <v>0.21000000000000002</v>
      </c>
      <c r="J265" s="44">
        <f t="shared" si="147"/>
        <v>0.21000000000000002</v>
      </c>
      <c r="K265" s="43">
        <f t="shared" si="147"/>
        <v>0.21</v>
      </c>
      <c r="L265" s="44">
        <f t="shared" si="147"/>
        <v>0.21</v>
      </c>
      <c r="M265" s="43">
        <f t="shared" si="147"/>
        <v>0.21000000000000002</v>
      </c>
      <c r="N265" s="44" t="e">
        <f t="shared" si="147"/>
        <v>#DIV/0!</v>
      </c>
      <c r="O265" s="45">
        <f>IF(O264=0,0,+O266/O264)</f>
        <v>0.21000000000000002</v>
      </c>
      <c r="Q265" s="33"/>
      <c r="R265" s="46"/>
      <c r="S265" s="46"/>
      <c r="T265" s="46"/>
      <c r="U265" s="47"/>
      <c r="V265" s="41"/>
      <c r="W265" s="8"/>
    </row>
    <row r="266" spans="1:23">
      <c r="A266" s="42"/>
      <c r="B266" s="35" t="s">
        <v>15</v>
      </c>
      <c r="C266" s="48">
        <v>0</v>
      </c>
      <c r="D266" s="49">
        <v>0</v>
      </c>
      <c r="E266" s="48">
        <v>0</v>
      </c>
      <c r="F266" s="49">
        <v>0</v>
      </c>
      <c r="G266" s="48">
        <v>1989.12</v>
      </c>
      <c r="H266" s="49">
        <v>2426.7600000000002</v>
      </c>
      <c r="I266" s="48">
        <v>2160.9</v>
      </c>
      <c r="J266" s="49">
        <v>2190.3000000000002</v>
      </c>
      <c r="K266" s="48">
        <v>2343.81</v>
      </c>
      <c r="L266" s="49">
        <v>1993.53</v>
      </c>
      <c r="M266" s="48">
        <v>755.58</v>
      </c>
      <c r="N266" s="49">
        <v>0</v>
      </c>
      <c r="O266" s="50">
        <f>SUM(C266:N266)</f>
        <v>13860.000000000002</v>
      </c>
      <c r="Q266" s="33"/>
      <c r="R266" s="40"/>
      <c r="S266" s="40"/>
      <c r="T266" s="40"/>
      <c r="U266" s="40"/>
      <c r="V266" s="41"/>
      <c r="W266" s="8"/>
    </row>
    <row r="267" spans="1:23" ht="16.5" thickBot="1">
      <c r="A267" s="51"/>
      <c r="B267" s="52" t="s">
        <v>59</v>
      </c>
      <c r="C267" s="53">
        <f t="shared" ref="C267:I267" si="148">C266/C$197</f>
        <v>0</v>
      </c>
      <c r="D267" s="54">
        <f t="shared" si="148"/>
        <v>0</v>
      </c>
      <c r="E267" s="53">
        <f t="shared" si="148"/>
        <v>0</v>
      </c>
      <c r="F267" s="54">
        <f t="shared" si="148"/>
        <v>0</v>
      </c>
      <c r="G267" s="53">
        <f t="shared" si="148"/>
        <v>64.289592760180994</v>
      </c>
      <c r="H267" s="54">
        <f t="shared" si="148"/>
        <v>77.152667387295736</v>
      </c>
      <c r="I267" s="53">
        <f t="shared" si="148"/>
        <v>64.079829191625649</v>
      </c>
      <c r="J267" s="54">
        <v>90.371085209309413</v>
      </c>
      <c r="K267" s="53">
        <f>K266/K$197</f>
        <v>80.656939330327944</v>
      </c>
      <c r="L267" s="54">
        <f>L266/L$197</f>
        <v>65.278168898785154</v>
      </c>
      <c r="M267" s="53">
        <f>M266/M$197</f>
        <v>26.898540405838379</v>
      </c>
      <c r="N267" s="54">
        <f>N266/N$197</f>
        <v>0</v>
      </c>
      <c r="O267" s="55">
        <f>O266/O$197</f>
        <v>38.501925096254823</v>
      </c>
      <c r="Q267" s="33"/>
      <c r="R267" s="56"/>
      <c r="S267" s="56"/>
      <c r="T267" s="56"/>
      <c r="U267" s="57"/>
      <c r="V267" s="41"/>
      <c r="W267" s="8"/>
    </row>
    <row r="268" spans="1:23">
      <c r="A268" s="181" t="s">
        <v>75</v>
      </c>
      <c r="B268" s="29" t="s">
        <v>55</v>
      </c>
      <c r="C268" s="30">
        <f>C269/C$197</f>
        <v>71.966959215281364</v>
      </c>
      <c r="D268" s="31">
        <f t="shared" ref="D268:O268" si="149">D269/D$197</f>
        <v>86.122956048752641</v>
      </c>
      <c r="E268" s="30">
        <f t="shared" si="149"/>
        <v>80.181953968361739</v>
      </c>
      <c r="F268" s="31">
        <f t="shared" si="149"/>
        <v>76.243776574481231</v>
      </c>
      <c r="G268" s="30">
        <f t="shared" si="149"/>
        <v>47.414350355526821</v>
      </c>
      <c r="H268" s="31">
        <f t="shared" si="149"/>
        <v>86.507280473071788</v>
      </c>
      <c r="I268" s="30">
        <f t="shared" si="149"/>
        <v>80.540893185457563</v>
      </c>
      <c r="J268" s="31">
        <f t="shared" si="149"/>
        <v>135.51749813849591</v>
      </c>
      <c r="K268" s="30">
        <f t="shared" si="149"/>
        <v>100.14109226057332</v>
      </c>
      <c r="L268" s="31">
        <f t="shared" si="149"/>
        <v>95.287992403156622</v>
      </c>
      <c r="M268" s="30">
        <f t="shared" si="149"/>
        <v>158.20576717693129</v>
      </c>
      <c r="N268" s="31">
        <f t="shared" si="149"/>
        <v>40.308534461308781</v>
      </c>
      <c r="O268" s="32">
        <f t="shared" si="149"/>
        <v>88.298859387413827</v>
      </c>
      <c r="P268" s="9"/>
      <c r="Q268" s="9"/>
      <c r="R268" s="9"/>
      <c r="S268" s="9"/>
      <c r="T268" s="9"/>
      <c r="U268" s="9"/>
      <c r="V268" s="70"/>
    </row>
    <row r="269" spans="1:23">
      <c r="A269" s="34" t="s">
        <v>71</v>
      </c>
      <c r="B269" s="35" t="s">
        <v>57</v>
      </c>
      <c r="C269" s="65">
        <v>2091</v>
      </c>
      <c r="D269" s="66">
        <v>2565</v>
      </c>
      <c r="E269" s="65">
        <v>2362</v>
      </c>
      <c r="F269" s="66">
        <v>2098</v>
      </c>
      <c r="G269" s="65">
        <v>1467</v>
      </c>
      <c r="H269" s="66">
        <v>2721</v>
      </c>
      <c r="I269" s="65">
        <v>2716</v>
      </c>
      <c r="J269" s="66">
        <v>4368</v>
      </c>
      <c r="K269" s="65">
        <v>2910</v>
      </c>
      <c r="L269" s="66">
        <v>2910</v>
      </c>
      <c r="M269" s="65">
        <v>4444</v>
      </c>
      <c r="N269" s="66">
        <v>1134</v>
      </c>
      <c r="O269" s="67">
        <f>SUM(C269:N269)</f>
        <v>31786</v>
      </c>
      <c r="R269" s="15"/>
      <c r="S269" s="15"/>
      <c r="T269" s="15"/>
      <c r="U269" s="15"/>
      <c r="V269" s="71"/>
    </row>
    <row r="270" spans="1:23" ht="15.75">
      <c r="A270" s="182" t="s">
        <v>64</v>
      </c>
      <c r="B270" s="35" t="s">
        <v>58</v>
      </c>
      <c r="C270" s="43">
        <f>C271/C269</f>
        <v>1.2226016260162602</v>
      </c>
      <c r="D270" s="44">
        <f t="shared" ref="D270:N270" si="150">D271/D269</f>
        <v>1.2413996101364522</v>
      </c>
      <c r="E270" s="43">
        <f t="shared" si="150"/>
        <v>1.2493988145639288</v>
      </c>
      <c r="F270" s="44">
        <f t="shared" si="150"/>
        <v>1.249399428026692</v>
      </c>
      <c r="G270" s="43">
        <f t="shared" si="150"/>
        <v>1.2498023176550783</v>
      </c>
      <c r="H270" s="44">
        <f t="shared" si="150"/>
        <v>1.2499007717750827</v>
      </c>
      <c r="I270" s="43">
        <f t="shared" si="150"/>
        <v>1.2499005891016199</v>
      </c>
      <c r="J270" s="44">
        <f t="shared" si="150"/>
        <v>1.221382783882784</v>
      </c>
      <c r="K270" s="43">
        <f t="shared" si="150"/>
        <v>1.25</v>
      </c>
      <c r="L270" s="44">
        <f t="shared" si="150"/>
        <v>1.25</v>
      </c>
      <c r="M270" s="43">
        <f t="shared" si="150"/>
        <v>1.25</v>
      </c>
      <c r="N270" s="44">
        <f t="shared" si="150"/>
        <v>1.25</v>
      </c>
      <c r="O270" s="45">
        <f>IF(O269=0,0,+O271/O269)</f>
        <v>1.2434606430503996</v>
      </c>
      <c r="R270" s="72"/>
      <c r="S270" s="15"/>
      <c r="T270" s="72"/>
      <c r="U270" s="15"/>
      <c r="V270" s="15"/>
    </row>
    <row r="271" spans="1:23">
      <c r="A271" s="42"/>
      <c r="B271" s="35" t="s">
        <v>15</v>
      </c>
      <c r="C271" s="48">
        <v>2556.46</v>
      </c>
      <c r="D271" s="49">
        <v>3184.19</v>
      </c>
      <c r="E271" s="48">
        <v>2951.08</v>
      </c>
      <c r="F271" s="49">
        <v>2621.2399999999998</v>
      </c>
      <c r="G271" s="48">
        <v>1833.46</v>
      </c>
      <c r="H271" s="49">
        <v>3400.98</v>
      </c>
      <c r="I271" s="48">
        <v>3394.73</v>
      </c>
      <c r="J271" s="49">
        <v>5335</v>
      </c>
      <c r="K271" s="48">
        <v>3637.5</v>
      </c>
      <c r="L271" s="49">
        <v>3637.5</v>
      </c>
      <c r="M271" s="48">
        <v>5555</v>
      </c>
      <c r="N271" s="49">
        <v>1417.5</v>
      </c>
      <c r="O271" s="50">
        <f>SUM(C271:N271)</f>
        <v>39524.639999999999</v>
      </c>
      <c r="R271" s="15"/>
      <c r="S271" s="15"/>
      <c r="T271" s="15"/>
      <c r="U271" s="15"/>
      <c r="V271" s="15"/>
    </row>
    <row r="272" spans="1:23" ht="13.5" thickBot="1">
      <c r="A272" s="51"/>
      <c r="B272" s="52" t="s">
        <v>59</v>
      </c>
      <c r="C272" s="53">
        <f t="shared" ref="C272:I272" si="151">C271/C$197</f>
        <v>87.986921356048882</v>
      </c>
      <c r="D272" s="54">
        <f t="shared" si="151"/>
        <v>106.91300406272035</v>
      </c>
      <c r="E272" s="53">
        <f t="shared" si="151"/>
        <v>100.17923823749067</v>
      </c>
      <c r="F272" s="54">
        <f t="shared" si="151"/>
        <v>95.258930842751752</v>
      </c>
      <c r="G272" s="53">
        <f t="shared" si="151"/>
        <v>59.258564964447316</v>
      </c>
      <c r="H272" s="54">
        <f t="shared" si="151"/>
        <v>108.12551662745597</v>
      </c>
      <c r="I272" s="53">
        <f t="shared" si="151"/>
        <v>100.66810983927407</v>
      </c>
      <c r="J272" s="54">
        <v>220.12041254242143</v>
      </c>
      <c r="K272" s="53">
        <f>K271/K$197</f>
        <v>125.17636532571665</v>
      </c>
      <c r="L272" s="54">
        <f>L271/L$197</f>
        <v>119.10999050394577</v>
      </c>
      <c r="M272" s="53">
        <f>M271/M$197</f>
        <v>197.75720897116412</v>
      </c>
      <c r="N272" s="54">
        <f>N271/N$197</f>
        <v>50.38566807663598</v>
      </c>
      <c r="O272" s="55">
        <f>O271/O$197</f>
        <v>109.7961564744904</v>
      </c>
      <c r="S272" s="8"/>
      <c r="V272" s="41"/>
    </row>
    <row r="273" spans="1:22">
      <c r="A273" s="181" t="s">
        <v>76</v>
      </c>
      <c r="B273" s="29" t="s">
        <v>55</v>
      </c>
      <c r="C273" s="30">
        <f>C274/C$197</f>
        <v>396.38616417139906</v>
      </c>
      <c r="D273" s="31">
        <f t="shared" ref="D273:O273" si="152">D274/D$197</f>
        <v>229.29187791693246</v>
      </c>
      <c r="E273" s="30">
        <f t="shared" si="152"/>
        <v>155.61137891234981</v>
      </c>
      <c r="F273" s="31">
        <f t="shared" si="152"/>
        <v>94.559726714394742</v>
      </c>
      <c r="G273" s="30">
        <f t="shared" si="152"/>
        <v>167.51777634130573</v>
      </c>
      <c r="H273" s="31">
        <f t="shared" si="152"/>
        <v>187.48012971323203</v>
      </c>
      <c r="I273" s="30">
        <f t="shared" si="152"/>
        <v>224.39357096257635</v>
      </c>
      <c r="J273" s="31">
        <f t="shared" si="152"/>
        <v>67.913874410523704</v>
      </c>
      <c r="K273" s="30">
        <f t="shared" si="152"/>
        <v>152.41405416566295</v>
      </c>
      <c r="L273" s="31">
        <f t="shared" si="152"/>
        <v>175.02210288483579</v>
      </c>
      <c r="M273" s="30">
        <f t="shared" si="152"/>
        <v>133.89106443574227</v>
      </c>
      <c r="N273" s="31">
        <f t="shared" si="152"/>
        <v>188.81740304979917</v>
      </c>
      <c r="O273" s="32">
        <f t="shared" si="152"/>
        <v>181.16183586957126</v>
      </c>
    </row>
    <row r="274" spans="1:22">
      <c r="A274" s="34" t="s">
        <v>64</v>
      </c>
      <c r="B274" s="35" t="s">
        <v>57</v>
      </c>
      <c r="C274" s="36">
        <v>11517</v>
      </c>
      <c r="D274" s="37">
        <v>6829</v>
      </c>
      <c r="E274" s="36">
        <v>4584</v>
      </c>
      <c r="F274" s="37">
        <v>2602</v>
      </c>
      <c r="G274" s="36">
        <v>5183</v>
      </c>
      <c r="H274" s="37">
        <v>5897</v>
      </c>
      <c r="I274" s="36">
        <v>7567</v>
      </c>
      <c r="J274" s="37">
        <v>2189</v>
      </c>
      <c r="K274" s="36">
        <v>4429</v>
      </c>
      <c r="L274" s="37">
        <v>5345</v>
      </c>
      <c r="M274" s="36">
        <v>3761</v>
      </c>
      <c r="N274" s="37">
        <v>5312</v>
      </c>
      <c r="O274" s="38">
        <f>SUM(C274:N274)</f>
        <v>65215</v>
      </c>
    </row>
    <row r="275" spans="1:22">
      <c r="A275" s="34"/>
      <c r="B275" s="35" t="s">
        <v>58</v>
      </c>
      <c r="C275" s="43">
        <f>C276/C274</f>
        <v>0.25390032126421813</v>
      </c>
      <c r="D275" s="44">
        <f t="shared" ref="D275:N275" si="153">D276/D274</f>
        <v>0.27240005857372968</v>
      </c>
      <c r="E275" s="43">
        <f t="shared" si="153"/>
        <v>0.27239965095986041</v>
      </c>
      <c r="F275" s="44">
        <f t="shared" si="153"/>
        <v>0.27780169100691776</v>
      </c>
      <c r="G275" s="43">
        <f t="shared" si="153"/>
        <v>0.27780050163997683</v>
      </c>
      <c r="H275" s="44">
        <f t="shared" si="153"/>
        <v>0.27879938952009498</v>
      </c>
      <c r="I275" s="43">
        <f t="shared" si="153"/>
        <v>0.27929959032641732</v>
      </c>
      <c r="J275" s="44">
        <f t="shared" si="153"/>
        <v>0.23391502969392414</v>
      </c>
      <c r="K275" s="43">
        <f t="shared" si="153"/>
        <v>0.27960036125536236</v>
      </c>
      <c r="L275" s="44">
        <f t="shared" si="153"/>
        <v>0.27970065481758655</v>
      </c>
      <c r="M275" s="43">
        <f t="shared" si="153"/>
        <v>0.2796995479925552</v>
      </c>
      <c r="N275" s="44">
        <f t="shared" si="153"/>
        <v>0.27990022590361446</v>
      </c>
      <c r="O275" s="45">
        <f>IF(O274=0,0,+O276/O274)</f>
        <v>0.27198435942651233</v>
      </c>
    </row>
    <row r="276" spans="1:22">
      <c r="A276" s="42"/>
      <c r="B276" s="35" t="s">
        <v>15</v>
      </c>
      <c r="C276" s="48">
        <v>2924.17</v>
      </c>
      <c r="D276" s="49">
        <v>1860.22</v>
      </c>
      <c r="E276" s="48">
        <v>1248.68</v>
      </c>
      <c r="F276" s="49">
        <v>722.84</v>
      </c>
      <c r="G276" s="48">
        <v>1439.84</v>
      </c>
      <c r="H276" s="49">
        <v>1644.08</v>
      </c>
      <c r="I276" s="48">
        <v>2113.46</v>
      </c>
      <c r="J276" s="49">
        <v>512.04</v>
      </c>
      <c r="K276" s="48">
        <v>1238.3499999999999</v>
      </c>
      <c r="L276" s="49">
        <v>1495</v>
      </c>
      <c r="M276" s="48">
        <v>1051.95</v>
      </c>
      <c r="N276" s="49">
        <v>1486.83</v>
      </c>
      <c r="O276" s="50">
        <f>SUM(C276:N276)</f>
        <v>17737.460000000003</v>
      </c>
    </row>
    <row r="277" spans="1:22" ht="15.75" customHeight="1" thickBot="1">
      <c r="A277" s="51"/>
      <c r="B277" s="52" t="s">
        <v>59</v>
      </c>
      <c r="C277" s="53">
        <f t="shared" ref="C277:I277" si="154">C276/C$197</f>
        <v>100.64257442780934</v>
      </c>
      <c r="D277" s="54">
        <f t="shared" si="154"/>
        <v>62.459120975052883</v>
      </c>
      <c r="E277" s="53">
        <f t="shared" si="154"/>
        <v>42.388485301106662</v>
      </c>
      <c r="F277" s="54">
        <f t="shared" si="154"/>
        <v>26.268851982410876</v>
      </c>
      <c r="G277" s="53">
        <f t="shared" si="154"/>
        <v>46.536522301228182</v>
      </c>
      <c r="H277" s="54">
        <f t="shared" si="154"/>
        <v>52.269345711197303</v>
      </c>
      <c r="I277" s="53">
        <f t="shared" si="154"/>
        <v>62.673032441729433</v>
      </c>
      <c r="J277" s="54">
        <v>21.126608442028392</v>
      </c>
      <c r="K277" s="53">
        <f>K276/K$197</f>
        <v>42.615024605113732</v>
      </c>
      <c r="L277" s="54">
        <f>L276/L$197</f>
        <v>48.953796784439568</v>
      </c>
      <c r="M277" s="53">
        <f>M276/M$197</f>
        <v>37.449270202919188</v>
      </c>
      <c r="N277" s="54">
        <f>N276/N$197</f>
        <v>52.850033768172608</v>
      </c>
      <c r="O277" s="55">
        <f>O276/O$197</f>
        <v>49.273185881516312</v>
      </c>
    </row>
    <row r="278" spans="1:22" ht="13.5" thickBot="1">
      <c r="A278" s="10" t="s">
        <v>1</v>
      </c>
      <c r="B278" s="73" t="s">
        <v>1</v>
      </c>
      <c r="C278" s="74" t="s">
        <v>1</v>
      </c>
      <c r="D278" s="75" t="s">
        <v>1</v>
      </c>
      <c r="E278" s="74" t="s">
        <v>1</v>
      </c>
      <c r="F278" s="75" t="s">
        <v>1</v>
      </c>
      <c r="G278" s="74" t="s">
        <v>1</v>
      </c>
      <c r="H278" s="75" t="s">
        <v>1</v>
      </c>
      <c r="I278" s="74" t="s">
        <v>1</v>
      </c>
      <c r="J278" s="75" t="s">
        <v>1</v>
      </c>
      <c r="K278" s="74" t="s">
        <v>1</v>
      </c>
      <c r="L278" s="75" t="s">
        <v>1</v>
      </c>
      <c r="M278" s="74" t="s">
        <v>1</v>
      </c>
      <c r="N278" s="75" t="s">
        <v>1</v>
      </c>
      <c r="O278" s="6" t="s">
        <v>1</v>
      </c>
      <c r="P278" s="9"/>
      <c r="Q278" s="9"/>
      <c r="R278" s="76"/>
      <c r="S278" s="9"/>
      <c r="T278" s="9"/>
      <c r="U278" s="9"/>
      <c r="V278" s="70"/>
    </row>
    <row r="279" spans="1:22" ht="16.5" thickBot="1">
      <c r="A279" s="411" t="s">
        <v>507</v>
      </c>
      <c r="B279" s="105"/>
      <c r="C279" s="106">
        <v>26.260322580645159</v>
      </c>
      <c r="D279" s="107">
        <v>19.254999999999999</v>
      </c>
      <c r="E279" s="106">
        <v>42.983225806451621</v>
      </c>
      <c r="F279" s="107">
        <v>97.982000000000014</v>
      </c>
      <c r="G279" s="106">
        <v>56.632903225806452</v>
      </c>
      <c r="H279" s="107">
        <v>46.803333333333349</v>
      </c>
      <c r="I279" s="106">
        <v>26.260322580645159</v>
      </c>
      <c r="J279" s="107">
        <v>28.474193548387095</v>
      </c>
      <c r="K279" s="106">
        <v>36.306666666666665</v>
      </c>
      <c r="L279" s="107">
        <v>17.268709677419348</v>
      </c>
      <c r="M279" s="106">
        <v>31.598965517241378</v>
      </c>
      <c r="N279" s="107">
        <v>25.509032258064515</v>
      </c>
      <c r="O279" s="108">
        <f>SUM(C279:N279)</f>
        <v>455.33467519466075</v>
      </c>
      <c r="P279" s="9"/>
      <c r="Q279" s="9"/>
      <c r="R279" s="76"/>
      <c r="S279" s="9"/>
      <c r="T279" s="9"/>
      <c r="U279" s="9"/>
      <c r="V279" s="70"/>
    </row>
    <row r="280" spans="1:22">
      <c r="A280" s="28" t="s">
        <v>84</v>
      </c>
      <c r="B280" s="29" t="s">
        <v>55</v>
      </c>
      <c r="C280" s="113">
        <f t="shared" ref="C280:O280" si="155">C281/C$197</f>
        <v>2009.1206332817071</v>
      </c>
      <c r="D280" s="114">
        <f t="shared" si="155"/>
        <v>1855.3873014807104</v>
      </c>
      <c r="E280" s="113">
        <f t="shared" si="155"/>
        <v>2112.8046710570984</v>
      </c>
      <c r="F280" s="114">
        <f t="shared" si="155"/>
        <v>1986.2630373950649</v>
      </c>
      <c r="G280" s="113">
        <f t="shared" si="155"/>
        <v>1868.4227537168713</v>
      </c>
      <c r="H280" s="114">
        <f t="shared" si="155"/>
        <v>1931.6144210593247</v>
      </c>
      <c r="I280" s="113">
        <f t="shared" si="155"/>
        <v>1783.0792954154558</v>
      </c>
      <c r="J280" s="114">
        <f t="shared" si="155"/>
        <v>1777.1159096550014</v>
      </c>
      <c r="K280" s="113">
        <f t="shared" si="155"/>
        <v>1872.9137272445714</v>
      </c>
      <c r="L280" s="114">
        <f t="shared" si="155"/>
        <v>1590.916532957857</v>
      </c>
      <c r="M280" s="113">
        <f t="shared" si="155"/>
        <v>2384.0156639373445</v>
      </c>
      <c r="N280" s="114">
        <f t="shared" si="155"/>
        <v>2314.5416414886431</v>
      </c>
      <c r="O280" s="32">
        <f t="shared" si="155"/>
        <v>1948.9752265391048</v>
      </c>
      <c r="Q280" s="33"/>
      <c r="R280" s="57"/>
      <c r="S280" s="57"/>
      <c r="T280" s="57"/>
      <c r="U280" s="57"/>
      <c r="V280" s="41"/>
    </row>
    <row r="281" spans="1:22" ht="15.75">
      <c r="A281" s="34"/>
      <c r="B281" s="35" t="s">
        <v>57</v>
      </c>
      <c r="C281" s="36">
        <f t="shared" ref="C281:N281" si="156">C199+C204+C209+C224+C229+C234+C239+C244+C249+C254+C264+C274+C259+C219+C214+C269</f>
        <v>58375</v>
      </c>
      <c r="D281" s="37">
        <f t="shared" si="156"/>
        <v>55259</v>
      </c>
      <c r="E281" s="36">
        <f t="shared" si="156"/>
        <v>62239</v>
      </c>
      <c r="F281" s="37">
        <f t="shared" si="156"/>
        <v>54656</v>
      </c>
      <c r="G281" s="36">
        <f t="shared" si="156"/>
        <v>57809</v>
      </c>
      <c r="H281" s="37">
        <f t="shared" si="156"/>
        <v>60757</v>
      </c>
      <c r="I281" s="36">
        <f t="shared" si="156"/>
        <v>60129</v>
      </c>
      <c r="J281" s="37">
        <f t="shared" si="156"/>
        <v>57280</v>
      </c>
      <c r="K281" s="36">
        <f t="shared" si="156"/>
        <v>54425</v>
      </c>
      <c r="L281" s="37">
        <f t="shared" si="156"/>
        <v>48585</v>
      </c>
      <c r="M281" s="36">
        <f t="shared" si="156"/>
        <v>66967</v>
      </c>
      <c r="N281" s="37">
        <f t="shared" si="156"/>
        <v>65115</v>
      </c>
      <c r="O281" s="38">
        <f>SUM(C281:N281)</f>
        <v>701596</v>
      </c>
      <c r="Q281" s="33"/>
      <c r="R281" s="46"/>
      <c r="S281" s="56"/>
      <c r="T281" s="47"/>
      <c r="U281" s="47"/>
      <c r="V281" s="41"/>
    </row>
    <row r="282" spans="1:22">
      <c r="A282" s="42"/>
      <c r="B282" s="35" t="s">
        <v>58</v>
      </c>
      <c r="C282" s="81">
        <f t="shared" ref="C282:N282" si="157">C283/C281</f>
        <v>0.28757139186295505</v>
      </c>
      <c r="D282" s="82">
        <f t="shared" si="157"/>
        <v>0.312307678387231</v>
      </c>
      <c r="E282" s="81">
        <f t="shared" si="157"/>
        <v>0.30872652195568695</v>
      </c>
      <c r="F282" s="82">
        <f t="shared" si="157"/>
        <v>0.31264014929742395</v>
      </c>
      <c r="G282" s="81">
        <f t="shared" si="157"/>
        <v>0.29908163088792405</v>
      </c>
      <c r="H282" s="82">
        <f t="shared" si="157"/>
        <v>0.35124117385651032</v>
      </c>
      <c r="I282" s="81">
        <f t="shared" si="157"/>
        <v>0.32629047547772289</v>
      </c>
      <c r="J282" s="82">
        <f t="shared" si="157"/>
        <v>0.3484343575418995</v>
      </c>
      <c r="K282" s="81">
        <f t="shared" si="157"/>
        <v>0.33034175470831417</v>
      </c>
      <c r="L282" s="82">
        <f t="shared" si="157"/>
        <v>0.34772789955747657</v>
      </c>
      <c r="M282" s="81">
        <f t="shared" si="157"/>
        <v>0.32999850672719394</v>
      </c>
      <c r="N282" s="82">
        <f t="shared" si="157"/>
        <v>0.28275420410043772</v>
      </c>
      <c r="O282" s="45">
        <f>IF(O281=0,0,+O283/O281)</f>
        <v>0.31918490128221938</v>
      </c>
      <c r="Q282" s="33"/>
      <c r="R282" s="40"/>
      <c r="S282" s="40"/>
      <c r="T282" s="40"/>
      <c r="U282" s="40"/>
      <c r="V282" s="41"/>
    </row>
    <row r="283" spans="1:22" ht="15.75">
      <c r="A283" s="83" t="s">
        <v>508</v>
      </c>
      <c r="B283" s="35" t="s">
        <v>15</v>
      </c>
      <c r="C283" s="48">
        <f t="shared" ref="C283:N283" si="158">C201+C206+C211+C216+C226+C231+C236+C241+C246+C251+C256+C266+C276+C261+C221+C271</f>
        <v>16786.98</v>
      </c>
      <c r="D283" s="49">
        <f t="shared" si="158"/>
        <v>17257.809999999998</v>
      </c>
      <c r="E283" s="48">
        <f t="shared" si="158"/>
        <v>19214.830000000002</v>
      </c>
      <c r="F283" s="49">
        <f t="shared" si="158"/>
        <v>17087.660000000003</v>
      </c>
      <c r="G283" s="48">
        <f t="shared" si="158"/>
        <v>17289.61</v>
      </c>
      <c r="H283" s="49">
        <f t="shared" si="158"/>
        <v>21340.359999999997</v>
      </c>
      <c r="I283" s="48">
        <f t="shared" si="158"/>
        <v>19619.52</v>
      </c>
      <c r="J283" s="49">
        <f t="shared" si="158"/>
        <v>19958.320000000003</v>
      </c>
      <c r="K283" s="48">
        <f t="shared" si="158"/>
        <v>17978.849999999999</v>
      </c>
      <c r="L283" s="49">
        <f t="shared" si="158"/>
        <v>16894.36</v>
      </c>
      <c r="M283" s="48">
        <f t="shared" si="158"/>
        <v>22099.01</v>
      </c>
      <c r="N283" s="49">
        <f t="shared" si="158"/>
        <v>18411.54</v>
      </c>
      <c r="O283" s="50">
        <f>SUM(C283:N283)</f>
        <v>223938.85</v>
      </c>
      <c r="Q283" s="33"/>
      <c r="R283" s="56"/>
      <c r="S283" s="80"/>
      <c r="T283" s="57"/>
      <c r="U283" s="57"/>
      <c r="V283" s="41"/>
    </row>
    <row r="284" spans="1:22" ht="13.5" thickBot="1">
      <c r="A284" s="51"/>
      <c r="B284" s="52" t="s">
        <v>59</v>
      </c>
      <c r="C284" s="53">
        <f t="shared" ref="C284:O284" si="159">C283/C$197</f>
        <v>577.76561693340216</v>
      </c>
      <c r="D284" s="54">
        <f t="shared" si="159"/>
        <v>579.45170063459011</v>
      </c>
      <c r="E284" s="53">
        <f t="shared" si="159"/>
        <v>652.2788376671873</v>
      </c>
      <c r="F284" s="54">
        <f t="shared" si="159"/>
        <v>620.98557255514788</v>
      </c>
      <c r="G284" s="53">
        <f t="shared" si="159"/>
        <v>558.81092436974791</v>
      </c>
      <c r="H284" s="54">
        <f t="shared" si="159"/>
        <v>678.46251669104072</v>
      </c>
      <c r="I284" s="53">
        <f t="shared" si="159"/>
        <v>581.80179111559221</v>
      </c>
      <c r="J284" s="54">
        <f t="shared" si="159"/>
        <v>619.20824025812874</v>
      </c>
      <c r="K284" s="53">
        <f t="shared" si="159"/>
        <v>618.70160707526065</v>
      </c>
      <c r="L284" s="54">
        <f t="shared" si="159"/>
        <v>553.20606437669869</v>
      </c>
      <c r="M284" s="53">
        <f t="shared" si="159"/>
        <v>786.72160911356355</v>
      </c>
      <c r="N284" s="54">
        <f t="shared" si="159"/>
        <v>654.44637969644191</v>
      </c>
      <c r="O284" s="55">
        <f t="shared" si="159"/>
        <v>622.08346528437539</v>
      </c>
      <c r="P284" s="109">
        <f>AVERAGE(C284:N284)</f>
        <v>623.48673837390027</v>
      </c>
      <c r="Q284" s="9"/>
      <c r="R284" s="76"/>
      <c r="S284" s="9"/>
      <c r="T284" s="9"/>
      <c r="U284" s="9"/>
      <c r="V284" s="70"/>
    </row>
    <row r="285" spans="1:22" ht="13.5" thickBot="1">
      <c r="A285" s="10" t="s">
        <v>1</v>
      </c>
      <c r="B285" s="73" t="s">
        <v>1</v>
      </c>
      <c r="C285" s="74" t="s">
        <v>1</v>
      </c>
      <c r="D285" s="75" t="s">
        <v>1</v>
      </c>
      <c r="E285" s="74" t="s">
        <v>1</v>
      </c>
      <c r="F285" s="75" t="s">
        <v>1</v>
      </c>
      <c r="G285" s="74" t="s">
        <v>1</v>
      </c>
      <c r="H285" s="75" t="s">
        <v>1</v>
      </c>
      <c r="I285" s="74" t="s">
        <v>1</v>
      </c>
      <c r="J285" s="75" t="s">
        <v>1</v>
      </c>
      <c r="K285" s="74" t="s">
        <v>1</v>
      </c>
      <c r="L285" s="75" t="s">
        <v>1</v>
      </c>
      <c r="M285" s="74" t="s">
        <v>1</v>
      </c>
      <c r="N285" s="75" t="s">
        <v>1</v>
      </c>
      <c r="O285" s="6" t="s">
        <v>1</v>
      </c>
      <c r="Q285" s="33"/>
      <c r="R285" s="57"/>
      <c r="S285" s="39"/>
      <c r="T285" s="39"/>
      <c r="U285" s="39"/>
      <c r="V285" s="41"/>
    </row>
    <row r="286" spans="1:22" ht="50.25" customHeight="1" thickBot="1">
      <c r="A286" s="580" t="s">
        <v>85</v>
      </c>
      <c r="B286" s="581"/>
      <c r="C286" s="581"/>
      <c r="D286" s="581"/>
      <c r="E286" s="581"/>
      <c r="F286" s="581"/>
      <c r="G286" s="581"/>
      <c r="H286" s="581"/>
      <c r="I286" s="581"/>
      <c r="J286" s="581"/>
      <c r="K286" s="581"/>
      <c r="L286" s="581"/>
      <c r="M286" s="581"/>
      <c r="N286" s="581"/>
      <c r="O286" s="582"/>
    </row>
    <row r="287" spans="1:22">
      <c r="A287" s="10" t="s">
        <v>1</v>
      </c>
      <c r="B287" s="11" t="s">
        <v>0</v>
      </c>
      <c r="C287" s="381">
        <f>C283+93.49</f>
        <v>16880.47</v>
      </c>
      <c r="D287" s="410">
        <f>D283+18.49</f>
        <v>17276.3</v>
      </c>
      <c r="E287" s="381">
        <f>E283+39.41</f>
        <v>19254.240000000002</v>
      </c>
      <c r="F287" s="410">
        <f>F283+41.84</f>
        <v>17129.500000000004</v>
      </c>
      <c r="G287" s="381">
        <f>G283+27.6</f>
        <v>17317.21</v>
      </c>
      <c r="H287" s="410">
        <f>H283+1.46+25.63</f>
        <v>21367.449999999997</v>
      </c>
      <c r="I287" s="96"/>
      <c r="L287" s="382">
        <f>L283+42.6</f>
        <v>16936.96</v>
      </c>
      <c r="M287" s="383">
        <f>M283+66.72</f>
        <v>22165.73</v>
      </c>
      <c r="N287" s="382">
        <f>N283+45.81</f>
        <v>18457.350000000002</v>
      </c>
      <c r="O287" s="2"/>
      <c r="V287" s="15"/>
    </row>
    <row r="288" spans="1:22" ht="15.75">
      <c r="A288" s="115" t="str">
        <f>A4</f>
        <v>2011 BUDGET</v>
      </c>
      <c r="B288" s="3"/>
      <c r="K288" s="383"/>
      <c r="O288" s="2"/>
    </row>
    <row r="289" spans="1:23">
      <c r="A289" s="99"/>
      <c r="B289" s="3"/>
      <c r="O289" s="2"/>
      <c r="P289" s="9"/>
      <c r="Q289" s="9"/>
      <c r="R289" s="9"/>
      <c r="S289" s="9"/>
      <c r="T289" s="9"/>
      <c r="U289" s="9"/>
      <c r="V289" s="9"/>
    </row>
    <row r="290" spans="1:23">
      <c r="A290" s="4"/>
      <c r="B290" s="3"/>
      <c r="C290" s="22" t="s">
        <v>2</v>
      </c>
      <c r="D290" s="23" t="s">
        <v>3</v>
      </c>
      <c r="E290" s="22" t="s">
        <v>4</v>
      </c>
      <c r="F290" s="23" t="s">
        <v>5</v>
      </c>
      <c r="G290" s="22" t="s">
        <v>6</v>
      </c>
      <c r="H290" s="23" t="s">
        <v>86</v>
      </c>
      <c r="I290" s="22" t="s">
        <v>87</v>
      </c>
      <c r="J290" s="23" t="s">
        <v>52</v>
      </c>
      <c r="K290" s="22" t="s">
        <v>88</v>
      </c>
      <c r="L290" s="23" t="s">
        <v>10</v>
      </c>
      <c r="M290" s="22" t="s">
        <v>11</v>
      </c>
      <c r="N290" s="23" t="s">
        <v>12</v>
      </c>
      <c r="O290" s="24" t="s">
        <v>13</v>
      </c>
      <c r="R290" s="15"/>
      <c r="S290" s="15"/>
      <c r="T290" s="15"/>
      <c r="U290" s="15"/>
      <c r="V290" s="15"/>
    </row>
    <row r="291" spans="1:23" ht="16.5" thickBot="1">
      <c r="A291" s="19" t="s">
        <v>53</v>
      </c>
      <c r="B291" s="3"/>
      <c r="C291" s="100">
        <v>178.608</v>
      </c>
      <c r="D291" s="101">
        <v>164.375</v>
      </c>
      <c r="E291" s="100">
        <v>178.988</v>
      </c>
      <c r="F291" s="101">
        <v>171.42400000000001</v>
      </c>
      <c r="G291" s="100">
        <v>180.23099999999999</v>
      </c>
      <c r="H291" s="101">
        <v>235.08500000000001</v>
      </c>
      <c r="I291" s="100">
        <v>295.59100000000001</v>
      </c>
      <c r="J291" s="101">
        <v>291.11700000000002</v>
      </c>
      <c r="K291" s="100">
        <v>208.268</v>
      </c>
      <c r="L291" s="101">
        <v>197.702</v>
      </c>
      <c r="M291" s="100">
        <v>172.054</v>
      </c>
      <c r="N291" s="101">
        <v>176.42500000000001</v>
      </c>
      <c r="O291" s="102">
        <f>SUM(C291:N291)</f>
        <v>2449.8680000000004</v>
      </c>
      <c r="R291" s="72"/>
      <c r="S291" s="15"/>
      <c r="T291" s="72"/>
      <c r="U291" s="15"/>
      <c r="V291" s="15"/>
    </row>
    <row r="292" spans="1:23">
      <c r="A292" s="28" t="s">
        <v>54</v>
      </c>
      <c r="B292" s="29" t="s">
        <v>55</v>
      </c>
      <c r="C292" s="30">
        <f>C293/C$291</f>
        <v>50.815193048463676</v>
      </c>
      <c r="D292" s="31">
        <f t="shared" ref="D292:N292" si="160">D293/D$291</f>
        <v>48.936882129277564</v>
      </c>
      <c r="E292" s="30">
        <f t="shared" si="160"/>
        <v>51.835877265515009</v>
      </c>
      <c r="F292" s="31">
        <f t="shared" si="160"/>
        <v>10.669451185364943</v>
      </c>
      <c r="G292" s="30">
        <f t="shared" si="160"/>
        <v>37.329871109853464</v>
      </c>
      <c r="H292" s="31">
        <f t="shared" si="160"/>
        <v>55.643703341344619</v>
      </c>
      <c r="I292" s="30">
        <f t="shared" si="160"/>
        <v>48.519745188452966</v>
      </c>
      <c r="J292" s="31">
        <f t="shared" si="160"/>
        <v>59.161780315131026</v>
      </c>
      <c r="K292" s="30">
        <f t="shared" si="160"/>
        <v>60.31651525918528</v>
      </c>
      <c r="L292" s="31">
        <f t="shared" si="160"/>
        <v>61.860780366410054</v>
      </c>
      <c r="M292" s="30">
        <f t="shared" si="160"/>
        <v>45.183488904646218</v>
      </c>
      <c r="N292" s="31">
        <f t="shared" si="160"/>
        <v>55.768740257899957</v>
      </c>
      <c r="O292" s="32">
        <f>O293/O$7</f>
        <v>28.079761011558162</v>
      </c>
      <c r="Q292" s="33"/>
    </row>
    <row r="293" spans="1:23">
      <c r="A293" s="34" t="s">
        <v>56</v>
      </c>
      <c r="B293" s="35" t="s">
        <v>57</v>
      </c>
      <c r="C293" s="36">
        <v>9076</v>
      </c>
      <c r="D293" s="37">
        <v>8044</v>
      </c>
      <c r="E293" s="36">
        <v>9278</v>
      </c>
      <c r="F293" s="37">
        <v>1829</v>
      </c>
      <c r="G293" s="36">
        <v>6728</v>
      </c>
      <c r="H293" s="37">
        <v>13081</v>
      </c>
      <c r="I293" s="36">
        <v>14342</v>
      </c>
      <c r="J293" s="37">
        <v>17223</v>
      </c>
      <c r="K293" s="36">
        <v>12562</v>
      </c>
      <c r="L293" s="37">
        <v>12230</v>
      </c>
      <c r="M293" s="36">
        <v>7774</v>
      </c>
      <c r="N293" s="37">
        <v>9839</v>
      </c>
      <c r="O293" s="38">
        <f>SUM(C293:N293)</f>
        <v>122006</v>
      </c>
      <c r="Q293" s="33"/>
      <c r="R293" s="57"/>
      <c r="S293" s="57"/>
      <c r="T293" s="57"/>
      <c r="U293" s="57"/>
      <c r="V293" s="41"/>
    </row>
    <row r="294" spans="1:23" ht="15.75">
      <c r="A294" s="42"/>
      <c r="B294" s="35" t="s">
        <v>58</v>
      </c>
      <c r="C294" s="43">
        <f>C295/C293</f>
        <v>0.1523997355663288</v>
      </c>
      <c r="D294" s="44">
        <f t="shared" ref="D294:N294" si="161">D295/D293</f>
        <v>0.15240054699154651</v>
      </c>
      <c r="E294" s="43">
        <f t="shared" si="161"/>
        <v>0.15240030178917871</v>
      </c>
      <c r="F294" s="44">
        <f t="shared" si="161"/>
        <v>0.15240021869874248</v>
      </c>
      <c r="G294" s="43">
        <f t="shared" si="161"/>
        <v>0.15240041617122471</v>
      </c>
      <c r="H294" s="44">
        <f t="shared" si="161"/>
        <v>0.15239966363427873</v>
      </c>
      <c r="I294" s="43">
        <f t="shared" si="161"/>
        <v>0.15049993027471759</v>
      </c>
      <c r="J294" s="44">
        <f t="shared" si="161"/>
        <v>0.15049991290715903</v>
      </c>
      <c r="K294" s="43">
        <f t="shared" si="161"/>
        <v>0.15049992039484159</v>
      </c>
      <c r="L294" s="44">
        <f t="shared" si="161"/>
        <v>0.15009975470155357</v>
      </c>
      <c r="M294" s="43">
        <f t="shared" si="161"/>
        <v>0.15010033444816054</v>
      </c>
      <c r="N294" s="44">
        <f t="shared" si="161"/>
        <v>0.15009960361825389</v>
      </c>
      <c r="O294" s="45">
        <f>IF(O293=0,0,+O295/O293)</f>
        <v>0.1511501893349507</v>
      </c>
      <c r="Q294" s="33"/>
      <c r="R294" s="46"/>
      <c r="S294" s="80"/>
      <c r="T294" s="68"/>
      <c r="U294" s="47"/>
      <c r="V294" s="41"/>
    </row>
    <row r="295" spans="1:23">
      <c r="A295" s="42"/>
      <c r="B295" s="35" t="s">
        <v>15</v>
      </c>
      <c r="C295" s="48">
        <v>1383.18</v>
      </c>
      <c r="D295" s="49">
        <v>1225.9100000000001</v>
      </c>
      <c r="E295" s="48">
        <v>1413.97</v>
      </c>
      <c r="F295" s="49">
        <v>278.74</v>
      </c>
      <c r="G295" s="48">
        <v>1025.3499999999999</v>
      </c>
      <c r="H295" s="49">
        <v>1993.54</v>
      </c>
      <c r="I295" s="48">
        <v>2158.4699999999998</v>
      </c>
      <c r="J295" s="49">
        <v>2592.06</v>
      </c>
      <c r="K295" s="48">
        <v>1890.58</v>
      </c>
      <c r="L295" s="49">
        <v>1835.72</v>
      </c>
      <c r="M295" s="48">
        <v>1166.8800000000001</v>
      </c>
      <c r="N295" s="49">
        <v>1476.83</v>
      </c>
      <c r="O295" s="50">
        <f>SUM(C295:N295)</f>
        <v>18441.229999999996</v>
      </c>
      <c r="Q295" s="33"/>
      <c r="R295" s="40"/>
      <c r="S295" s="40"/>
      <c r="T295" s="40"/>
      <c r="U295" s="40"/>
      <c r="V295" s="41"/>
    </row>
    <row r="296" spans="1:23" ht="16.5" thickBot="1">
      <c r="A296" s="51"/>
      <c r="B296" s="52" t="s">
        <v>59</v>
      </c>
      <c r="C296" s="53">
        <f t="shared" ref="C296:N296" si="162">C295/C$291</f>
        <v>7.7442219833378125</v>
      </c>
      <c r="D296" s="54">
        <f t="shared" si="162"/>
        <v>7.4580076045627379</v>
      </c>
      <c r="E296" s="53">
        <f t="shared" si="162"/>
        <v>7.8998033387713145</v>
      </c>
      <c r="F296" s="54">
        <f t="shared" si="162"/>
        <v>1.6260266940451746</v>
      </c>
      <c r="G296" s="53">
        <f t="shared" si="162"/>
        <v>5.6890878927598472</v>
      </c>
      <c r="H296" s="54">
        <f t="shared" si="162"/>
        <v>8.4800816725865111</v>
      </c>
      <c r="I296" s="53">
        <f t="shared" si="162"/>
        <v>7.3022182678092351</v>
      </c>
      <c r="J296" s="54">
        <f t="shared" si="162"/>
        <v>8.9038427848596946</v>
      </c>
      <c r="K296" s="53">
        <f t="shared" si="162"/>
        <v>9.0776307450016329</v>
      </c>
      <c r="L296" s="54">
        <f t="shared" si="162"/>
        <v>9.2852879586448296</v>
      </c>
      <c r="M296" s="53">
        <f t="shared" si="162"/>
        <v>6.7820567961221485</v>
      </c>
      <c r="N296" s="54">
        <f t="shared" si="162"/>
        <v>8.3708658070001416</v>
      </c>
      <c r="O296" s="55">
        <f>O295/O$7</f>
        <v>4.2442611933771834</v>
      </c>
      <c r="Q296" s="33"/>
      <c r="R296" s="56"/>
      <c r="S296" s="80"/>
      <c r="T296" s="57"/>
      <c r="U296" s="57"/>
      <c r="V296" s="41"/>
    </row>
    <row r="297" spans="1:23">
      <c r="A297" s="28" t="s">
        <v>60</v>
      </c>
      <c r="B297" s="29" t="s">
        <v>55</v>
      </c>
      <c r="C297" s="30">
        <f>C298/C$291</f>
        <v>0</v>
      </c>
      <c r="D297" s="31">
        <v>0</v>
      </c>
      <c r="E297" s="30">
        <v>0</v>
      </c>
      <c r="F297" s="31">
        <v>0</v>
      </c>
      <c r="G297" s="30">
        <v>9.7603445011195111E-3</v>
      </c>
      <c r="H297" s="31">
        <f>H298/H$291</f>
        <v>0</v>
      </c>
      <c r="I297" s="30">
        <v>0</v>
      </c>
      <c r="J297" s="31">
        <v>0</v>
      </c>
      <c r="K297" s="30">
        <v>0</v>
      </c>
      <c r="L297" s="31">
        <v>0</v>
      </c>
      <c r="M297" s="30">
        <v>0</v>
      </c>
      <c r="N297" s="31">
        <v>0</v>
      </c>
      <c r="O297" s="32">
        <f>O298/O$7</f>
        <v>0</v>
      </c>
      <c r="Q297" s="33"/>
      <c r="R297" s="58"/>
      <c r="S297" s="58"/>
      <c r="T297" s="58"/>
      <c r="U297" s="58"/>
      <c r="V297" s="41"/>
      <c r="W297" s="8"/>
    </row>
    <row r="298" spans="1:23">
      <c r="A298" s="34" t="s">
        <v>56</v>
      </c>
      <c r="B298" s="35" t="s">
        <v>57</v>
      </c>
      <c r="C298" s="65">
        <v>0</v>
      </c>
      <c r="D298" s="66">
        <v>0</v>
      </c>
      <c r="E298" s="65">
        <f>E$291*E297</f>
        <v>0</v>
      </c>
      <c r="F298" s="66">
        <f>F$291*F297</f>
        <v>0</v>
      </c>
      <c r="G298" s="65">
        <v>0</v>
      </c>
      <c r="H298" s="66">
        <v>0</v>
      </c>
      <c r="I298" s="65">
        <v>0</v>
      </c>
      <c r="J298" s="66">
        <f>J$291*J297</f>
        <v>0</v>
      </c>
      <c r="K298" s="65">
        <v>0</v>
      </c>
      <c r="L298" s="66">
        <v>0</v>
      </c>
      <c r="M298" s="65">
        <f>M$291*M297</f>
        <v>0</v>
      </c>
      <c r="N298" s="66">
        <f>N$291*N297</f>
        <v>0</v>
      </c>
      <c r="O298" s="67">
        <f>SUM(C298:N298)</f>
        <v>0</v>
      </c>
      <c r="Q298" s="33"/>
      <c r="R298" s="57"/>
      <c r="S298" s="57"/>
      <c r="T298" s="57"/>
      <c r="U298" s="57"/>
      <c r="V298" s="41"/>
      <c r="W298" s="8"/>
    </row>
    <row r="299" spans="1:23" ht="15.75">
      <c r="A299" s="42"/>
      <c r="B299" s="35" t="s">
        <v>58</v>
      </c>
      <c r="C299" s="43">
        <f>'[10]Price Changes'!$F$58</f>
        <v>0.88580000000000003</v>
      </c>
      <c r="D299" s="44">
        <f>'[10]Price Changes'!$F$58</f>
        <v>0.88580000000000003</v>
      </c>
      <c r="E299" s="43">
        <f>'[10]Price Changes'!$F$58</f>
        <v>0.88580000000000003</v>
      </c>
      <c r="F299" s="44">
        <f>'[10]Price Changes'!$F$58</f>
        <v>0.88580000000000003</v>
      </c>
      <c r="G299" s="43">
        <f>'[10]Price Changes'!$F$58</f>
        <v>0.88580000000000003</v>
      </c>
      <c r="H299" s="44">
        <f>'[10]Price Changes'!$F$58</f>
        <v>0.88580000000000003</v>
      </c>
      <c r="I299" s="43">
        <f>'[10]Price Changes'!$F$58</f>
        <v>0.88580000000000003</v>
      </c>
      <c r="J299" s="44">
        <f>'[10]Price Changes'!$F$58</f>
        <v>0.88580000000000003</v>
      </c>
      <c r="K299" s="43">
        <f>'[10]Price Changes'!$F$58</f>
        <v>0.88580000000000003</v>
      </c>
      <c r="L299" s="44">
        <f>'[10]Price Changes'!$F$58</f>
        <v>0.88580000000000003</v>
      </c>
      <c r="M299" s="43">
        <f>'[10]Price Changes'!$F$58</f>
        <v>0.88580000000000003</v>
      </c>
      <c r="N299" s="44">
        <f>'[10]Price Changes'!$F$58</f>
        <v>0.88580000000000003</v>
      </c>
      <c r="O299" s="45">
        <f>IF(O298=0,0,+O300/O298)</f>
        <v>0</v>
      </c>
      <c r="Q299" s="33"/>
      <c r="R299" s="46"/>
      <c r="S299" s="46"/>
      <c r="T299" s="47"/>
      <c r="U299" s="47"/>
      <c r="V299" s="41"/>
      <c r="W299" s="8"/>
    </row>
    <row r="300" spans="1:23">
      <c r="A300" s="42"/>
      <c r="B300" s="35" t="s">
        <v>15</v>
      </c>
      <c r="C300" s="48">
        <f t="shared" ref="C300:N300" si="163">C298*C299</f>
        <v>0</v>
      </c>
      <c r="D300" s="49">
        <f t="shared" si="163"/>
        <v>0</v>
      </c>
      <c r="E300" s="48">
        <f t="shared" si="163"/>
        <v>0</v>
      </c>
      <c r="F300" s="49">
        <f t="shared" si="163"/>
        <v>0</v>
      </c>
      <c r="G300" s="48">
        <f t="shared" si="163"/>
        <v>0</v>
      </c>
      <c r="H300" s="49">
        <f t="shared" si="163"/>
        <v>0</v>
      </c>
      <c r="I300" s="48">
        <f t="shared" si="163"/>
        <v>0</v>
      </c>
      <c r="J300" s="49">
        <f t="shared" si="163"/>
        <v>0</v>
      </c>
      <c r="K300" s="48">
        <f t="shared" si="163"/>
        <v>0</v>
      </c>
      <c r="L300" s="49">
        <f t="shared" si="163"/>
        <v>0</v>
      </c>
      <c r="M300" s="48">
        <f t="shared" si="163"/>
        <v>0</v>
      </c>
      <c r="N300" s="49">
        <f t="shared" si="163"/>
        <v>0</v>
      </c>
      <c r="O300" s="50">
        <f>SUM(C300:N300)</f>
        <v>0</v>
      </c>
      <c r="Q300" s="33"/>
      <c r="R300" s="40"/>
      <c r="S300" s="40"/>
      <c r="T300" s="40"/>
      <c r="U300" s="40"/>
      <c r="V300" s="41"/>
      <c r="W300" s="8"/>
    </row>
    <row r="301" spans="1:23" ht="16.5" thickBot="1">
      <c r="A301" s="51"/>
      <c r="B301" s="52" t="s">
        <v>59</v>
      </c>
      <c r="C301" s="53">
        <f t="shared" ref="C301:N301" si="164">C300/C$291</f>
        <v>0</v>
      </c>
      <c r="D301" s="54">
        <f t="shared" si="164"/>
        <v>0</v>
      </c>
      <c r="E301" s="53">
        <f t="shared" si="164"/>
        <v>0</v>
      </c>
      <c r="F301" s="54">
        <f t="shared" si="164"/>
        <v>0</v>
      </c>
      <c r="G301" s="53">
        <f t="shared" si="164"/>
        <v>0</v>
      </c>
      <c r="H301" s="54">
        <f t="shared" si="164"/>
        <v>0</v>
      </c>
      <c r="I301" s="53">
        <f t="shared" si="164"/>
        <v>0</v>
      </c>
      <c r="J301" s="54">
        <f t="shared" si="164"/>
        <v>0</v>
      </c>
      <c r="K301" s="53">
        <f t="shared" si="164"/>
        <v>0</v>
      </c>
      <c r="L301" s="54">
        <f t="shared" si="164"/>
        <v>0</v>
      </c>
      <c r="M301" s="53">
        <f t="shared" si="164"/>
        <v>0</v>
      </c>
      <c r="N301" s="54">
        <f t="shared" si="164"/>
        <v>0</v>
      </c>
      <c r="O301" s="55">
        <f>O300/O$7</f>
        <v>0</v>
      </c>
      <c r="Q301" s="33"/>
      <c r="R301" s="56"/>
      <c r="S301" s="56"/>
      <c r="T301" s="57"/>
      <c r="U301" s="57"/>
      <c r="V301" s="41"/>
      <c r="W301" s="8"/>
    </row>
    <row r="302" spans="1:23">
      <c r="A302" s="28" t="s">
        <v>61</v>
      </c>
      <c r="B302" s="29" t="s">
        <v>55</v>
      </c>
      <c r="C302" s="30">
        <f>C303/C$291</f>
        <v>45.401101854340233</v>
      </c>
      <c r="D302" s="31">
        <f t="shared" ref="D302:N302" si="165">D303/D$291</f>
        <v>44.939923954372624</v>
      </c>
      <c r="E302" s="30">
        <f t="shared" si="165"/>
        <v>46.153932107180367</v>
      </c>
      <c r="F302" s="31">
        <f t="shared" si="165"/>
        <v>42.998646630576815</v>
      </c>
      <c r="G302" s="30">
        <f t="shared" si="165"/>
        <v>48.615388029806198</v>
      </c>
      <c r="H302" s="31">
        <f t="shared" si="165"/>
        <v>53.04464342684561</v>
      </c>
      <c r="I302" s="30">
        <f t="shared" si="165"/>
        <v>54.592325206112498</v>
      </c>
      <c r="J302" s="31">
        <f t="shared" si="165"/>
        <v>64.218166579073014</v>
      </c>
      <c r="K302" s="30">
        <f t="shared" si="165"/>
        <v>65.233257149442068</v>
      </c>
      <c r="L302" s="31">
        <f t="shared" si="165"/>
        <v>54.374766062052991</v>
      </c>
      <c r="M302" s="30">
        <f t="shared" si="165"/>
        <v>56.575261255187321</v>
      </c>
      <c r="N302" s="31">
        <f t="shared" si="165"/>
        <v>57.418166359642903</v>
      </c>
      <c r="O302" s="32">
        <f>O303/O$7</f>
        <v>30.239955074591826</v>
      </c>
      <c r="Q302" s="33"/>
    </row>
    <row r="303" spans="1:23">
      <c r="A303" s="34" t="s">
        <v>56</v>
      </c>
      <c r="B303" s="35" t="s">
        <v>57</v>
      </c>
      <c r="C303" s="36">
        <v>8109</v>
      </c>
      <c r="D303" s="37">
        <v>7387</v>
      </c>
      <c r="E303" s="36">
        <v>8261</v>
      </c>
      <c r="F303" s="37">
        <v>7371</v>
      </c>
      <c r="G303" s="36">
        <v>8762</v>
      </c>
      <c r="H303" s="37">
        <v>12470</v>
      </c>
      <c r="I303" s="36">
        <v>16137</v>
      </c>
      <c r="J303" s="37">
        <v>18695</v>
      </c>
      <c r="K303" s="36">
        <v>13586</v>
      </c>
      <c r="L303" s="37">
        <v>10750</v>
      </c>
      <c r="M303" s="36">
        <v>9734</v>
      </c>
      <c r="N303" s="37">
        <v>10130</v>
      </c>
      <c r="O303" s="38">
        <f>SUM(C303:N303)</f>
        <v>131392</v>
      </c>
      <c r="Q303" s="33"/>
      <c r="R303" s="57"/>
      <c r="S303" s="57"/>
      <c r="T303" s="47"/>
      <c r="U303" s="57"/>
      <c r="V303" s="41"/>
      <c r="W303" s="8"/>
    </row>
    <row r="304" spans="1:23" ht="15.75">
      <c r="A304" s="42"/>
      <c r="B304" s="35" t="s">
        <v>58</v>
      </c>
      <c r="C304" s="43">
        <f>C305/C303</f>
        <v>0.20139967936860279</v>
      </c>
      <c r="D304" s="44">
        <f t="shared" ref="D304:N304" si="166">D305/D303</f>
        <v>0.20139975632868554</v>
      </c>
      <c r="E304" s="43">
        <f t="shared" si="166"/>
        <v>0.20069967316305531</v>
      </c>
      <c r="F304" s="44">
        <f t="shared" si="166"/>
        <v>0.20050061050061052</v>
      </c>
      <c r="G304" s="43">
        <f t="shared" si="166"/>
        <v>0.20049988587080575</v>
      </c>
      <c r="H304" s="44">
        <f t="shared" si="166"/>
        <v>0.20040016038492381</v>
      </c>
      <c r="I304" s="43">
        <f t="shared" si="166"/>
        <v>0.20039970254694181</v>
      </c>
      <c r="J304" s="44">
        <f t="shared" si="166"/>
        <v>0.20040010698047606</v>
      </c>
      <c r="K304" s="43">
        <f t="shared" si="166"/>
        <v>0.20030030914176358</v>
      </c>
      <c r="L304" s="44">
        <f t="shared" si="166"/>
        <v>0.20030046511627908</v>
      </c>
      <c r="M304" s="43">
        <f t="shared" si="166"/>
        <v>0.20029997945346209</v>
      </c>
      <c r="N304" s="44">
        <f t="shared" si="166"/>
        <v>0.20037907206317868</v>
      </c>
      <c r="O304" s="45">
        <f>IF(O303=0,0,+O305/O303)</f>
        <v>0.20052156904529955</v>
      </c>
      <c r="Q304" s="33"/>
      <c r="R304" s="46"/>
      <c r="S304" s="46"/>
      <c r="T304" s="47"/>
      <c r="U304" s="47"/>
      <c r="V304" s="41"/>
      <c r="W304" s="8"/>
    </row>
    <row r="305" spans="1:23">
      <c r="A305" s="42"/>
      <c r="B305" s="35" t="s">
        <v>15</v>
      </c>
      <c r="C305" s="48">
        <v>1633.15</v>
      </c>
      <c r="D305" s="49">
        <v>1487.74</v>
      </c>
      <c r="E305" s="48">
        <v>1657.98</v>
      </c>
      <c r="F305" s="49">
        <v>1477.89</v>
      </c>
      <c r="G305" s="48">
        <v>1756.78</v>
      </c>
      <c r="H305" s="49">
        <v>2498.9899999999998</v>
      </c>
      <c r="I305" s="48">
        <v>3233.85</v>
      </c>
      <c r="J305" s="49">
        <v>3746.48</v>
      </c>
      <c r="K305" s="48">
        <v>2721.28</v>
      </c>
      <c r="L305" s="49">
        <v>2153.23</v>
      </c>
      <c r="M305" s="48">
        <v>1949.72</v>
      </c>
      <c r="N305" s="49">
        <v>2029.84</v>
      </c>
      <c r="O305" s="50">
        <f>SUM(C305:N305)</f>
        <v>26346.93</v>
      </c>
      <c r="Q305" s="33"/>
      <c r="R305" s="40"/>
      <c r="S305" s="40"/>
      <c r="T305" s="40"/>
      <c r="U305" s="40"/>
      <c r="V305" s="41"/>
    </row>
    <row r="306" spans="1:23" ht="16.5" thickBot="1">
      <c r="A306" s="51"/>
      <c r="B306" s="52" t="s">
        <v>59</v>
      </c>
      <c r="C306" s="53">
        <f t="shared" ref="C306:N306" si="167">C305/C$291</f>
        <v>9.1437673564453998</v>
      </c>
      <c r="D306" s="54">
        <f t="shared" si="167"/>
        <v>9.0508897338403038</v>
      </c>
      <c r="E306" s="53">
        <f t="shared" si="167"/>
        <v>9.2630790891009447</v>
      </c>
      <c r="F306" s="54">
        <f t="shared" si="167"/>
        <v>8.6212549001306709</v>
      </c>
      <c r="G306" s="53">
        <f t="shared" si="167"/>
        <v>9.7473797515410787</v>
      </c>
      <c r="H306" s="54">
        <f t="shared" si="167"/>
        <v>10.630155050300953</v>
      </c>
      <c r="I306" s="53">
        <f t="shared" si="167"/>
        <v>10.940285732650858</v>
      </c>
      <c r="J306" s="54">
        <f t="shared" si="167"/>
        <v>12.869327452536265</v>
      </c>
      <c r="K306" s="53">
        <f t="shared" si="167"/>
        <v>13.066241573357406</v>
      </c>
      <c r="L306" s="54">
        <f t="shared" si="167"/>
        <v>10.89129093281808</v>
      </c>
      <c r="M306" s="53">
        <f t="shared" si="167"/>
        <v>11.33202366698827</v>
      </c>
      <c r="N306" s="54">
        <f t="shared" si="167"/>
        <v>11.505398894714467</v>
      </c>
      <c r="O306" s="55">
        <f>O305/O$7</f>
        <v>6.0637632394165211</v>
      </c>
      <c r="Q306" s="33"/>
      <c r="R306" s="46"/>
      <c r="S306" s="56"/>
      <c r="T306" s="57"/>
      <c r="U306" s="57"/>
      <c r="V306" s="41"/>
    </row>
    <row r="307" spans="1:23">
      <c r="A307" s="28" t="s">
        <v>62</v>
      </c>
      <c r="B307" s="29" t="s">
        <v>55</v>
      </c>
      <c r="C307" s="30">
        <v>0</v>
      </c>
      <c r="D307" s="31">
        <v>0</v>
      </c>
      <c r="E307" s="30">
        <v>0</v>
      </c>
      <c r="F307" s="31">
        <v>0</v>
      </c>
      <c r="G307" s="30">
        <v>0</v>
      </c>
      <c r="H307" s="31">
        <v>0</v>
      </c>
      <c r="I307" s="30">
        <v>0</v>
      </c>
      <c r="J307" s="31">
        <v>0</v>
      </c>
      <c r="K307" s="30">
        <v>0</v>
      </c>
      <c r="L307" s="31">
        <v>0</v>
      </c>
      <c r="M307" s="30">
        <v>0</v>
      </c>
      <c r="N307" s="31">
        <v>0</v>
      </c>
      <c r="O307" s="32">
        <f>O308/O$7</f>
        <v>0</v>
      </c>
      <c r="Q307" s="33"/>
    </row>
    <row r="308" spans="1:23">
      <c r="A308" s="34" t="s">
        <v>56</v>
      </c>
      <c r="B308" s="35" t="s">
        <v>57</v>
      </c>
      <c r="C308" s="65">
        <f t="shared" ref="C308:N308" si="168">C$291*C307</f>
        <v>0</v>
      </c>
      <c r="D308" s="66">
        <f t="shared" si="168"/>
        <v>0</v>
      </c>
      <c r="E308" s="65">
        <f t="shared" si="168"/>
        <v>0</v>
      </c>
      <c r="F308" s="66">
        <f t="shared" si="168"/>
        <v>0</v>
      </c>
      <c r="G308" s="65">
        <f t="shared" si="168"/>
        <v>0</v>
      </c>
      <c r="H308" s="66">
        <f t="shared" si="168"/>
        <v>0</v>
      </c>
      <c r="I308" s="65">
        <f t="shared" si="168"/>
        <v>0</v>
      </c>
      <c r="J308" s="66">
        <f t="shared" si="168"/>
        <v>0</v>
      </c>
      <c r="K308" s="65">
        <f t="shared" si="168"/>
        <v>0</v>
      </c>
      <c r="L308" s="66">
        <f t="shared" si="168"/>
        <v>0</v>
      </c>
      <c r="M308" s="65">
        <f t="shared" si="168"/>
        <v>0</v>
      </c>
      <c r="N308" s="66">
        <f t="shared" si="168"/>
        <v>0</v>
      </c>
      <c r="O308" s="67">
        <f>SUM(C308:N308)</f>
        <v>0</v>
      </c>
      <c r="Q308" s="33"/>
      <c r="R308" s="57"/>
      <c r="S308" s="60"/>
      <c r="T308" s="57"/>
      <c r="U308" s="57"/>
      <c r="V308" s="41"/>
      <c r="W308" s="8"/>
    </row>
    <row r="309" spans="1:23" ht="15.75">
      <c r="A309" s="42"/>
      <c r="B309" s="35" t="s">
        <v>58</v>
      </c>
      <c r="C309" s="43">
        <f>'[10]Price Changes'!F60</f>
        <v>0</v>
      </c>
      <c r="D309" s="44">
        <f t="shared" ref="D309:N309" si="169">C309</f>
        <v>0</v>
      </c>
      <c r="E309" s="43">
        <f t="shared" si="169"/>
        <v>0</v>
      </c>
      <c r="F309" s="44">
        <f t="shared" si="169"/>
        <v>0</v>
      </c>
      <c r="G309" s="43">
        <f t="shared" si="169"/>
        <v>0</v>
      </c>
      <c r="H309" s="44">
        <f t="shared" si="169"/>
        <v>0</v>
      </c>
      <c r="I309" s="43">
        <f t="shared" si="169"/>
        <v>0</v>
      </c>
      <c r="J309" s="44">
        <f t="shared" si="169"/>
        <v>0</v>
      </c>
      <c r="K309" s="43">
        <f t="shared" si="169"/>
        <v>0</v>
      </c>
      <c r="L309" s="44">
        <f t="shared" si="169"/>
        <v>0</v>
      </c>
      <c r="M309" s="43">
        <f t="shared" si="169"/>
        <v>0</v>
      </c>
      <c r="N309" s="44">
        <f t="shared" si="169"/>
        <v>0</v>
      </c>
      <c r="O309" s="45">
        <f>IF(O308=0,0,+O310/O308)</f>
        <v>0</v>
      </c>
      <c r="Q309" s="33"/>
      <c r="R309" s="46"/>
      <c r="S309" s="46"/>
      <c r="T309" s="47"/>
      <c r="U309" s="47"/>
      <c r="V309" s="41"/>
      <c r="W309" s="8"/>
    </row>
    <row r="310" spans="1:23">
      <c r="A310" s="42"/>
      <c r="B310" s="35" t="s">
        <v>15</v>
      </c>
      <c r="C310" s="48">
        <f t="shared" ref="C310:N310" si="170">C308*C309</f>
        <v>0</v>
      </c>
      <c r="D310" s="49">
        <f t="shared" si="170"/>
        <v>0</v>
      </c>
      <c r="E310" s="48">
        <f t="shared" si="170"/>
        <v>0</v>
      </c>
      <c r="F310" s="49">
        <f t="shared" si="170"/>
        <v>0</v>
      </c>
      <c r="G310" s="48">
        <f t="shared" si="170"/>
        <v>0</v>
      </c>
      <c r="H310" s="49">
        <f t="shared" si="170"/>
        <v>0</v>
      </c>
      <c r="I310" s="48">
        <f t="shared" si="170"/>
        <v>0</v>
      </c>
      <c r="J310" s="49">
        <f t="shared" si="170"/>
        <v>0</v>
      </c>
      <c r="K310" s="48">
        <f t="shared" si="170"/>
        <v>0</v>
      </c>
      <c r="L310" s="49">
        <f t="shared" si="170"/>
        <v>0</v>
      </c>
      <c r="M310" s="48">
        <f t="shared" si="170"/>
        <v>0</v>
      </c>
      <c r="N310" s="49">
        <f t="shared" si="170"/>
        <v>0</v>
      </c>
      <c r="O310" s="50">
        <f>SUM(C310:N310)</f>
        <v>0</v>
      </c>
      <c r="Q310" s="33"/>
      <c r="R310" s="40"/>
      <c r="S310" s="40"/>
      <c r="T310" s="40"/>
      <c r="U310" s="40"/>
      <c r="V310" s="41"/>
      <c r="W310" s="8"/>
    </row>
    <row r="311" spans="1:23" ht="16.5" thickBot="1">
      <c r="A311" s="51"/>
      <c r="B311" s="52" t="s">
        <v>59</v>
      </c>
      <c r="C311" s="53">
        <f t="shared" ref="C311:N311" si="171">C310/C$291</f>
        <v>0</v>
      </c>
      <c r="D311" s="54">
        <f t="shared" si="171"/>
        <v>0</v>
      </c>
      <c r="E311" s="53">
        <f t="shared" si="171"/>
        <v>0</v>
      </c>
      <c r="F311" s="54">
        <f t="shared" si="171"/>
        <v>0</v>
      </c>
      <c r="G311" s="53">
        <f t="shared" si="171"/>
        <v>0</v>
      </c>
      <c r="H311" s="54">
        <f t="shared" si="171"/>
        <v>0</v>
      </c>
      <c r="I311" s="53">
        <f t="shared" si="171"/>
        <v>0</v>
      </c>
      <c r="J311" s="54">
        <f t="shared" si="171"/>
        <v>0</v>
      </c>
      <c r="K311" s="53">
        <f t="shared" si="171"/>
        <v>0</v>
      </c>
      <c r="L311" s="54">
        <f t="shared" si="171"/>
        <v>0</v>
      </c>
      <c r="M311" s="53">
        <f t="shared" si="171"/>
        <v>0</v>
      </c>
      <c r="N311" s="54">
        <f t="shared" si="171"/>
        <v>0</v>
      </c>
      <c r="O311" s="55">
        <f>O310/O$7</f>
        <v>0</v>
      </c>
      <c r="Q311" s="33"/>
      <c r="R311" s="46"/>
      <c r="S311" s="56"/>
      <c r="T311" s="57"/>
      <c r="U311" s="57"/>
      <c r="V311" s="41"/>
    </row>
    <row r="312" spans="1:23">
      <c r="A312" s="181" t="s">
        <v>63</v>
      </c>
      <c r="B312" s="29" t="s">
        <v>55</v>
      </c>
      <c r="C312" s="30">
        <f>C313/C$291</f>
        <v>22.115470751590074</v>
      </c>
      <c r="D312" s="31">
        <f t="shared" ref="D312:N312" si="172">D313/D$291</f>
        <v>22.266159695817489</v>
      </c>
      <c r="E312" s="30">
        <f t="shared" si="172"/>
        <v>19.543209600643618</v>
      </c>
      <c r="F312" s="31">
        <f t="shared" si="172"/>
        <v>20.358876236699643</v>
      </c>
      <c r="G312" s="30">
        <f t="shared" si="172"/>
        <v>19.991011535196499</v>
      </c>
      <c r="H312" s="31">
        <f t="shared" si="172"/>
        <v>22.621604951400556</v>
      </c>
      <c r="I312" s="30">
        <f t="shared" si="172"/>
        <v>18.786092945996327</v>
      </c>
      <c r="J312" s="31">
        <f t="shared" si="172"/>
        <v>22.052989004420901</v>
      </c>
      <c r="K312" s="30">
        <f t="shared" si="172"/>
        <v>23.16246374863157</v>
      </c>
      <c r="L312" s="31">
        <f t="shared" si="172"/>
        <v>22.655309506226544</v>
      </c>
      <c r="M312" s="30">
        <f t="shared" si="172"/>
        <v>22.899787276087739</v>
      </c>
      <c r="N312" s="31">
        <f t="shared" si="172"/>
        <v>23.057956638798355</v>
      </c>
      <c r="O312" s="32">
        <f>O313/O$7</f>
        <v>12.15264512149653</v>
      </c>
    </row>
    <row r="313" spans="1:23">
      <c r="A313" s="34" t="s">
        <v>64</v>
      </c>
      <c r="B313" s="35" t="s">
        <v>57</v>
      </c>
      <c r="C313" s="36">
        <v>3950</v>
      </c>
      <c r="D313" s="37">
        <v>3660</v>
      </c>
      <c r="E313" s="36">
        <v>3498</v>
      </c>
      <c r="F313" s="37">
        <v>3490</v>
      </c>
      <c r="G313" s="36">
        <v>3603</v>
      </c>
      <c r="H313" s="37">
        <v>5318</v>
      </c>
      <c r="I313" s="36">
        <v>5553</v>
      </c>
      <c r="J313" s="37">
        <v>6420</v>
      </c>
      <c r="K313" s="36">
        <v>4824</v>
      </c>
      <c r="L313" s="37">
        <v>4479</v>
      </c>
      <c r="M313" s="36">
        <v>3940</v>
      </c>
      <c r="N313" s="37">
        <v>4068</v>
      </c>
      <c r="O313" s="38">
        <f>SUM(C313:N313)</f>
        <v>52803</v>
      </c>
    </row>
    <row r="314" spans="1:23">
      <c r="A314" s="34"/>
      <c r="B314" s="35" t="s">
        <v>58</v>
      </c>
      <c r="C314" s="43">
        <f>C315/C313</f>
        <v>0.45899999999999996</v>
      </c>
      <c r="D314" s="44">
        <f t="shared" ref="D314:N314" si="173">D315/D313</f>
        <v>0.45900000000000002</v>
      </c>
      <c r="E314" s="43">
        <f t="shared" si="173"/>
        <v>0.45899942824471124</v>
      </c>
      <c r="F314" s="44">
        <f t="shared" si="173"/>
        <v>0.45900000000000002</v>
      </c>
      <c r="G314" s="43">
        <f t="shared" si="173"/>
        <v>0.45900083263946712</v>
      </c>
      <c r="H314" s="44">
        <f t="shared" si="173"/>
        <v>0.42279992478375328</v>
      </c>
      <c r="I314" s="43">
        <f t="shared" si="173"/>
        <v>0.42280028813254095</v>
      </c>
      <c r="J314" s="44">
        <f t="shared" si="173"/>
        <v>0.42280062305295951</v>
      </c>
      <c r="K314" s="43">
        <f t="shared" si="173"/>
        <v>0.83739427860696525</v>
      </c>
      <c r="L314" s="44">
        <f t="shared" si="173"/>
        <v>0.42279973208305427</v>
      </c>
      <c r="M314" s="43">
        <f t="shared" si="173"/>
        <v>0.42279949238578679</v>
      </c>
      <c r="N314" s="44">
        <f t="shared" si="173"/>
        <v>0.4227999016715831</v>
      </c>
      <c r="O314" s="45">
        <f>IF(O313=0,0,+O315/O313)</f>
        <v>0.47315474499554955</v>
      </c>
    </row>
    <row r="315" spans="1:23">
      <c r="A315" s="42"/>
      <c r="B315" s="35" t="s">
        <v>15</v>
      </c>
      <c r="C315" s="48">
        <v>1813.05</v>
      </c>
      <c r="D315" s="49">
        <v>1679.94</v>
      </c>
      <c r="E315" s="48">
        <v>1605.58</v>
      </c>
      <c r="F315" s="49">
        <v>1601.91</v>
      </c>
      <c r="G315" s="48">
        <v>1653.78</v>
      </c>
      <c r="H315" s="49">
        <v>2248.4499999999998</v>
      </c>
      <c r="I315" s="48">
        <v>2347.81</v>
      </c>
      <c r="J315" s="49">
        <v>2714.38</v>
      </c>
      <c r="K315" s="48">
        <v>4039.59</v>
      </c>
      <c r="L315" s="49">
        <v>1893.72</v>
      </c>
      <c r="M315" s="48">
        <v>1665.83</v>
      </c>
      <c r="N315" s="49">
        <v>1719.95</v>
      </c>
      <c r="O315" s="50">
        <f>SUM(C315:N315)</f>
        <v>24983.99</v>
      </c>
    </row>
    <row r="316" spans="1:23" ht="13.5" thickBot="1">
      <c r="A316" s="51"/>
      <c r="B316" s="52" t="s">
        <v>59</v>
      </c>
      <c r="C316" s="53">
        <f t="shared" ref="C316:N316" si="174">C315/C$291</f>
        <v>10.151001074979844</v>
      </c>
      <c r="D316" s="54">
        <f t="shared" si="174"/>
        <v>10.220167300380229</v>
      </c>
      <c r="E316" s="53">
        <f t="shared" si="174"/>
        <v>8.9703220327619722</v>
      </c>
      <c r="F316" s="54">
        <f t="shared" si="174"/>
        <v>9.3447241926451365</v>
      </c>
      <c r="G316" s="53">
        <f t="shared" si="174"/>
        <v>9.1758909399603841</v>
      </c>
      <c r="H316" s="54">
        <f t="shared" si="174"/>
        <v>9.5644128719399362</v>
      </c>
      <c r="I316" s="53">
        <f t="shared" si="174"/>
        <v>7.9427655104519417</v>
      </c>
      <c r="J316" s="54">
        <f t="shared" si="174"/>
        <v>9.3240174912492222</v>
      </c>
      <c r="K316" s="53">
        <f t="shared" si="174"/>
        <v>19.396114621545316</v>
      </c>
      <c r="L316" s="54">
        <f t="shared" si="174"/>
        <v>9.5786587894912554</v>
      </c>
      <c r="M316" s="53">
        <f t="shared" si="174"/>
        <v>9.6820184360723953</v>
      </c>
      <c r="N316" s="54">
        <f t="shared" si="174"/>
        <v>9.7489017996315717</v>
      </c>
      <c r="O316" s="55">
        <f>O315/O$7</f>
        <v>5.7500817034831</v>
      </c>
    </row>
    <row r="317" spans="1:23">
      <c r="A317" s="28" t="s">
        <v>65</v>
      </c>
      <c r="B317" s="29" t="s">
        <v>55</v>
      </c>
      <c r="C317" s="30">
        <f>C318/C$291</f>
        <v>0</v>
      </c>
      <c r="D317" s="31">
        <f>D318/D$291</f>
        <v>0</v>
      </c>
      <c r="E317" s="30">
        <v>0</v>
      </c>
      <c r="F317" s="31">
        <v>0</v>
      </c>
      <c r="G317" s="30">
        <v>0</v>
      </c>
      <c r="H317" s="31">
        <v>0</v>
      </c>
      <c r="I317" s="30">
        <v>0</v>
      </c>
      <c r="J317" s="31">
        <v>0</v>
      </c>
      <c r="K317" s="30">
        <v>0</v>
      </c>
      <c r="L317" s="31">
        <v>0</v>
      </c>
      <c r="M317" s="30">
        <v>0</v>
      </c>
      <c r="N317" s="31">
        <v>0</v>
      </c>
      <c r="O317" s="32">
        <f>O318/O$7</f>
        <v>0</v>
      </c>
      <c r="Q317" s="33"/>
    </row>
    <row r="318" spans="1:23">
      <c r="A318" s="34" t="s">
        <v>56</v>
      </c>
      <c r="B318" s="35" t="s">
        <v>57</v>
      </c>
      <c r="C318" s="36">
        <v>0</v>
      </c>
      <c r="D318" s="37">
        <v>0</v>
      </c>
      <c r="E318" s="36">
        <v>0</v>
      </c>
      <c r="F318" s="37">
        <v>0</v>
      </c>
      <c r="G318" s="36">
        <v>0</v>
      </c>
      <c r="H318" s="37">
        <v>0</v>
      </c>
      <c r="I318" s="36">
        <v>0</v>
      </c>
      <c r="J318" s="37">
        <v>0</v>
      </c>
      <c r="K318" s="36">
        <v>0</v>
      </c>
      <c r="L318" s="37">
        <v>0</v>
      </c>
      <c r="M318" s="36">
        <v>0</v>
      </c>
      <c r="N318" s="37">
        <v>0</v>
      </c>
      <c r="O318" s="38">
        <f>SUM(C318:N318)</f>
        <v>0</v>
      </c>
      <c r="Q318" s="33"/>
      <c r="R318" s="57"/>
      <c r="S318" s="57"/>
      <c r="T318" s="57"/>
      <c r="U318" s="57"/>
      <c r="V318" s="41"/>
      <c r="W318" s="8"/>
    </row>
    <row r="319" spans="1:23" ht="15.75">
      <c r="A319" s="42"/>
      <c r="B319" s="35" t="s">
        <v>58</v>
      </c>
      <c r="C319" s="43">
        <f>'[10]Price Changes'!$F$62</f>
        <v>0.32669999999999999</v>
      </c>
      <c r="D319" s="44">
        <f>'[10]Price Changes'!$F$62</f>
        <v>0.32669999999999999</v>
      </c>
      <c r="E319" s="43">
        <f>'[10]Price Changes'!$F$62</f>
        <v>0.32669999999999999</v>
      </c>
      <c r="F319" s="44">
        <f>'[10]Price Changes'!$F$62</f>
        <v>0.32669999999999999</v>
      </c>
      <c r="G319" s="43">
        <f>'[10]Price Changes'!$F$62</f>
        <v>0.32669999999999999</v>
      </c>
      <c r="H319" s="44">
        <f>'[10]Price Changes'!$F$62</f>
        <v>0.32669999999999999</v>
      </c>
      <c r="I319" s="43">
        <f>'[10]Price Changes'!$F$62</f>
        <v>0.32669999999999999</v>
      </c>
      <c r="J319" s="44">
        <f>'[10]Price Changes'!$F$62</f>
        <v>0.32669999999999999</v>
      </c>
      <c r="K319" s="43">
        <f>'[10]Price Changes'!$F$62</f>
        <v>0.32669999999999999</v>
      </c>
      <c r="L319" s="44">
        <f>'[10]Price Changes'!$F$62</f>
        <v>0.32669999999999999</v>
      </c>
      <c r="M319" s="43">
        <f>'[10]Price Changes'!$F$62</f>
        <v>0.32669999999999999</v>
      </c>
      <c r="N319" s="44">
        <f>'[10]Price Changes'!$F$62</f>
        <v>0.32669999999999999</v>
      </c>
      <c r="O319" s="45">
        <f>IF(O318=0,0,+O320/O318)</f>
        <v>0</v>
      </c>
      <c r="Q319" s="33"/>
      <c r="R319" s="46"/>
      <c r="S319" s="46"/>
      <c r="T319" s="47"/>
      <c r="U319" s="47"/>
      <c r="V319" s="41"/>
      <c r="W319" s="8"/>
    </row>
    <row r="320" spans="1:23">
      <c r="A320" s="42"/>
      <c r="B320" s="35" t="s">
        <v>15</v>
      </c>
      <c r="C320" s="48">
        <f t="shared" ref="C320:N320" si="175">C318*C319</f>
        <v>0</v>
      </c>
      <c r="D320" s="49">
        <f t="shared" si="175"/>
        <v>0</v>
      </c>
      <c r="E320" s="48">
        <f t="shared" si="175"/>
        <v>0</v>
      </c>
      <c r="F320" s="49">
        <f t="shared" si="175"/>
        <v>0</v>
      </c>
      <c r="G320" s="48">
        <f t="shared" si="175"/>
        <v>0</v>
      </c>
      <c r="H320" s="49">
        <f t="shared" si="175"/>
        <v>0</v>
      </c>
      <c r="I320" s="48">
        <f t="shared" si="175"/>
        <v>0</v>
      </c>
      <c r="J320" s="49">
        <f t="shared" si="175"/>
        <v>0</v>
      </c>
      <c r="K320" s="48">
        <f t="shared" si="175"/>
        <v>0</v>
      </c>
      <c r="L320" s="49">
        <f t="shared" si="175"/>
        <v>0</v>
      </c>
      <c r="M320" s="48">
        <f t="shared" si="175"/>
        <v>0</v>
      </c>
      <c r="N320" s="49">
        <f t="shared" si="175"/>
        <v>0</v>
      </c>
      <c r="O320" s="50">
        <f>SUM(C320:N320)</f>
        <v>0</v>
      </c>
      <c r="Q320" s="33"/>
      <c r="R320" s="40"/>
      <c r="S320" s="40"/>
      <c r="T320" s="40"/>
      <c r="U320" s="40"/>
      <c r="V320" s="41"/>
    </row>
    <row r="321" spans="1:23" ht="16.5" thickBot="1">
      <c r="A321" s="51"/>
      <c r="B321" s="52" t="s">
        <v>59</v>
      </c>
      <c r="C321" s="53">
        <f t="shared" ref="C321:N321" si="176">C320/C$291</f>
        <v>0</v>
      </c>
      <c r="D321" s="54">
        <f t="shared" si="176"/>
        <v>0</v>
      </c>
      <c r="E321" s="53">
        <f t="shared" si="176"/>
        <v>0</v>
      </c>
      <c r="F321" s="54">
        <f t="shared" si="176"/>
        <v>0</v>
      </c>
      <c r="G321" s="53">
        <f t="shared" si="176"/>
        <v>0</v>
      </c>
      <c r="H321" s="54">
        <f t="shared" si="176"/>
        <v>0</v>
      </c>
      <c r="I321" s="53">
        <f t="shared" si="176"/>
        <v>0</v>
      </c>
      <c r="J321" s="54">
        <f t="shared" si="176"/>
        <v>0</v>
      </c>
      <c r="K321" s="53">
        <f t="shared" si="176"/>
        <v>0</v>
      </c>
      <c r="L321" s="54">
        <f t="shared" si="176"/>
        <v>0</v>
      </c>
      <c r="M321" s="53">
        <f t="shared" si="176"/>
        <v>0</v>
      </c>
      <c r="N321" s="54">
        <f t="shared" si="176"/>
        <v>0</v>
      </c>
      <c r="O321" s="55">
        <f>O320/O$7</f>
        <v>0</v>
      </c>
      <c r="Q321" s="33"/>
      <c r="R321" s="56"/>
      <c r="S321" s="56"/>
      <c r="T321" s="57"/>
      <c r="U321" s="57"/>
      <c r="V321" s="41"/>
    </row>
    <row r="322" spans="1:23">
      <c r="A322" s="28" t="s">
        <v>66</v>
      </c>
      <c r="B322" s="29" t="s">
        <v>55</v>
      </c>
      <c r="C322" s="30">
        <f>C323/C$291</f>
        <v>35.390352055898951</v>
      </c>
      <c r="D322" s="31">
        <f t="shared" ref="D322:N322" si="177">D323/D$291</f>
        <v>31.136121673003803</v>
      </c>
      <c r="E322" s="30">
        <f t="shared" si="177"/>
        <v>29.460075535790107</v>
      </c>
      <c r="F322" s="31">
        <f t="shared" si="177"/>
        <v>34.365083068881837</v>
      </c>
      <c r="G322" s="30">
        <f t="shared" si="177"/>
        <v>32.968801149635745</v>
      </c>
      <c r="H322" s="31">
        <f t="shared" si="177"/>
        <v>34.795924878235532</v>
      </c>
      <c r="I322" s="30">
        <f t="shared" si="177"/>
        <v>33.343369723706068</v>
      </c>
      <c r="J322" s="31">
        <f t="shared" si="177"/>
        <v>38.252661301126352</v>
      </c>
      <c r="K322" s="30">
        <f t="shared" si="177"/>
        <v>35.050991991088402</v>
      </c>
      <c r="L322" s="31">
        <f t="shared" si="177"/>
        <v>35.877229365408546</v>
      </c>
      <c r="M322" s="30">
        <f t="shared" si="177"/>
        <v>33.61154056284655</v>
      </c>
      <c r="N322" s="31">
        <f t="shared" si="177"/>
        <v>37.245288366161255</v>
      </c>
      <c r="O322" s="32">
        <f>O323/O$7</f>
        <v>19.439445060736755</v>
      </c>
      <c r="Q322" s="33"/>
    </row>
    <row r="323" spans="1:23">
      <c r="A323" s="34" t="s">
        <v>64</v>
      </c>
      <c r="B323" s="35" t="s">
        <v>57</v>
      </c>
      <c r="C323" s="36">
        <v>6321</v>
      </c>
      <c r="D323" s="37">
        <v>5118</v>
      </c>
      <c r="E323" s="36">
        <v>5273</v>
      </c>
      <c r="F323" s="37">
        <v>5891</v>
      </c>
      <c r="G323" s="36">
        <v>5942</v>
      </c>
      <c r="H323" s="37">
        <v>8180</v>
      </c>
      <c r="I323" s="36">
        <v>9856</v>
      </c>
      <c r="J323" s="37">
        <v>11136</v>
      </c>
      <c r="K323" s="36">
        <v>7300</v>
      </c>
      <c r="L323" s="37">
        <v>7093</v>
      </c>
      <c r="M323" s="36">
        <v>5783</v>
      </c>
      <c r="N323" s="37">
        <v>6571</v>
      </c>
      <c r="O323" s="38">
        <f>SUM(C323:N323)</f>
        <v>84464</v>
      </c>
      <c r="Q323" s="33"/>
      <c r="R323" s="57"/>
      <c r="S323" s="57"/>
      <c r="T323" s="57"/>
      <c r="U323" s="57"/>
      <c r="V323" s="41"/>
      <c r="W323" s="8"/>
    </row>
    <row r="324" spans="1:23" ht="15.75">
      <c r="A324" s="42"/>
      <c r="B324" s="35" t="s">
        <v>58</v>
      </c>
      <c r="C324" s="43">
        <f>C325/C323</f>
        <v>0.32</v>
      </c>
      <c r="D324" s="44">
        <f t="shared" ref="D324:N324" si="178">D325/D323</f>
        <v>0.32</v>
      </c>
      <c r="E324" s="43">
        <f t="shared" si="178"/>
        <v>0.2957007396169164</v>
      </c>
      <c r="F324" s="44">
        <f t="shared" si="178"/>
        <v>0.29570022067560686</v>
      </c>
      <c r="G324" s="43">
        <f t="shared" si="178"/>
        <v>0.29570010097610233</v>
      </c>
      <c r="H324" s="44">
        <f t="shared" si="178"/>
        <v>0.29570048899755502</v>
      </c>
      <c r="I324" s="43">
        <f t="shared" si="178"/>
        <v>0.29570008116883117</v>
      </c>
      <c r="J324" s="44">
        <f t="shared" si="178"/>
        <v>0.29570043103448279</v>
      </c>
      <c r="K324" s="43">
        <f t="shared" si="178"/>
        <v>0.29100000000000004</v>
      </c>
      <c r="L324" s="44">
        <f t="shared" si="178"/>
        <v>0.29099957704779361</v>
      </c>
      <c r="M324" s="43">
        <f t="shared" si="178"/>
        <v>0.2909994812381117</v>
      </c>
      <c r="N324" s="44">
        <f t="shared" si="178"/>
        <v>0.29099984781616195</v>
      </c>
      <c r="O324" s="45">
        <f>IF(O323=0,0,+O325/O323)</f>
        <v>0.29750272305360864</v>
      </c>
      <c r="Q324" s="33"/>
      <c r="R324" s="46"/>
      <c r="S324" s="46"/>
      <c r="T324" s="47"/>
      <c r="U324" s="47"/>
      <c r="V324" s="41"/>
      <c r="W324" s="8"/>
    </row>
    <row r="325" spans="1:23">
      <c r="A325" s="42"/>
      <c r="B325" s="35" t="s">
        <v>15</v>
      </c>
      <c r="C325" s="48">
        <v>2022.72</v>
      </c>
      <c r="D325" s="49">
        <v>1637.76</v>
      </c>
      <c r="E325" s="48">
        <v>1559.23</v>
      </c>
      <c r="F325" s="49">
        <v>1741.97</v>
      </c>
      <c r="G325" s="48">
        <v>1757.05</v>
      </c>
      <c r="H325" s="49">
        <v>2418.83</v>
      </c>
      <c r="I325" s="48">
        <v>2914.42</v>
      </c>
      <c r="J325" s="49">
        <v>3292.92</v>
      </c>
      <c r="K325" s="48">
        <v>2124.3000000000002</v>
      </c>
      <c r="L325" s="49">
        <v>2064.06</v>
      </c>
      <c r="M325" s="48">
        <v>1682.85</v>
      </c>
      <c r="N325" s="49">
        <v>1912.16</v>
      </c>
      <c r="O325" s="50">
        <f>SUM(C325:N325)</f>
        <v>25128.27</v>
      </c>
      <c r="Q325" s="33"/>
      <c r="R325" s="40"/>
      <c r="S325" s="40"/>
      <c r="T325" s="40"/>
      <c r="U325" s="40"/>
      <c r="V325" s="41"/>
    </row>
    <row r="326" spans="1:23" ht="16.5" thickBot="1">
      <c r="A326" s="51"/>
      <c r="B326" s="52" t="s">
        <v>59</v>
      </c>
      <c r="C326" s="53">
        <f t="shared" ref="C326:N326" si="179">C325/C$291</f>
        <v>11.324912657887664</v>
      </c>
      <c r="D326" s="54">
        <f t="shared" si="179"/>
        <v>9.9635589353612168</v>
      </c>
      <c r="E326" s="53">
        <f t="shared" si="179"/>
        <v>8.7113661251033587</v>
      </c>
      <c r="F326" s="54">
        <f t="shared" si="179"/>
        <v>10.16176264700392</v>
      </c>
      <c r="G326" s="53">
        <f t="shared" si="179"/>
        <v>9.7488778290083289</v>
      </c>
      <c r="H326" s="54">
        <f t="shared" si="179"/>
        <v>10.289172001616436</v>
      </c>
      <c r="I326" s="53">
        <f t="shared" si="179"/>
        <v>9.8596371337422308</v>
      </c>
      <c r="J326" s="54">
        <f t="shared" si="179"/>
        <v>11.31132843495914</v>
      </c>
      <c r="K326" s="53">
        <f t="shared" si="179"/>
        <v>10.199838669406727</v>
      </c>
      <c r="L326" s="54">
        <f t="shared" si="179"/>
        <v>10.440258570980566</v>
      </c>
      <c r="M326" s="53">
        <f t="shared" si="179"/>
        <v>9.7809408674020943</v>
      </c>
      <c r="N326" s="54">
        <f t="shared" si="179"/>
        <v>10.838373246421993</v>
      </c>
      <c r="O326" s="55">
        <f>O325/O$7</f>
        <v>5.7832878402202077</v>
      </c>
      <c r="Q326" s="33"/>
      <c r="R326" s="46"/>
      <c r="S326" s="56"/>
      <c r="T326" s="57"/>
      <c r="U326" s="57"/>
      <c r="V326" s="41"/>
    </row>
    <row r="327" spans="1:23">
      <c r="A327" s="69" t="s">
        <v>67</v>
      </c>
      <c r="B327" s="29" t="s">
        <v>55</v>
      </c>
      <c r="C327" s="30">
        <f>C328/C$291</f>
        <v>235.25262026337006</v>
      </c>
      <c r="D327" s="31">
        <f t="shared" ref="D327:N327" si="180">D328/D$291</f>
        <v>228.98859315589354</v>
      </c>
      <c r="E327" s="30">
        <f t="shared" si="180"/>
        <v>513.89478624265314</v>
      </c>
      <c r="F327" s="31">
        <f t="shared" si="180"/>
        <v>490.19973865969757</v>
      </c>
      <c r="G327" s="30">
        <f t="shared" si="180"/>
        <v>465.76338143826536</v>
      </c>
      <c r="H327" s="31">
        <f t="shared" si="180"/>
        <v>324.45711125763023</v>
      </c>
      <c r="I327" s="30">
        <f t="shared" si="180"/>
        <v>523.33460761660535</v>
      </c>
      <c r="J327" s="31">
        <f t="shared" si="180"/>
        <v>533.34913454040816</v>
      </c>
      <c r="K327" s="30">
        <f t="shared" si="180"/>
        <v>706.3495112067144</v>
      </c>
      <c r="L327" s="31">
        <f t="shared" si="180"/>
        <v>347.38141242880698</v>
      </c>
      <c r="M327" s="30">
        <f t="shared" si="180"/>
        <v>441.4718634847199</v>
      </c>
      <c r="N327" s="31">
        <f t="shared" si="180"/>
        <v>398.25421567238203</v>
      </c>
      <c r="O327" s="32">
        <f>O328/O$7</f>
        <v>250.37123300912774</v>
      </c>
    </row>
    <row r="328" spans="1:23">
      <c r="A328" s="34" t="s">
        <v>64</v>
      </c>
      <c r="B328" s="35" t="s">
        <v>57</v>
      </c>
      <c r="C328" s="36">
        <v>42018</v>
      </c>
      <c r="D328" s="37">
        <v>37640</v>
      </c>
      <c r="E328" s="36">
        <v>91981</v>
      </c>
      <c r="F328" s="37">
        <v>84032</v>
      </c>
      <c r="G328" s="36">
        <v>83945</v>
      </c>
      <c r="H328" s="37">
        <v>76275</v>
      </c>
      <c r="I328" s="36">
        <v>154693</v>
      </c>
      <c r="J328" s="37">
        <v>155267</v>
      </c>
      <c r="K328" s="36">
        <v>147110</v>
      </c>
      <c r="L328" s="37">
        <v>68678</v>
      </c>
      <c r="M328" s="36">
        <v>75957</v>
      </c>
      <c r="N328" s="37">
        <v>70262</v>
      </c>
      <c r="O328" s="38">
        <f>SUM(C328:N328)</f>
        <v>1087858</v>
      </c>
    </row>
    <row r="329" spans="1:23">
      <c r="A329" s="42"/>
      <c r="B329" s="35" t="s">
        <v>58</v>
      </c>
      <c r="C329" s="43">
        <f>C330/C328</f>
        <v>0.14459993336189253</v>
      </c>
      <c r="D329" s="44">
        <f t="shared" ref="D329:N329" si="181">D330/D328</f>
        <v>0.1455998937300744</v>
      </c>
      <c r="E329" s="43">
        <f t="shared" si="181"/>
        <v>0.14629999673845684</v>
      </c>
      <c r="F329" s="44">
        <f t="shared" si="181"/>
        <v>0.14659998571972582</v>
      </c>
      <c r="G329" s="43">
        <f t="shared" si="181"/>
        <v>0.14669998213115731</v>
      </c>
      <c r="H329" s="44">
        <f t="shared" si="181"/>
        <v>0.14690003277613897</v>
      </c>
      <c r="I329" s="43">
        <f t="shared" si="181"/>
        <v>0.14699954102642007</v>
      </c>
      <c r="J329" s="44">
        <f t="shared" si="181"/>
        <v>0.14700000644051858</v>
      </c>
      <c r="K329" s="43">
        <f t="shared" si="181"/>
        <v>0.14699999999999999</v>
      </c>
      <c r="L329" s="44">
        <f t="shared" si="181"/>
        <v>0.14700005824281429</v>
      </c>
      <c r="M329" s="43">
        <f t="shared" si="181"/>
        <v>0.14700001316534356</v>
      </c>
      <c r="N329" s="44">
        <f t="shared" si="181"/>
        <v>0.14709999715351116</v>
      </c>
      <c r="O329" s="45">
        <f>IF(O328=0,0,+O330/O328)</f>
        <v>0.14674500716086109</v>
      </c>
    </row>
    <row r="330" spans="1:23">
      <c r="A330" s="42"/>
      <c r="B330" s="35" t="s">
        <v>15</v>
      </c>
      <c r="C330" s="48">
        <v>6075.8</v>
      </c>
      <c r="D330" s="49">
        <v>5480.38</v>
      </c>
      <c r="E330" s="48">
        <v>13456.82</v>
      </c>
      <c r="F330" s="49">
        <v>12319.09</v>
      </c>
      <c r="G330" s="48">
        <v>12314.73</v>
      </c>
      <c r="H330" s="49">
        <v>11204.8</v>
      </c>
      <c r="I330" s="48">
        <v>22739.8</v>
      </c>
      <c r="J330" s="49">
        <v>22824.25</v>
      </c>
      <c r="K330" s="48">
        <v>21625.17</v>
      </c>
      <c r="L330" s="49">
        <v>10095.67</v>
      </c>
      <c r="M330" s="48">
        <v>11165.68</v>
      </c>
      <c r="N330" s="49">
        <v>10335.540000000001</v>
      </c>
      <c r="O330" s="50">
        <f>SUM(C330:N330)</f>
        <v>159637.73000000001</v>
      </c>
    </row>
    <row r="331" spans="1:23" ht="13.5" thickBot="1">
      <c r="A331" s="51"/>
      <c r="B331" s="52" t="s">
        <v>59</v>
      </c>
      <c r="C331" s="53">
        <f t="shared" ref="C331:N331" si="182">C330/C$291</f>
        <v>34.017513213293917</v>
      </c>
      <c r="D331" s="54">
        <f t="shared" si="182"/>
        <v>33.34071482889734</v>
      </c>
      <c r="E331" s="53">
        <f t="shared" si="182"/>
        <v>75.182805551210137</v>
      </c>
      <c r="F331" s="54">
        <f t="shared" si="182"/>
        <v>71.863274687324989</v>
      </c>
      <c r="G331" s="53">
        <f t="shared" si="182"/>
        <v>68.327479734340926</v>
      </c>
      <c r="H331" s="54">
        <f t="shared" si="182"/>
        <v>47.66276027819724</v>
      </c>
      <c r="I331" s="53">
        <f t="shared" si="182"/>
        <v>76.929947122882623</v>
      </c>
      <c r="J331" s="54">
        <f t="shared" si="182"/>
        <v>78.402326212485008</v>
      </c>
      <c r="K331" s="53">
        <f t="shared" si="182"/>
        <v>103.83337814738701</v>
      </c>
      <c r="L331" s="54">
        <f t="shared" si="182"/>
        <v>51.065087859505724</v>
      </c>
      <c r="M331" s="53">
        <f t="shared" si="182"/>
        <v>64.896369744382582</v>
      </c>
      <c r="N331" s="54">
        <f t="shared" si="182"/>
        <v>58.583193991781208</v>
      </c>
      <c r="O331" s="55">
        <f>O330/O$7</f>
        <v>36.740728380798068</v>
      </c>
    </row>
    <row r="332" spans="1:23">
      <c r="A332" s="28" t="s">
        <v>68</v>
      </c>
      <c r="B332" s="29" t="s">
        <v>55</v>
      </c>
      <c r="C332" s="30">
        <f>C333/C$291</f>
        <v>0</v>
      </c>
      <c r="D332" s="31">
        <f t="shared" ref="D332:N332" si="183">D333/D$291</f>
        <v>0</v>
      </c>
      <c r="E332" s="30">
        <f t="shared" si="183"/>
        <v>0.15084810154870718</v>
      </c>
      <c r="F332" s="31">
        <f t="shared" si="183"/>
        <v>0</v>
      </c>
      <c r="G332" s="30">
        <f t="shared" si="183"/>
        <v>0</v>
      </c>
      <c r="H332" s="31">
        <f t="shared" si="183"/>
        <v>0.12335963587638513</v>
      </c>
      <c r="I332" s="30">
        <f t="shared" si="183"/>
        <v>0</v>
      </c>
      <c r="J332" s="31">
        <f t="shared" si="183"/>
        <v>0</v>
      </c>
      <c r="K332" s="30">
        <f t="shared" si="183"/>
        <v>0</v>
      </c>
      <c r="L332" s="31">
        <f t="shared" si="183"/>
        <v>0.11127859101071309</v>
      </c>
      <c r="M332" s="30">
        <f t="shared" si="183"/>
        <v>0</v>
      </c>
      <c r="N332" s="31">
        <f t="shared" si="183"/>
        <v>0.23806149922063199</v>
      </c>
      <c r="O332" s="32">
        <f>O333/O$7</f>
        <v>2.7618078794378796E-2</v>
      </c>
      <c r="Q332" s="33"/>
    </row>
    <row r="333" spans="1:23">
      <c r="A333" s="34" t="s">
        <v>64</v>
      </c>
      <c r="B333" s="35" t="s">
        <v>57</v>
      </c>
      <c r="C333" s="36">
        <v>0</v>
      </c>
      <c r="D333" s="37">
        <v>0</v>
      </c>
      <c r="E333" s="36">
        <v>27</v>
      </c>
      <c r="F333" s="37">
        <v>0</v>
      </c>
      <c r="G333" s="36">
        <v>0</v>
      </c>
      <c r="H333" s="37">
        <v>29</v>
      </c>
      <c r="I333" s="36">
        <v>0</v>
      </c>
      <c r="J333" s="37">
        <v>0</v>
      </c>
      <c r="K333" s="36">
        <v>0</v>
      </c>
      <c r="L333" s="37">
        <v>22</v>
      </c>
      <c r="M333" s="36">
        <v>0</v>
      </c>
      <c r="N333" s="37">
        <v>42</v>
      </c>
      <c r="O333" s="38">
        <f>SUM(C333:N333)</f>
        <v>120</v>
      </c>
      <c r="Q333" s="33"/>
      <c r="R333" s="57"/>
      <c r="S333" s="68"/>
      <c r="T333" s="68"/>
      <c r="U333" s="33"/>
      <c r="V333" s="41"/>
    </row>
    <row r="334" spans="1:23" ht="15.75">
      <c r="A334" s="42"/>
      <c r="B334" s="35" t="s">
        <v>58</v>
      </c>
      <c r="C334" s="43" t="e">
        <f>C335/C333</f>
        <v>#DIV/0!</v>
      </c>
      <c r="D334" s="44" t="e">
        <f t="shared" ref="D334:N334" si="184">D335/D333</f>
        <v>#DIV/0!</v>
      </c>
      <c r="E334" s="43">
        <f t="shared" si="184"/>
        <v>1.2085185185185185</v>
      </c>
      <c r="F334" s="44" t="e">
        <f t="shared" si="184"/>
        <v>#DIV/0!</v>
      </c>
      <c r="G334" s="43" t="e">
        <f t="shared" si="184"/>
        <v>#DIV/0!</v>
      </c>
      <c r="H334" s="44">
        <f t="shared" si="184"/>
        <v>1.2082758620689655</v>
      </c>
      <c r="I334" s="43" t="e">
        <f t="shared" si="184"/>
        <v>#DIV/0!</v>
      </c>
      <c r="J334" s="44" t="e">
        <f t="shared" si="184"/>
        <v>#DIV/0!</v>
      </c>
      <c r="K334" s="43" t="e">
        <f t="shared" si="184"/>
        <v>#DIV/0!</v>
      </c>
      <c r="L334" s="44">
        <f t="shared" si="184"/>
        <v>1.208181818181818</v>
      </c>
      <c r="M334" s="43" t="e">
        <f t="shared" si="184"/>
        <v>#DIV/0!</v>
      </c>
      <c r="N334" s="44">
        <f t="shared" si="184"/>
        <v>0.62547619047619052</v>
      </c>
      <c r="O334" s="45">
        <f>IF(O333=0,0,+O335/O333)</f>
        <v>1.0043333333333333</v>
      </c>
      <c r="Q334" s="33"/>
      <c r="R334" s="46"/>
      <c r="S334" s="80"/>
      <c r="T334" s="46"/>
      <c r="U334" s="47"/>
      <c r="V334" s="41"/>
    </row>
    <row r="335" spans="1:23">
      <c r="A335" s="42"/>
      <c r="B335" s="35" t="s">
        <v>15</v>
      </c>
      <c r="C335" s="48">
        <v>0</v>
      </c>
      <c r="D335" s="49">
        <v>0</v>
      </c>
      <c r="E335" s="48">
        <v>32.630000000000003</v>
      </c>
      <c r="F335" s="49">
        <v>0</v>
      </c>
      <c r="G335" s="48">
        <v>0</v>
      </c>
      <c r="H335" s="49">
        <v>35.04</v>
      </c>
      <c r="I335" s="48">
        <v>0</v>
      </c>
      <c r="J335" s="49">
        <v>0</v>
      </c>
      <c r="K335" s="48">
        <v>0</v>
      </c>
      <c r="L335" s="49">
        <v>26.58</v>
      </c>
      <c r="M335" s="48">
        <v>0</v>
      </c>
      <c r="N335" s="49">
        <v>26.27</v>
      </c>
      <c r="O335" s="50">
        <f>SUM(C335:N335)</f>
        <v>120.52</v>
      </c>
      <c r="Q335" s="33"/>
      <c r="R335" s="40"/>
      <c r="S335" s="40"/>
      <c r="T335" s="40"/>
      <c r="U335" s="40"/>
      <c r="V335" s="41"/>
    </row>
    <row r="336" spans="1:23" ht="16.5" thickBot="1">
      <c r="A336" s="51"/>
      <c r="B336" s="52" t="s">
        <v>59</v>
      </c>
      <c r="C336" s="53">
        <f t="shared" ref="C336:N336" si="185">C335/C$291</f>
        <v>0</v>
      </c>
      <c r="D336" s="54">
        <f t="shared" si="185"/>
        <v>0</v>
      </c>
      <c r="E336" s="53">
        <f t="shared" si="185"/>
        <v>0.18230272420497465</v>
      </c>
      <c r="F336" s="54">
        <f t="shared" si="185"/>
        <v>0</v>
      </c>
      <c r="G336" s="53">
        <f t="shared" si="185"/>
        <v>0</v>
      </c>
      <c r="H336" s="54">
        <f t="shared" si="185"/>
        <v>0.14905247038305294</v>
      </c>
      <c r="I336" s="53">
        <f t="shared" si="185"/>
        <v>0</v>
      </c>
      <c r="J336" s="54">
        <f t="shared" si="185"/>
        <v>0</v>
      </c>
      <c r="K336" s="53">
        <f t="shared" si="185"/>
        <v>0</v>
      </c>
      <c r="L336" s="54">
        <f t="shared" si="185"/>
        <v>0.13444477041203426</v>
      </c>
      <c r="M336" s="53">
        <f t="shared" si="185"/>
        <v>0</v>
      </c>
      <c r="N336" s="54">
        <f t="shared" si="185"/>
        <v>0.14890179963157149</v>
      </c>
      <c r="O336" s="55">
        <f>O335/O$7</f>
        <v>2.7737757135821106E-2</v>
      </c>
      <c r="Q336" s="33"/>
      <c r="R336" s="56"/>
      <c r="S336" s="80"/>
      <c r="T336" s="56"/>
      <c r="U336" s="57"/>
      <c r="V336" s="41"/>
    </row>
    <row r="337" spans="1:22">
      <c r="A337" s="28" t="s">
        <v>69</v>
      </c>
      <c r="B337" s="29" t="s">
        <v>55</v>
      </c>
      <c r="C337" s="30">
        <f>C338/C$291</f>
        <v>0</v>
      </c>
      <c r="D337" s="31">
        <v>0</v>
      </c>
      <c r="E337" s="30">
        <v>1.6439692825225538</v>
      </c>
      <c r="F337" s="31">
        <v>1.1976189007915901</v>
      </c>
      <c r="G337" s="30">
        <v>1.4304235489080366</v>
      </c>
      <c r="H337" s="31">
        <f>H338/H$291</f>
        <v>0</v>
      </c>
      <c r="I337" s="30">
        <v>1.0205645189805241</v>
      </c>
      <c r="J337" s="31">
        <v>0.77893141958235113</v>
      </c>
      <c r="K337" s="30">
        <v>1.1599781803100637</v>
      </c>
      <c r="L337" s="31">
        <v>0</v>
      </c>
      <c r="M337" s="30">
        <v>0</v>
      </c>
      <c r="N337" s="31">
        <f>N338/N$291</f>
        <v>0.16437579708091257</v>
      </c>
      <c r="O337" s="32">
        <f>O338/O$7</f>
        <v>5.82281161248153E-2</v>
      </c>
      <c r="Q337" s="33"/>
    </row>
    <row r="338" spans="1:22">
      <c r="A338" s="34" t="s">
        <v>56</v>
      </c>
      <c r="B338" s="35" t="s">
        <v>57</v>
      </c>
      <c r="C338" s="36">
        <v>0</v>
      </c>
      <c r="D338" s="37">
        <v>0</v>
      </c>
      <c r="E338" s="36">
        <v>0</v>
      </c>
      <c r="F338" s="37">
        <v>27</v>
      </c>
      <c r="G338" s="36">
        <v>56</v>
      </c>
      <c r="H338" s="37">
        <v>0</v>
      </c>
      <c r="I338" s="36">
        <v>45</v>
      </c>
      <c r="J338" s="37">
        <v>86</v>
      </c>
      <c r="K338" s="36">
        <v>10</v>
      </c>
      <c r="L338" s="37">
        <v>0</v>
      </c>
      <c r="M338" s="36">
        <v>0</v>
      </c>
      <c r="N338" s="37">
        <v>29</v>
      </c>
      <c r="O338" s="38">
        <f>SUM(C338:N338)</f>
        <v>253</v>
      </c>
      <c r="Q338" s="33"/>
      <c r="R338" s="39"/>
      <c r="S338" s="39"/>
      <c r="T338" s="39"/>
      <c r="U338" s="39"/>
      <c r="V338" s="41"/>
    </row>
    <row r="339" spans="1:22" ht="15.75">
      <c r="A339" s="42"/>
      <c r="B339" s="35" t="s">
        <v>58</v>
      </c>
      <c r="C339" s="43">
        <f>'[10]Price Changes'!$F$66</f>
        <v>0.81090000000000007</v>
      </c>
      <c r="D339" s="44">
        <f>'[10]Price Changes'!$F$66</f>
        <v>0.81090000000000007</v>
      </c>
      <c r="E339" s="43">
        <f>'[10]Price Changes'!$F$66</f>
        <v>0.81090000000000007</v>
      </c>
      <c r="F339" s="44">
        <f>F340/F338</f>
        <v>1.2085185185185185</v>
      </c>
      <c r="G339" s="43">
        <f>G340/G338</f>
        <v>1.2083928571428573</v>
      </c>
      <c r="H339" s="44">
        <f>'[10]Price Changes'!$F$66</f>
        <v>0.81090000000000007</v>
      </c>
      <c r="I339" s="43">
        <f>I340/I338</f>
        <v>1.2084444444444444</v>
      </c>
      <c r="J339" s="44">
        <f>J340/J338</f>
        <v>1.2083720930232558</v>
      </c>
      <c r="K339" s="43">
        <f>K340/K338</f>
        <v>1.208</v>
      </c>
      <c r="L339" s="44">
        <f>'[10]Price Changes'!$F$66</f>
        <v>0.81090000000000007</v>
      </c>
      <c r="M339" s="43">
        <f>'[10]Price Changes'!$F$66</f>
        <v>0.81090000000000007</v>
      </c>
      <c r="N339" s="44">
        <f>N340/N338</f>
        <v>1.2082758620689655</v>
      </c>
      <c r="O339" s="45">
        <f>IF(O338=0,0,+O340/O338)</f>
        <v>1.2083794466403164</v>
      </c>
      <c r="Q339" s="33"/>
      <c r="R339" s="46"/>
      <c r="S339" s="46"/>
      <c r="T339" s="47"/>
      <c r="U339" s="47"/>
      <c r="V339" s="41"/>
    </row>
    <row r="340" spans="1:22">
      <c r="A340" s="42"/>
      <c r="B340" s="35" t="s">
        <v>15</v>
      </c>
      <c r="C340" s="48">
        <f>C338*C339</f>
        <v>0</v>
      </c>
      <c r="D340" s="49">
        <f>D338*D339</f>
        <v>0</v>
      </c>
      <c r="E340" s="48">
        <f>E338*E339</f>
        <v>0</v>
      </c>
      <c r="F340" s="49">
        <v>32.630000000000003</v>
      </c>
      <c r="G340" s="48">
        <v>67.67</v>
      </c>
      <c r="H340" s="49">
        <f>H338*H339</f>
        <v>0</v>
      </c>
      <c r="I340" s="48">
        <v>54.38</v>
      </c>
      <c r="J340" s="49">
        <v>103.92</v>
      </c>
      <c r="K340" s="48">
        <v>12.08</v>
      </c>
      <c r="L340" s="49">
        <f>L338*L339</f>
        <v>0</v>
      </c>
      <c r="M340" s="48">
        <f>M338*M339</f>
        <v>0</v>
      </c>
      <c r="N340" s="49">
        <v>35.04</v>
      </c>
      <c r="O340" s="50">
        <f>SUM(C340:N340)</f>
        <v>305.72000000000003</v>
      </c>
      <c r="Q340" s="33"/>
      <c r="R340" s="40"/>
      <c r="S340" s="40"/>
      <c r="T340" s="40"/>
      <c r="U340" s="40"/>
      <c r="V340" s="41"/>
    </row>
    <row r="341" spans="1:22" ht="16.5" thickBot="1">
      <c r="A341" s="51"/>
      <c r="B341" s="52" t="s">
        <v>59</v>
      </c>
      <c r="C341" s="53">
        <f t="shared" ref="C341:N341" si="186">C340/C$291</f>
        <v>0</v>
      </c>
      <c r="D341" s="54">
        <f t="shared" si="186"/>
        <v>0</v>
      </c>
      <c r="E341" s="53">
        <f t="shared" si="186"/>
        <v>0</v>
      </c>
      <c r="F341" s="54">
        <f t="shared" si="186"/>
        <v>0.19034674257980214</v>
      </c>
      <c r="G341" s="53">
        <f t="shared" si="186"/>
        <v>0.37546260077345189</v>
      </c>
      <c r="H341" s="54">
        <f t="shared" si="186"/>
        <v>0</v>
      </c>
      <c r="I341" s="53">
        <f t="shared" si="186"/>
        <v>0.1839704185851396</v>
      </c>
      <c r="J341" s="54">
        <f t="shared" si="186"/>
        <v>0.35696987809025238</v>
      </c>
      <c r="K341" s="53">
        <f t="shared" si="186"/>
        <v>5.8002189486623008E-2</v>
      </c>
      <c r="L341" s="54">
        <f t="shared" si="186"/>
        <v>0</v>
      </c>
      <c r="M341" s="53">
        <f t="shared" si="186"/>
        <v>0</v>
      </c>
      <c r="N341" s="54">
        <f t="shared" si="186"/>
        <v>0.19861130792121295</v>
      </c>
      <c r="O341" s="55">
        <f>O340/O$7</f>
        <v>7.0361658741812383E-2</v>
      </c>
      <c r="Q341" s="33"/>
      <c r="R341" s="56"/>
      <c r="S341" s="56"/>
      <c r="T341" s="57"/>
      <c r="U341" s="57"/>
      <c r="V341" s="41"/>
    </row>
    <row r="342" spans="1:22">
      <c r="A342" s="28" t="s">
        <v>70</v>
      </c>
      <c r="B342" s="29" t="s">
        <v>55</v>
      </c>
      <c r="C342" s="30">
        <f>C343/C$291</f>
        <v>5.6492430350264264</v>
      </c>
      <c r="D342" s="31">
        <f t="shared" ref="D342:N342" si="187">D343/D$291</f>
        <v>3.8692015209125477</v>
      </c>
      <c r="E342" s="30">
        <f t="shared" si="187"/>
        <v>1.8492859856526696</v>
      </c>
      <c r="F342" s="31">
        <f t="shared" si="187"/>
        <v>5.7868209818928502</v>
      </c>
      <c r="G342" s="30">
        <f t="shared" si="187"/>
        <v>5.5040475833791085</v>
      </c>
      <c r="H342" s="31">
        <f t="shared" si="187"/>
        <v>6.3296254546227955</v>
      </c>
      <c r="I342" s="30">
        <f t="shared" si="187"/>
        <v>7.6490826851967748</v>
      </c>
      <c r="J342" s="31">
        <f t="shared" si="187"/>
        <v>12.115403772366436</v>
      </c>
      <c r="K342" s="30">
        <f t="shared" si="187"/>
        <v>6.3475906044135444</v>
      </c>
      <c r="L342" s="31">
        <f t="shared" si="187"/>
        <v>0.88517061031249056</v>
      </c>
      <c r="M342" s="30">
        <f t="shared" si="187"/>
        <v>8.5612656491566597</v>
      </c>
      <c r="N342" s="31">
        <f t="shared" si="187"/>
        <v>5.6227858863539746</v>
      </c>
      <c r="O342" s="32">
        <f>O343/O$7</f>
        <v>3.4978296793080745</v>
      </c>
      <c r="P342" s="9"/>
      <c r="Q342" s="9"/>
      <c r="R342" s="9"/>
      <c r="S342" s="9"/>
      <c r="T342" s="9"/>
      <c r="U342" s="9"/>
      <c r="V342" s="70"/>
    </row>
    <row r="343" spans="1:22">
      <c r="A343" s="34" t="s">
        <v>71</v>
      </c>
      <c r="B343" s="35" t="s">
        <v>57</v>
      </c>
      <c r="C343" s="65">
        <v>1009</v>
      </c>
      <c r="D343" s="66">
        <v>636</v>
      </c>
      <c r="E343" s="65">
        <v>331</v>
      </c>
      <c r="F343" s="66">
        <v>992</v>
      </c>
      <c r="G343" s="65">
        <v>992</v>
      </c>
      <c r="H343" s="66">
        <v>1488</v>
      </c>
      <c r="I343" s="65">
        <v>2261</v>
      </c>
      <c r="J343" s="66">
        <v>3527</v>
      </c>
      <c r="K343" s="65">
        <v>1322</v>
      </c>
      <c r="L343" s="66">
        <v>175</v>
      </c>
      <c r="M343" s="65">
        <v>1473</v>
      </c>
      <c r="N343" s="66">
        <v>992</v>
      </c>
      <c r="O343" s="67">
        <f>SUM(C343:N343)</f>
        <v>15198</v>
      </c>
      <c r="R343" s="15"/>
      <c r="S343" s="15"/>
      <c r="T343" s="15"/>
      <c r="U343" s="15"/>
      <c r="V343" s="71"/>
    </row>
    <row r="344" spans="1:22" ht="15.75">
      <c r="A344" s="34" t="s">
        <v>56</v>
      </c>
      <c r="B344" s="35" t="s">
        <v>58</v>
      </c>
      <c r="C344" s="43">
        <f>C345/C343</f>
        <v>2.5499008919722495</v>
      </c>
      <c r="D344" s="44">
        <f t="shared" ref="D344:N344" si="188">D345/D343</f>
        <v>2.5019025157232706</v>
      </c>
      <c r="E344" s="43">
        <f t="shared" si="188"/>
        <v>2.5052870090634443</v>
      </c>
      <c r="F344" s="44">
        <f t="shared" si="188"/>
        <v>2.5053024193548388</v>
      </c>
      <c r="G344" s="43">
        <f t="shared" si="188"/>
        <v>2.5053024193548388</v>
      </c>
      <c r="H344" s="44">
        <f t="shared" si="188"/>
        <v>2.5053024193548388</v>
      </c>
      <c r="I344" s="43">
        <f t="shared" si="188"/>
        <v>2.4855992923485184</v>
      </c>
      <c r="J344" s="44">
        <f t="shared" si="188"/>
        <v>2.4777998298837542</v>
      </c>
      <c r="K344" s="43">
        <f t="shared" si="188"/>
        <v>2.4777987897125566</v>
      </c>
      <c r="L344" s="44">
        <f t="shared" si="188"/>
        <v>2.4709142857142861</v>
      </c>
      <c r="M344" s="43">
        <f t="shared" si="188"/>
        <v>2.4757976917854716</v>
      </c>
      <c r="N344" s="44">
        <f t="shared" si="188"/>
        <v>2.4757963709677417</v>
      </c>
      <c r="O344" s="45">
        <f>IF(O343=0,0,+O345/O343)</f>
        <v>2.4912330569811818</v>
      </c>
      <c r="R344" s="72"/>
      <c r="S344" s="15"/>
      <c r="T344" s="72"/>
      <c r="U344" s="15"/>
      <c r="V344" s="15"/>
    </row>
    <row r="345" spans="1:22">
      <c r="A345" s="42"/>
      <c r="B345" s="35" t="s">
        <v>15</v>
      </c>
      <c r="C345" s="48">
        <v>2572.85</v>
      </c>
      <c r="D345" s="49">
        <v>1591.21</v>
      </c>
      <c r="E345" s="48">
        <v>829.25</v>
      </c>
      <c r="F345" s="49">
        <v>2485.2600000000002</v>
      </c>
      <c r="G345" s="48">
        <v>2485.2600000000002</v>
      </c>
      <c r="H345" s="49">
        <v>3727.89</v>
      </c>
      <c r="I345" s="48">
        <v>5619.94</v>
      </c>
      <c r="J345" s="49">
        <v>8739.2000000000007</v>
      </c>
      <c r="K345" s="48">
        <v>3275.65</v>
      </c>
      <c r="L345" s="49">
        <v>432.41</v>
      </c>
      <c r="M345" s="48">
        <v>3646.85</v>
      </c>
      <c r="N345" s="49">
        <v>2455.9899999999998</v>
      </c>
      <c r="O345" s="50">
        <f>SUM(C345:N345)</f>
        <v>37861.760000000002</v>
      </c>
      <c r="R345" s="15"/>
      <c r="S345" s="15"/>
      <c r="T345" s="15"/>
      <c r="U345" s="15"/>
      <c r="V345" s="15"/>
    </row>
    <row r="346" spans="1:22" ht="13.5" thickBot="1">
      <c r="A346" s="51"/>
      <c r="B346" s="52" t="s">
        <v>59</v>
      </c>
      <c r="C346" s="53">
        <f t="shared" ref="C346:N346" si="189">C345/C$291</f>
        <v>14.405009853981904</v>
      </c>
      <c r="D346" s="54">
        <f t="shared" si="189"/>
        <v>9.6803650190114077</v>
      </c>
      <c r="E346" s="53">
        <f t="shared" si="189"/>
        <v>4.6329921558987195</v>
      </c>
      <c r="F346" s="54">
        <f t="shared" si="189"/>
        <v>14.497736606309502</v>
      </c>
      <c r="G346" s="53">
        <f t="shared" si="189"/>
        <v>13.789303726883833</v>
      </c>
      <c r="H346" s="54">
        <f t="shared" si="189"/>
        <v>15.85762596507646</v>
      </c>
      <c r="I346" s="53">
        <f t="shared" si="189"/>
        <v>19.012554509440406</v>
      </c>
      <c r="J346" s="54">
        <f t="shared" si="189"/>
        <v>30.019545406142548</v>
      </c>
      <c r="K346" s="53">
        <f t="shared" si="189"/>
        <v>15.728052317206677</v>
      </c>
      <c r="L346" s="54">
        <f t="shared" si="189"/>
        <v>2.1871807063155662</v>
      </c>
      <c r="M346" s="53">
        <f t="shared" si="189"/>
        <v>21.195961732944308</v>
      </c>
      <c r="N346" s="54">
        <f t="shared" si="189"/>
        <v>13.920872892163807</v>
      </c>
      <c r="O346" s="55">
        <f>O345/O$7</f>
        <v>8.7139089247821619</v>
      </c>
      <c r="S346" s="8"/>
      <c r="V346" s="41"/>
    </row>
    <row r="347" spans="1:22">
      <c r="A347" s="28" t="s">
        <v>72</v>
      </c>
      <c r="B347" s="29" t="s">
        <v>55</v>
      </c>
      <c r="C347" s="30">
        <f>C348/C$291</f>
        <v>1.4221087521275642</v>
      </c>
      <c r="D347" s="31">
        <f t="shared" ref="D347:N347" si="190">D348/D$291</f>
        <v>2.7011406844106465</v>
      </c>
      <c r="E347" s="30">
        <f t="shared" si="190"/>
        <v>6.4250117326301206</v>
      </c>
      <c r="F347" s="31">
        <f t="shared" si="190"/>
        <v>2.333395557214859</v>
      </c>
      <c r="G347" s="30">
        <f t="shared" si="190"/>
        <v>4.7161698043066957</v>
      </c>
      <c r="H347" s="31">
        <f t="shared" si="190"/>
        <v>4.4664695748346341</v>
      </c>
      <c r="I347" s="30">
        <f t="shared" si="190"/>
        <v>2.5372897009719511</v>
      </c>
      <c r="J347" s="31">
        <f t="shared" si="190"/>
        <v>1.3740180065059753</v>
      </c>
      <c r="K347" s="30">
        <f t="shared" si="190"/>
        <v>3.841204601763113</v>
      </c>
      <c r="L347" s="31">
        <f t="shared" si="190"/>
        <v>2.7819647752678272</v>
      </c>
      <c r="M347" s="30">
        <f t="shared" si="190"/>
        <v>2.9060643751380382</v>
      </c>
      <c r="N347" s="31">
        <f t="shared" si="190"/>
        <v>0.28340654669122856</v>
      </c>
      <c r="O347" s="32">
        <f>O348/O$7</f>
        <v>1.6566244263494883</v>
      </c>
      <c r="Q347" s="33"/>
    </row>
    <row r="348" spans="1:22">
      <c r="A348" s="34" t="s">
        <v>56</v>
      </c>
      <c r="B348" s="35" t="s">
        <v>57</v>
      </c>
      <c r="C348" s="36">
        <v>254</v>
      </c>
      <c r="D348" s="37">
        <v>444</v>
      </c>
      <c r="E348" s="36">
        <v>1150</v>
      </c>
      <c r="F348" s="37">
        <v>400</v>
      </c>
      <c r="G348" s="36">
        <v>850</v>
      </c>
      <c r="H348" s="37">
        <v>1050</v>
      </c>
      <c r="I348" s="36">
        <v>750</v>
      </c>
      <c r="J348" s="37">
        <v>400</v>
      </c>
      <c r="K348" s="36">
        <v>800</v>
      </c>
      <c r="L348" s="37">
        <v>550</v>
      </c>
      <c r="M348" s="36">
        <v>500</v>
      </c>
      <c r="N348" s="37">
        <v>50</v>
      </c>
      <c r="O348" s="38">
        <f>SUM(C348:N348)</f>
        <v>7198</v>
      </c>
      <c r="Q348" s="33"/>
      <c r="R348" s="57"/>
      <c r="S348" s="57"/>
      <c r="T348" s="57"/>
      <c r="U348" s="60"/>
      <c r="V348" s="41"/>
    </row>
    <row r="349" spans="1:22" ht="15.75">
      <c r="A349" s="42"/>
      <c r="B349" s="35" t="s">
        <v>58</v>
      </c>
      <c r="C349" s="43">
        <f>C350/C348</f>
        <v>0.19078740157480314</v>
      </c>
      <c r="D349" s="44">
        <f t="shared" ref="D349:N349" si="191">D350/D348</f>
        <v>0.14860360360360361</v>
      </c>
      <c r="E349" s="43">
        <f t="shared" si="191"/>
        <v>0.14859999999999998</v>
      </c>
      <c r="F349" s="44">
        <f t="shared" si="191"/>
        <v>0.14859999999999998</v>
      </c>
      <c r="G349" s="43">
        <f t="shared" si="191"/>
        <v>0.14860000000000001</v>
      </c>
      <c r="H349" s="44">
        <f t="shared" si="191"/>
        <v>0.14860000000000001</v>
      </c>
      <c r="I349" s="43">
        <f t="shared" si="191"/>
        <v>0.14290666666666668</v>
      </c>
      <c r="J349" s="44">
        <f t="shared" si="191"/>
        <v>0.1429</v>
      </c>
      <c r="K349" s="43">
        <f t="shared" si="191"/>
        <v>0.1429</v>
      </c>
      <c r="L349" s="44">
        <f t="shared" si="191"/>
        <v>0.1429090909090909</v>
      </c>
      <c r="M349" s="43">
        <f t="shared" si="191"/>
        <v>0.1429</v>
      </c>
      <c r="N349" s="44">
        <f t="shared" si="191"/>
        <v>0.14300000000000002</v>
      </c>
      <c r="O349" s="45">
        <f>IF(O348=0,0,+O350/O348)</f>
        <v>0.14767574326201724</v>
      </c>
      <c r="Q349" s="33"/>
      <c r="R349" s="46"/>
      <c r="S349" s="46"/>
      <c r="T349" s="47"/>
      <c r="U349" s="47"/>
      <c r="V349" s="41"/>
    </row>
    <row r="350" spans="1:22">
      <c r="A350" s="42"/>
      <c r="B350" s="35" t="s">
        <v>15</v>
      </c>
      <c r="C350" s="48">
        <v>48.46</v>
      </c>
      <c r="D350" s="49">
        <v>65.98</v>
      </c>
      <c r="E350" s="48">
        <v>170.89</v>
      </c>
      <c r="F350" s="49">
        <v>59.44</v>
      </c>
      <c r="G350" s="48">
        <v>126.31</v>
      </c>
      <c r="H350" s="49">
        <v>156.03</v>
      </c>
      <c r="I350" s="48">
        <v>107.18</v>
      </c>
      <c r="J350" s="49">
        <v>57.16</v>
      </c>
      <c r="K350" s="48">
        <v>114.32</v>
      </c>
      <c r="L350" s="49">
        <v>78.599999999999994</v>
      </c>
      <c r="M350" s="48">
        <v>71.45</v>
      </c>
      <c r="N350" s="49">
        <v>7.15</v>
      </c>
      <c r="O350" s="50">
        <f>SUM(C350:N350)</f>
        <v>1062.97</v>
      </c>
      <c r="Q350" s="33"/>
      <c r="R350" s="40"/>
      <c r="S350" s="40"/>
      <c r="T350" s="40"/>
      <c r="U350" s="40"/>
      <c r="V350" s="41"/>
    </row>
    <row r="351" spans="1:22" ht="16.5" thickBot="1">
      <c r="A351" s="51"/>
      <c r="B351" s="52" t="s">
        <v>59</v>
      </c>
      <c r="C351" s="53">
        <f t="shared" ref="C351:N351" si="192">C350/C$291</f>
        <v>0.2713204335752038</v>
      </c>
      <c r="D351" s="54">
        <f t="shared" si="192"/>
        <v>0.40139923954372625</v>
      </c>
      <c r="E351" s="53">
        <f t="shared" si="192"/>
        <v>0.95475674346883588</v>
      </c>
      <c r="F351" s="54">
        <f t="shared" si="192"/>
        <v>0.34674257980212803</v>
      </c>
      <c r="G351" s="53">
        <f t="shared" si="192"/>
        <v>0.70082283291997494</v>
      </c>
      <c r="H351" s="54">
        <f t="shared" si="192"/>
        <v>0.66371737882042658</v>
      </c>
      <c r="I351" s="53">
        <f t="shared" si="192"/>
        <v>0.36259561353356495</v>
      </c>
      <c r="J351" s="54">
        <f t="shared" si="192"/>
        <v>0.19634717312970384</v>
      </c>
      <c r="K351" s="53">
        <f t="shared" si="192"/>
        <v>0.54890813759194879</v>
      </c>
      <c r="L351" s="54">
        <f t="shared" si="192"/>
        <v>0.3975680569746386</v>
      </c>
      <c r="M351" s="53">
        <f t="shared" si="192"/>
        <v>0.41527659920722565</v>
      </c>
      <c r="N351" s="54">
        <f t="shared" si="192"/>
        <v>4.0527136176845682E-2</v>
      </c>
      <c r="O351" s="55">
        <f>O350/O$7</f>
        <v>0.24464324346717359</v>
      </c>
      <c r="Q351" s="33"/>
      <c r="R351" s="56"/>
      <c r="S351" s="56"/>
      <c r="T351" s="57"/>
      <c r="U351" s="57"/>
      <c r="V351" s="41"/>
    </row>
    <row r="352" spans="1:22">
      <c r="A352" s="181" t="s">
        <v>113</v>
      </c>
      <c r="B352" s="29" t="s">
        <v>55</v>
      </c>
      <c r="C352" s="30">
        <f>C353/C$291</f>
        <v>0</v>
      </c>
      <c r="D352" s="31">
        <f t="shared" ref="D352:N352" si="193">D353/D$291</f>
        <v>0</v>
      </c>
      <c r="E352" s="30">
        <f t="shared" si="193"/>
        <v>43.237535477238694</v>
      </c>
      <c r="F352" s="31">
        <f t="shared" si="193"/>
        <v>114.82639537054321</v>
      </c>
      <c r="G352" s="30">
        <f t="shared" si="193"/>
        <v>55.317897586985595</v>
      </c>
      <c r="H352" s="31">
        <f t="shared" si="193"/>
        <v>10.158027947338196</v>
      </c>
      <c r="I352" s="30">
        <f t="shared" si="193"/>
        <v>103.62967749356373</v>
      </c>
      <c r="J352" s="31">
        <f t="shared" si="193"/>
        <v>59.570550672066553</v>
      </c>
      <c r="K352" s="30">
        <f t="shared" si="193"/>
        <v>2.0598459676954692</v>
      </c>
      <c r="L352" s="31">
        <f t="shared" si="193"/>
        <v>0.10116235546428463</v>
      </c>
      <c r="M352" s="30">
        <f t="shared" si="193"/>
        <v>0</v>
      </c>
      <c r="N352" s="31">
        <f t="shared" si="193"/>
        <v>17.083746634547257</v>
      </c>
      <c r="O352" s="32">
        <f>O353/O$7</f>
        <v>20.993882595547042</v>
      </c>
      <c r="Q352" s="33"/>
    </row>
    <row r="353" spans="1:23">
      <c r="A353" s="103" t="s">
        <v>64</v>
      </c>
      <c r="B353" s="35" t="s">
        <v>57</v>
      </c>
      <c r="C353" s="65">
        <v>0</v>
      </c>
      <c r="D353" s="66">
        <v>0</v>
      </c>
      <c r="E353" s="65">
        <v>7739</v>
      </c>
      <c r="F353" s="66">
        <v>19684</v>
      </c>
      <c r="G353" s="65">
        <v>9970</v>
      </c>
      <c r="H353" s="66">
        <v>2388</v>
      </c>
      <c r="I353" s="65">
        <v>30632</v>
      </c>
      <c r="J353" s="66">
        <v>17342</v>
      </c>
      <c r="K353" s="65">
        <v>429</v>
      </c>
      <c r="L353" s="66">
        <v>20</v>
      </c>
      <c r="M353" s="65">
        <v>0</v>
      </c>
      <c r="N353" s="66">
        <v>3014</v>
      </c>
      <c r="O353" s="67">
        <f>SUM(C353:N353)</f>
        <v>91218</v>
      </c>
      <c r="Q353" s="33"/>
      <c r="R353" s="57"/>
      <c r="S353" s="57"/>
      <c r="T353" s="57"/>
      <c r="U353" s="60"/>
      <c r="V353" s="41"/>
      <c r="W353" s="8"/>
    </row>
    <row r="354" spans="1:23" ht="15.75">
      <c r="A354" s="42"/>
      <c r="B354" s="35" t="s">
        <v>58</v>
      </c>
      <c r="C354" s="43" t="e">
        <f>C355/C353</f>
        <v>#DIV/0!</v>
      </c>
      <c r="D354" s="44" t="e">
        <f t="shared" ref="D354:N354" si="194">D355/D353</f>
        <v>#DIV/0!</v>
      </c>
      <c r="E354" s="43">
        <f t="shared" si="194"/>
        <v>8.2800103372528744E-2</v>
      </c>
      <c r="F354" s="44">
        <f t="shared" si="194"/>
        <v>8.2800243852875433E-2</v>
      </c>
      <c r="G354" s="43">
        <f t="shared" si="194"/>
        <v>8.2800401203610832E-2</v>
      </c>
      <c r="H354" s="44">
        <f t="shared" si="194"/>
        <v>8.2801507537688432E-2</v>
      </c>
      <c r="I354" s="43">
        <f t="shared" si="194"/>
        <v>8.93999738835205E-2</v>
      </c>
      <c r="J354" s="44">
        <f t="shared" si="194"/>
        <v>8.9399723215315419E-2</v>
      </c>
      <c r="K354" s="43">
        <f t="shared" si="194"/>
        <v>8.9393939393939401E-2</v>
      </c>
      <c r="L354" s="44">
        <f t="shared" si="194"/>
        <v>8.9499999999999996E-2</v>
      </c>
      <c r="M354" s="43" t="e">
        <f t="shared" si="194"/>
        <v>#DIV/0!</v>
      </c>
      <c r="N354" s="44">
        <f t="shared" si="194"/>
        <v>8.9399469143994686E-2</v>
      </c>
      <c r="O354" s="45">
        <f>IF(O353=0,0,+O355/O353)</f>
        <v>8.6521739130434788E-2</v>
      </c>
      <c r="Q354" s="33"/>
      <c r="R354" s="46"/>
      <c r="S354" s="46"/>
      <c r="T354" s="46"/>
      <c r="U354" s="47"/>
      <c r="V354" s="41"/>
      <c r="W354" s="8"/>
    </row>
    <row r="355" spans="1:23">
      <c r="A355" s="42"/>
      <c r="B355" s="35" t="s">
        <v>15</v>
      </c>
      <c r="C355" s="48">
        <v>0</v>
      </c>
      <c r="D355" s="49">
        <v>0</v>
      </c>
      <c r="E355" s="48">
        <v>640.79</v>
      </c>
      <c r="F355" s="49">
        <v>1629.84</v>
      </c>
      <c r="G355" s="48">
        <v>825.52</v>
      </c>
      <c r="H355" s="49">
        <v>197.73</v>
      </c>
      <c r="I355" s="48">
        <v>2738.5</v>
      </c>
      <c r="J355" s="49">
        <v>1550.37</v>
      </c>
      <c r="K355" s="48">
        <v>38.35</v>
      </c>
      <c r="L355" s="49">
        <v>1.79</v>
      </c>
      <c r="M355" s="48">
        <v>0</v>
      </c>
      <c r="N355" s="49">
        <v>269.45</v>
      </c>
      <c r="O355" s="50">
        <f>SUM(C355:N355)</f>
        <v>7892.34</v>
      </c>
      <c r="Q355" s="33"/>
      <c r="R355" s="40"/>
      <c r="S355" s="40"/>
      <c r="T355" s="40"/>
      <c r="U355" s="40"/>
      <c r="V355" s="41"/>
      <c r="W355" s="8"/>
    </row>
    <row r="356" spans="1:23" ht="16.5" thickBot="1">
      <c r="A356" s="51"/>
      <c r="B356" s="52" t="s">
        <v>59</v>
      </c>
      <c r="C356" s="53">
        <f t="shared" ref="C356:N356" si="195">C355/C$291</f>
        <v>0</v>
      </c>
      <c r="D356" s="54">
        <f t="shared" si="195"/>
        <v>0</v>
      </c>
      <c r="E356" s="53">
        <f t="shared" si="195"/>
        <v>3.5800724070887431</v>
      </c>
      <c r="F356" s="54">
        <f t="shared" si="195"/>
        <v>9.5076535374276645</v>
      </c>
      <c r="G356" s="53">
        <f t="shared" si="195"/>
        <v>4.5803441139426626</v>
      </c>
      <c r="H356" s="54">
        <f t="shared" si="195"/>
        <v>0.84110002764957348</v>
      </c>
      <c r="I356" s="53">
        <f t="shared" si="195"/>
        <v>9.2644904614822501</v>
      </c>
      <c r="J356" s="54">
        <f t="shared" si="195"/>
        <v>5.3255907418666713</v>
      </c>
      <c r="K356" s="53">
        <f t="shared" si="195"/>
        <v>0.18413774559701923</v>
      </c>
      <c r="L356" s="54">
        <f t="shared" si="195"/>
        <v>9.054030814053475E-3</v>
      </c>
      <c r="M356" s="53">
        <f t="shared" si="195"/>
        <v>0</v>
      </c>
      <c r="N356" s="54">
        <f t="shared" si="195"/>
        <v>1.5272778801190305</v>
      </c>
      <c r="O356" s="55">
        <f>O355/O$7</f>
        <v>1.8164272332668963</v>
      </c>
      <c r="Q356" s="33"/>
      <c r="R356" s="56"/>
      <c r="S356" s="56"/>
      <c r="T356" s="56"/>
      <c r="U356" s="57"/>
      <c r="V356" s="41"/>
      <c r="W356" s="8"/>
    </row>
    <row r="357" spans="1:23">
      <c r="A357" s="28" t="s">
        <v>74</v>
      </c>
      <c r="B357" s="29" t="s">
        <v>55</v>
      </c>
      <c r="C357" s="30">
        <v>0</v>
      </c>
      <c r="D357" s="31">
        <v>0</v>
      </c>
      <c r="E357" s="30">
        <v>0</v>
      </c>
      <c r="F357" s="31">
        <v>0</v>
      </c>
      <c r="G357" s="30">
        <v>0</v>
      </c>
      <c r="H357" s="31">
        <v>0</v>
      </c>
      <c r="I357" s="30">
        <v>0</v>
      </c>
      <c r="J357" s="31">
        <v>0</v>
      </c>
      <c r="K357" s="30">
        <v>0</v>
      </c>
      <c r="L357" s="31">
        <v>0</v>
      </c>
      <c r="M357" s="30">
        <v>0</v>
      </c>
      <c r="N357" s="31">
        <v>0</v>
      </c>
      <c r="O357" s="32">
        <f>O358/O$7</f>
        <v>0</v>
      </c>
      <c r="Q357" s="33"/>
    </row>
    <row r="358" spans="1:23">
      <c r="A358" s="103" t="s">
        <v>64</v>
      </c>
      <c r="B358" s="35" t="s">
        <v>57</v>
      </c>
      <c r="C358" s="36">
        <f t="shared" ref="C358:N358" si="196">C$291*C357</f>
        <v>0</v>
      </c>
      <c r="D358" s="37">
        <f t="shared" si="196"/>
        <v>0</v>
      </c>
      <c r="E358" s="36">
        <f t="shared" si="196"/>
        <v>0</v>
      </c>
      <c r="F358" s="37">
        <f t="shared" si="196"/>
        <v>0</v>
      </c>
      <c r="G358" s="36">
        <f t="shared" si="196"/>
        <v>0</v>
      </c>
      <c r="H358" s="37">
        <f t="shared" si="196"/>
        <v>0</v>
      </c>
      <c r="I358" s="36">
        <f t="shared" si="196"/>
        <v>0</v>
      </c>
      <c r="J358" s="37">
        <f t="shared" si="196"/>
        <v>0</v>
      </c>
      <c r="K358" s="36">
        <f t="shared" si="196"/>
        <v>0</v>
      </c>
      <c r="L358" s="37">
        <f t="shared" si="196"/>
        <v>0</v>
      </c>
      <c r="M358" s="36">
        <f t="shared" si="196"/>
        <v>0</v>
      </c>
      <c r="N358" s="37">
        <f t="shared" si="196"/>
        <v>0</v>
      </c>
      <c r="O358" s="38">
        <f>SUM(C358:N358)</f>
        <v>0</v>
      </c>
      <c r="Q358" s="33"/>
      <c r="R358" s="57"/>
      <c r="S358" s="57"/>
      <c r="T358" s="57"/>
      <c r="U358" s="60"/>
      <c r="V358" s="41"/>
      <c r="W358" s="8"/>
    </row>
    <row r="359" spans="1:23" ht="15.75">
      <c r="A359" s="42"/>
      <c r="B359" s="35" t="s">
        <v>58</v>
      </c>
      <c r="C359" s="43">
        <f>'[10]Price Changes'!$F$70</f>
        <v>8.0799999999999997E-2</v>
      </c>
      <c r="D359" s="44">
        <f>'[10]Price Changes'!$F$70</f>
        <v>8.0799999999999997E-2</v>
      </c>
      <c r="E359" s="43">
        <f>'[10]Price Changes'!$F$70</f>
        <v>8.0799999999999997E-2</v>
      </c>
      <c r="F359" s="44">
        <f>'[10]Price Changes'!$F$70</f>
        <v>8.0799999999999997E-2</v>
      </c>
      <c r="G359" s="43">
        <f>'[10]Price Changes'!$F$70</f>
        <v>8.0799999999999997E-2</v>
      </c>
      <c r="H359" s="44">
        <f>'[10]Price Changes'!$F$70</f>
        <v>8.0799999999999997E-2</v>
      </c>
      <c r="I359" s="43">
        <f>'[10]Price Changes'!$F$70</f>
        <v>8.0799999999999997E-2</v>
      </c>
      <c r="J359" s="44">
        <f>'[10]Price Changes'!$F$70</f>
        <v>8.0799999999999997E-2</v>
      </c>
      <c r="K359" s="43">
        <f>'[10]Price Changes'!$F$70</f>
        <v>8.0799999999999997E-2</v>
      </c>
      <c r="L359" s="44">
        <f>'[10]Price Changes'!$F$70</f>
        <v>8.0799999999999997E-2</v>
      </c>
      <c r="M359" s="43">
        <f>'[10]Price Changes'!$F$70</f>
        <v>8.0799999999999997E-2</v>
      </c>
      <c r="N359" s="44">
        <f>'[10]Price Changes'!$F$70</f>
        <v>8.0799999999999997E-2</v>
      </c>
      <c r="O359" s="45">
        <f>IF(O358=0,0,+O360/O358)</f>
        <v>0</v>
      </c>
      <c r="Q359" s="33"/>
      <c r="R359" s="46"/>
      <c r="S359" s="46"/>
      <c r="T359" s="46"/>
      <c r="U359" s="47"/>
      <c r="V359" s="41"/>
      <c r="W359" s="8"/>
    </row>
    <row r="360" spans="1:23">
      <c r="A360" s="42"/>
      <c r="B360" s="35" t="s">
        <v>15</v>
      </c>
      <c r="C360" s="48">
        <f t="shared" ref="C360:N360" si="197">C358*C359</f>
        <v>0</v>
      </c>
      <c r="D360" s="49">
        <f t="shared" si="197"/>
        <v>0</v>
      </c>
      <c r="E360" s="48">
        <f t="shared" si="197"/>
        <v>0</v>
      </c>
      <c r="F360" s="49">
        <f t="shared" si="197"/>
        <v>0</v>
      </c>
      <c r="G360" s="48">
        <f t="shared" si="197"/>
        <v>0</v>
      </c>
      <c r="H360" s="49">
        <f t="shared" si="197"/>
        <v>0</v>
      </c>
      <c r="I360" s="48">
        <f t="shared" si="197"/>
        <v>0</v>
      </c>
      <c r="J360" s="49">
        <f t="shared" si="197"/>
        <v>0</v>
      </c>
      <c r="K360" s="48">
        <f t="shared" si="197"/>
        <v>0</v>
      </c>
      <c r="L360" s="49">
        <f t="shared" si="197"/>
        <v>0</v>
      </c>
      <c r="M360" s="48">
        <f t="shared" si="197"/>
        <v>0</v>
      </c>
      <c r="N360" s="49">
        <f t="shared" si="197"/>
        <v>0</v>
      </c>
      <c r="O360" s="50">
        <f>SUM(C360:N360)</f>
        <v>0</v>
      </c>
      <c r="Q360" s="33"/>
      <c r="R360" s="40"/>
      <c r="S360" s="40"/>
      <c r="T360" s="40"/>
      <c r="U360" s="40"/>
      <c r="V360" s="41"/>
      <c r="W360" s="8"/>
    </row>
    <row r="361" spans="1:23" ht="16.5" thickBot="1">
      <c r="A361" s="51"/>
      <c r="B361" s="52" t="s">
        <v>59</v>
      </c>
      <c r="C361" s="53">
        <f t="shared" ref="C361:N361" si="198">C360/C$291</f>
        <v>0</v>
      </c>
      <c r="D361" s="54">
        <f t="shared" si="198"/>
        <v>0</v>
      </c>
      <c r="E361" s="53">
        <f t="shared" si="198"/>
        <v>0</v>
      </c>
      <c r="F361" s="54">
        <f t="shared" si="198"/>
        <v>0</v>
      </c>
      <c r="G361" s="53">
        <f t="shared" si="198"/>
        <v>0</v>
      </c>
      <c r="H361" s="54">
        <f t="shared" si="198"/>
        <v>0</v>
      </c>
      <c r="I361" s="53">
        <f t="shared" si="198"/>
        <v>0</v>
      </c>
      <c r="J361" s="54">
        <f t="shared" si="198"/>
        <v>0</v>
      </c>
      <c r="K361" s="53">
        <f t="shared" si="198"/>
        <v>0</v>
      </c>
      <c r="L361" s="54">
        <f t="shared" si="198"/>
        <v>0</v>
      </c>
      <c r="M361" s="53">
        <f t="shared" si="198"/>
        <v>0</v>
      </c>
      <c r="N361" s="54">
        <f t="shared" si="198"/>
        <v>0</v>
      </c>
      <c r="O361" s="55">
        <f>O360/O$7</f>
        <v>0</v>
      </c>
      <c r="Q361" s="33"/>
      <c r="R361" s="56"/>
      <c r="S361" s="56"/>
      <c r="T361" s="56"/>
      <c r="U361" s="57"/>
      <c r="V361" s="41"/>
      <c r="W361" s="8"/>
    </row>
    <row r="362" spans="1:23">
      <c r="A362" s="181" t="s">
        <v>75</v>
      </c>
      <c r="B362" s="29" t="s">
        <v>55</v>
      </c>
      <c r="C362" s="30">
        <v>0</v>
      </c>
      <c r="D362" s="31">
        <v>0</v>
      </c>
      <c r="E362" s="30">
        <v>0</v>
      </c>
      <c r="F362" s="31">
        <v>0</v>
      </c>
      <c r="G362" s="30">
        <v>0</v>
      </c>
      <c r="H362" s="31">
        <v>0</v>
      </c>
      <c r="I362" s="30">
        <v>0</v>
      </c>
      <c r="J362" s="31">
        <v>0</v>
      </c>
      <c r="K362" s="30">
        <v>0</v>
      </c>
      <c r="L362" s="31">
        <v>0</v>
      </c>
      <c r="M362" s="30">
        <v>0</v>
      </c>
      <c r="N362" s="31">
        <v>0</v>
      </c>
      <c r="O362" s="32">
        <f>O363/O$7</f>
        <v>0</v>
      </c>
      <c r="P362" s="9"/>
      <c r="Q362" s="9"/>
      <c r="R362" s="9"/>
      <c r="S362" s="9"/>
      <c r="T362" s="9"/>
      <c r="U362" s="9"/>
      <c r="V362" s="70"/>
    </row>
    <row r="363" spans="1:23">
      <c r="A363" s="34" t="s">
        <v>71</v>
      </c>
      <c r="B363" s="35" t="s">
        <v>57</v>
      </c>
      <c r="C363" s="65">
        <f t="shared" ref="C363:N363" si="199">C$291*C362</f>
        <v>0</v>
      </c>
      <c r="D363" s="66">
        <f t="shared" si="199"/>
        <v>0</v>
      </c>
      <c r="E363" s="65">
        <f t="shared" si="199"/>
        <v>0</v>
      </c>
      <c r="F363" s="66">
        <f t="shared" si="199"/>
        <v>0</v>
      </c>
      <c r="G363" s="65">
        <f t="shared" si="199"/>
        <v>0</v>
      </c>
      <c r="H363" s="66">
        <f t="shared" si="199"/>
        <v>0</v>
      </c>
      <c r="I363" s="65">
        <f t="shared" si="199"/>
        <v>0</v>
      </c>
      <c r="J363" s="66">
        <f t="shared" si="199"/>
        <v>0</v>
      </c>
      <c r="K363" s="65">
        <f t="shared" si="199"/>
        <v>0</v>
      </c>
      <c r="L363" s="66">
        <f t="shared" si="199"/>
        <v>0</v>
      </c>
      <c r="M363" s="65">
        <f t="shared" si="199"/>
        <v>0</v>
      </c>
      <c r="N363" s="66">
        <f t="shared" si="199"/>
        <v>0</v>
      </c>
      <c r="O363" s="67">
        <f>SUM(C363:N363)</f>
        <v>0</v>
      </c>
      <c r="R363" s="15"/>
      <c r="S363" s="15"/>
      <c r="T363" s="15"/>
      <c r="U363" s="15"/>
      <c r="V363" s="71"/>
    </row>
    <row r="364" spans="1:23" ht="15.75">
      <c r="A364" s="182" t="s">
        <v>64</v>
      </c>
      <c r="B364" s="35" t="s">
        <v>58</v>
      </c>
      <c r="C364" s="43">
        <f>'[10]Price Changes'!F71</f>
        <v>0</v>
      </c>
      <c r="D364" s="44">
        <f t="shared" ref="D364:N364" si="200">C364</f>
        <v>0</v>
      </c>
      <c r="E364" s="43">
        <f t="shared" si="200"/>
        <v>0</v>
      </c>
      <c r="F364" s="44">
        <f t="shared" si="200"/>
        <v>0</v>
      </c>
      <c r="G364" s="43">
        <f t="shared" si="200"/>
        <v>0</v>
      </c>
      <c r="H364" s="44">
        <f t="shared" si="200"/>
        <v>0</v>
      </c>
      <c r="I364" s="43">
        <f t="shared" si="200"/>
        <v>0</v>
      </c>
      <c r="J364" s="44">
        <f t="shared" si="200"/>
        <v>0</v>
      </c>
      <c r="K364" s="43">
        <f t="shared" si="200"/>
        <v>0</v>
      </c>
      <c r="L364" s="44">
        <f t="shared" si="200"/>
        <v>0</v>
      </c>
      <c r="M364" s="43">
        <f t="shared" si="200"/>
        <v>0</v>
      </c>
      <c r="N364" s="44">
        <f t="shared" si="200"/>
        <v>0</v>
      </c>
      <c r="O364" s="45">
        <f>IF(O363=0,0,+O365/O363)</f>
        <v>0</v>
      </c>
      <c r="R364" s="72"/>
      <c r="S364" s="15"/>
      <c r="T364" s="72"/>
      <c r="U364" s="15"/>
      <c r="V364" s="15"/>
    </row>
    <row r="365" spans="1:23">
      <c r="A365" s="42"/>
      <c r="B365" s="35" t="s">
        <v>15</v>
      </c>
      <c r="C365" s="48">
        <f t="shared" ref="C365:N365" si="201">C363*C364</f>
        <v>0</v>
      </c>
      <c r="D365" s="49">
        <f t="shared" si="201"/>
        <v>0</v>
      </c>
      <c r="E365" s="48">
        <f t="shared" si="201"/>
        <v>0</v>
      </c>
      <c r="F365" s="49">
        <f t="shared" si="201"/>
        <v>0</v>
      </c>
      <c r="G365" s="48">
        <f t="shared" si="201"/>
        <v>0</v>
      </c>
      <c r="H365" s="49">
        <f t="shared" si="201"/>
        <v>0</v>
      </c>
      <c r="I365" s="48">
        <f t="shared" si="201"/>
        <v>0</v>
      </c>
      <c r="J365" s="49">
        <f t="shared" si="201"/>
        <v>0</v>
      </c>
      <c r="K365" s="48">
        <f t="shared" si="201"/>
        <v>0</v>
      </c>
      <c r="L365" s="49">
        <f t="shared" si="201"/>
        <v>0</v>
      </c>
      <c r="M365" s="48">
        <f t="shared" si="201"/>
        <v>0</v>
      </c>
      <c r="N365" s="49">
        <f t="shared" si="201"/>
        <v>0</v>
      </c>
      <c r="O365" s="50">
        <f>SUM(C365:N365)</f>
        <v>0</v>
      </c>
      <c r="R365" s="15"/>
      <c r="S365" s="15"/>
      <c r="T365" s="15"/>
      <c r="U365" s="15"/>
      <c r="V365" s="15"/>
    </row>
    <row r="366" spans="1:23" ht="13.5" thickBot="1">
      <c r="A366" s="51"/>
      <c r="B366" s="52" t="s">
        <v>59</v>
      </c>
      <c r="C366" s="53">
        <f t="shared" ref="C366:N366" si="202">C365/C$291</f>
        <v>0</v>
      </c>
      <c r="D366" s="54">
        <f t="shared" si="202"/>
        <v>0</v>
      </c>
      <c r="E366" s="53">
        <f t="shared" si="202"/>
        <v>0</v>
      </c>
      <c r="F366" s="54">
        <f t="shared" si="202"/>
        <v>0</v>
      </c>
      <c r="G366" s="53">
        <f t="shared" si="202"/>
        <v>0</v>
      </c>
      <c r="H366" s="54">
        <f t="shared" si="202"/>
        <v>0</v>
      </c>
      <c r="I366" s="53">
        <f t="shared" si="202"/>
        <v>0</v>
      </c>
      <c r="J366" s="54">
        <f t="shared" si="202"/>
        <v>0</v>
      </c>
      <c r="K366" s="53">
        <f t="shared" si="202"/>
        <v>0</v>
      </c>
      <c r="L366" s="54">
        <f t="shared" si="202"/>
        <v>0</v>
      </c>
      <c r="M366" s="53">
        <f t="shared" si="202"/>
        <v>0</v>
      </c>
      <c r="N366" s="54">
        <f t="shared" si="202"/>
        <v>0</v>
      </c>
      <c r="O366" s="55">
        <f>O365/O$7</f>
        <v>0</v>
      </c>
      <c r="S366" s="8"/>
      <c r="V366" s="41"/>
    </row>
    <row r="367" spans="1:23">
      <c r="A367" s="181" t="s">
        <v>76</v>
      </c>
      <c r="B367" s="29" t="s">
        <v>55</v>
      </c>
      <c r="C367" s="30">
        <v>0</v>
      </c>
      <c r="D367" s="31">
        <v>0</v>
      </c>
      <c r="E367" s="30">
        <v>0</v>
      </c>
      <c r="F367" s="31">
        <v>0</v>
      </c>
      <c r="G367" s="30">
        <v>0</v>
      </c>
      <c r="H367" s="31">
        <v>0</v>
      </c>
      <c r="I367" s="30">
        <v>0</v>
      </c>
      <c r="J367" s="31">
        <v>0</v>
      </c>
      <c r="K367" s="30">
        <v>0</v>
      </c>
      <c r="L367" s="31">
        <v>0</v>
      </c>
      <c r="M367" s="30">
        <v>0</v>
      </c>
      <c r="N367" s="31">
        <v>0</v>
      </c>
      <c r="O367" s="32">
        <f>O368/O$7</f>
        <v>0</v>
      </c>
    </row>
    <row r="368" spans="1:23">
      <c r="A368" s="34" t="s">
        <v>64</v>
      </c>
      <c r="B368" s="35" t="s">
        <v>57</v>
      </c>
      <c r="C368" s="65">
        <f t="shared" ref="C368:N368" si="203">C$291*C367</f>
        <v>0</v>
      </c>
      <c r="D368" s="66">
        <f t="shared" si="203"/>
        <v>0</v>
      </c>
      <c r="E368" s="65">
        <f t="shared" si="203"/>
        <v>0</v>
      </c>
      <c r="F368" s="66">
        <f t="shared" si="203"/>
        <v>0</v>
      </c>
      <c r="G368" s="65">
        <f t="shared" si="203"/>
        <v>0</v>
      </c>
      <c r="H368" s="66">
        <f t="shared" si="203"/>
        <v>0</v>
      </c>
      <c r="I368" s="65">
        <f t="shared" si="203"/>
        <v>0</v>
      </c>
      <c r="J368" s="66">
        <f t="shared" si="203"/>
        <v>0</v>
      </c>
      <c r="K368" s="65">
        <f t="shared" si="203"/>
        <v>0</v>
      </c>
      <c r="L368" s="66">
        <f t="shared" si="203"/>
        <v>0</v>
      </c>
      <c r="M368" s="65">
        <f t="shared" si="203"/>
        <v>0</v>
      </c>
      <c r="N368" s="66">
        <f t="shared" si="203"/>
        <v>0</v>
      </c>
      <c r="O368" s="67">
        <f>SUM(C368:N368)</f>
        <v>0</v>
      </c>
    </row>
    <row r="369" spans="1:35">
      <c r="A369" s="34"/>
      <c r="B369" s="35" t="s">
        <v>58</v>
      </c>
      <c r="C369" s="43">
        <f>'[10]Price Changes'!F72</f>
        <v>0</v>
      </c>
      <c r="D369" s="44">
        <f t="shared" ref="D369:N369" si="204">C369</f>
        <v>0</v>
      </c>
      <c r="E369" s="43">
        <f t="shared" si="204"/>
        <v>0</v>
      </c>
      <c r="F369" s="44">
        <f t="shared" si="204"/>
        <v>0</v>
      </c>
      <c r="G369" s="43">
        <f t="shared" si="204"/>
        <v>0</v>
      </c>
      <c r="H369" s="44">
        <f t="shared" si="204"/>
        <v>0</v>
      </c>
      <c r="I369" s="43">
        <f t="shared" si="204"/>
        <v>0</v>
      </c>
      <c r="J369" s="44">
        <f t="shared" si="204"/>
        <v>0</v>
      </c>
      <c r="K369" s="43">
        <f t="shared" si="204"/>
        <v>0</v>
      </c>
      <c r="L369" s="44">
        <f t="shared" si="204"/>
        <v>0</v>
      </c>
      <c r="M369" s="43">
        <f t="shared" si="204"/>
        <v>0</v>
      </c>
      <c r="N369" s="44">
        <f t="shared" si="204"/>
        <v>0</v>
      </c>
      <c r="O369" s="45">
        <f>IF(O368=0,0,+O370/O368)</f>
        <v>0</v>
      </c>
    </row>
    <row r="370" spans="1:35">
      <c r="A370" s="42"/>
      <c r="B370" s="35" t="s">
        <v>15</v>
      </c>
      <c r="C370" s="48">
        <f t="shared" ref="C370:N370" si="205">C368*C369</f>
        <v>0</v>
      </c>
      <c r="D370" s="49">
        <f t="shared" si="205"/>
        <v>0</v>
      </c>
      <c r="E370" s="48">
        <f t="shared" si="205"/>
        <v>0</v>
      </c>
      <c r="F370" s="49">
        <f t="shared" si="205"/>
        <v>0</v>
      </c>
      <c r="G370" s="48">
        <f t="shared" si="205"/>
        <v>0</v>
      </c>
      <c r="H370" s="49">
        <f t="shared" si="205"/>
        <v>0</v>
      </c>
      <c r="I370" s="48">
        <f t="shared" si="205"/>
        <v>0</v>
      </c>
      <c r="J370" s="49">
        <f t="shared" si="205"/>
        <v>0</v>
      </c>
      <c r="K370" s="48">
        <f t="shared" si="205"/>
        <v>0</v>
      </c>
      <c r="L370" s="49">
        <f t="shared" si="205"/>
        <v>0</v>
      </c>
      <c r="M370" s="48">
        <f t="shared" si="205"/>
        <v>0</v>
      </c>
      <c r="N370" s="49">
        <f t="shared" si="205"/>
        <v>0</v>
      </c>
      <c r="O370" s="50">
        <f>SUM(C370:N370)</f>
        <v>0</v>
      </c>
    </row>
    <row r="371" spans="1:35" ht="13.5" thickBot="1">
      <c r="A371" s="51"/>
      <c r="B371" s="52" t="s">
        <v>59</v>
      </c>
      <c r="C371" s="53">
        <f t="shared" ref="C371:N371" si="206">C370/C$291</f>
        <v>0</v>
      </c>
      <c r="D371" s="54">
        <f t="shared" si="206"/>
        <v>0</v>
      </c>
      <c r="E371" s="53">
        <f t="shared" si="206"/>
        <v>0</v>
      </c>
      <c r="F371" s="54">
        <f t="shared" si="206"/>
        <v>0</v>
      </c>
      <c r="G371" s="53">
        <f t="shared" si="206"/>
        <v>0</v>
      </c>
      <c r="H371" s="54">
        <f t="shared" si="206"/>
        <v>0</v>
      </c>
      <c r="I371" s="53">
        <f t="shared" si="206"/>
        <v>0</v>
      </c>
      <c r="J371" s="54">
        <f t="shared" si="206"/>
        <v>0</v>
      </c>
      <c r="K371" s="53">
        <f t="shared" si="206"/>
        <v>0</v>
      </c>
      <c r="L371" s="54">
        <f t="shared" si="206"/>
        <v>0</v>
      </c>
      <c r="M371" s="53">
        <f t="shared" si="206"/>
        <v>0</v>
      </c>
      <c r="N371" s="54">
        <f t="shared" si="206"/>
        <v>0</v>
      </c>
      <c r="O371" s="55">
        <f>O370/O$7</f>
        <v>0</v>
      </c>
    </row>
    <row r="372" spans="1:35" ht="13.5" thickBot="1">
      <c r="A372" s="10" t="s">
        <v>1</v>
      </c>
      <c r="B372" s="73" t="s">
        <v>1</v>
      </c>
      <c r="C372" s="74" t="s">
        <v>1</v>
      </c>
      <c r="D372" s="75" t="s">
        <v>1</v>
      </c>
      <c r="E372" s="74" t="s">
        <v>1</v>
      </c>
      <c r="F372" s="75" t="s">
        <v>1</v>
      </c>
      <c r="G372" s="74" t="s">
        <v>1</v>
      </c>
      <c r="H372" s="75" t="s">
        <v>1</v>
      </c>
      <c r="I372" s="74" t="s">
        <v>1</v>
      </c>
      <c r="J372" s="75" t="s">
        <v>1</v>
      </c>
      <c r="K372" s="74" t="s">
        <v>1</v>
      </c>
      <c r="L372" s="75" t="s">
        <v>1</v>
      </c>
      <c r="M372" s="74" t="s">
        <v>1</v>
      </c>
      <c r="N372" s="75" t="s">
        <v>1</v>
      </c>
      <c r="O372" s="6" t="s">
        <v>1</v>
      </c>
      <c r="P372" s="9"/>
      <c r="Q372" s="9"/>
      <c r="R372" s="76"/>
      <c r="S372" s="9"/>
      <c r="T372" s="9"/>
      <c r="U372" s="9"/>
      <c r="V372" s="70"/>
    </row>
    <row r="373" spans="1:35" ht="16.5" thickBot="1">
      <c r="A373" s="104" t="s">
        <v>81</v>
      </c>
      <c r="B373" s="105"/>
      <c r="C373" s="106">
        <v>23.677419354838708</v>
      </c>
      <c r="D373" s="107">
        <v>53.521428571428565</v>
      </c>
      <c r="E373" s="106">
        <v>97.3074193548387</v>
      </c>
      <c r="F373" s="107">
        <v>127.16666666666667</v>
      </c>
      <c r="G373" s="106">
        <v>70.225806451612897</v>
      </c>
      <c r="H373" s="107">
        <v>35.9</v>
      </c>
      <c r="I373" s="106">
        <v>20.35483870967742</v>
      </c>
      <c r="J373" s="107">
        <v>9.7741935483870961</v>
      </c>
      <c r="K373" s="106">
        <v>10.8</v>
      </c>
      <c r="L373" s="107">
        <v>6.258064516129032</v>
      </c>
      <c r="M373" s="106">
        <v>52.7</v>
      </c>
      <c r="N373" s="107">
        <v>54.258064516129032</v>
      </c>
      <c r="O373" s="108">
        <f>SUM(C373:N373)</f>
        <v>561.94390168970813</v>
      </c>
      <c r="P373" s="9"/>
      <c r="Q373" s="9"/>
      <c r="R373" s="76"/>
      <c r="S373" s="9"/>
      <c r="T373" s="9"/>
      <c r="U373" s="9"/>
      <c r="V373" s="70"/>
    </row>
    <row r="374" spans="1:35">
      <c r="A374" s="77" t="s">
        <v>82</v>
      </c>
      <c r="B374" s="29" t="s">
        <v>55</v>
      </c>
      <c r="C374" s="78">
        <f t="shared" ref="C374:N374" si="207">C375/C291</f>
        <v>396.04608976081698</v>
      </c>
      <c r="D374" s="79">
        <f t="shared" si="207"/>
        <v>382.83802281368821</v>
      </c>
      <c r="E374" s="78">
        <f t="shared" si="207"/>
        <v>712.55056204885238</v>
      </c>
      <c r="F374" s="79">
        <f t="shared" si="207"/>
        <v>721.69591189098378</v>
      </c>
      <c r="G374" s="78">
        <f t="shared" si="207"/>
        <v>670.51728060100652</v>
      </c>
      <c r="H374" s="79">
        <f t="shared" si="207"/>
        <v>511.64047046812851</v>
      </c>
      <c r="I374" s="78">
        <f t="shared" si="207"/>
        <v>792.54442794266402</v>
      </c>
      <c r="J374" s="79">
        <f t="shared" si="207"/>
        <v>790.39011806249721</v>
      </c>
      <c r="K374" s="78">
        <f t="shared" si="207"/>
        <v>902.40939558645596</v>
      </c>
      <c r="L374" s="79">
        <f t="shared" si="207"/>
        <v>526.0290740609604</v>
      </c>
      <c r="M374" s="78">
        <f t="shared" si="207"/>
        <v>611.20927150778243</v>
      </c>
      <c r="N374" s="79">
        <f t="shared" si="207"/>
        <v>595.13674365877853</v>
      </c>
      <c r="O374" s="32">
        <f>O375/O$7</f>
        <v>366.51722217363482</v>
      </c>
      <c r="Q374" s="33"/>
      <c r="R374" s="57"/>
      <c r="S374" s="57"/>
      <c r="T374" s="57"/>
      <c r="U374" s="57"/>
      <c r="V374" s="41"/>
    </row>
    <row r="375" spans="1:35" ht="15.75">
      <c r="A375" s="34"/>
      <c r="B375" s="35" t="s">
        <v>57</v>
      </c>
      <c r="C375" s="36">
        <f t="shared" ref="C375:N375" si="208">C293+C298+C303+C318+C323+C328+C333+C338+C343+C348+C358+C368+C353+C313+C308+C363</f>
        <v>70737</v>
      </c>
      <c r="D375" s="37">
        <f t="shared" si="208"/>
        <v>62929</v>
      </c>
      <c r="E375" s="36">
        <f t="shared" si="208"/>
        <v>127538</v>
      </c>
      <c r="F375" s="37">
        <f t="shared" si="208"/>
        <v>123716</v>
      </c>
      <c r="G375" s="36">
        <f t="shared" si="208"/>
        <v>120848</v>
      </c>
      <c r="H375" s="37">
        <f t="shared" si="208"/>
        <v>120279</v>
      </c>
      <c r="I375" s="36">
        <f t="shared" si="208"/>
        <v>234269</v>
      </c>
      <c r="J375" s="37">
        <f t="shared" si="208"/>
        <v>230096</v>
      </c>
      <c r="K375" s="36">
        <f t="shared" si="208"/>
        <v>187943</v>
      </c>
      <c r="L375" s="37">
        <f t="shared" si="208"/>
        <v>103997</v>
      </c>
      <c r="M375" s="36">
        <f t="shared" si="208"/>
        <v>105161</v>
      </c>
      <c r="N375" s="37">
        <f t="shared" si="208"/>
        <v>104997</v>
      </c>
      <c r="O375" s="38">
        <f>SUM(C375:N375)</f>
        <v>1592510</v>
      </c>
      <c r="Q375" s="33"/>
      <c r="R375" s="46"/>
      <c r="S375" s="56"/>
      <c r="T375" s="47"/>
      <c r="U375" s="47"/>
      <c r="V375" s="41"/>
    </row>
    <row r="376" spans="1:35">
      <c r="A376" s="42"/>
      <c r="B376" s="35" t="s">
        <v>58</v>
      </c>
      <c r="C376" s="81">
        <f t="shared" ref="C376:N376" si="209">C377/C375</f>
        <v>0.21981721022944145</v>
      </c>
      <c r="D376" s="82">
        <f t="shared" si="209"/>
        <v>0.20926631600692844</v>
      </c>
      <c r="E376" s="81">
        <f t="shared" si="209"/>
        <v>0.1675354796217598</v>
      </c>
      <c r="F376" s="82">
        <f t="shared" si="209"/>
        <v>0.1748098063306282</v>
      </c>
      <c r="G376" s="81">
        <f t="shared" si="209"/>
        <v>0.18214989077187871</v>
      </c>
      <c r="H376" s="82">
        <f t="shared" si="209"/>
        <v>0.20353760839381771</v>
      </c>
      <c r="I376" s="81">
        <f t="shared" si="209"/>
        <v>0.17891547750662698</v>
      </c>
      <c r="J376" s="82">
        <f t="shared" si="209"/>
        <v>0.19826828801891386</v>
      </c>
      <c r="K376" s="81">
        <f t="shared" si="209"/>
        <v>0.1907031387175899</v>
      </c>
      <c r="L376" s="82">
        <f t="shared" si="209"/>
        <v>0.17867611565718244</v>
      </c>
      <c r="M376" s="81">
        <f t="shared" si="209"/>
        <v>0.2030149960536701</v>
      </c>
      <c r="N376" s="82">
        <f t="shared" si="209"/>
        <v>0.19303618198615202</v>
      </c>
      <c r="O376" s="45">
        <f>IF(O375=0,0,+O377/O375)</f>
        <v>0.18950051177072672</v>
      </c>
      <c r="Q376" s="33"/>
      <c r="R376" s="40"/>
      <c r="S376" s="40"/>
      <c r="T376" s="40"/>
      <c r="U376" s="40"/>
      <c r="V376" s="41"/>
    </row>
    <row r="377" spans="1:35" ht="15.75">
      <c r="A377" s="83" t="s">
        <v>89</v>
      </c>
      <c r="B377" s="35" t="s">
        <v>15</v>
      </c>
      <c r="C377" s="48">
        <f t="shared" ref="C377:N377" si="210">C295+C300+C310+C305+C320+C325+C330+C335+C340+C345+C350+C360+C370+C355+C315+C365</f>
        <v>15549.21</v>
      </c>
      <c r="D377" s="49">
        <f t="shared" si="210"/>
        <v>13168.92</v>
      </c>
      <c r="E377" s="48">
        <f t="shared" si="210"/>
        <v>21367.14</v>
      </c>
      <c r="F377" s="49">
        <f t="shared" si="210"/>
        <v>21626.77</v>
      </c>
      <c r="G377" s="48">
        <f t="shared" si="210"/>
        <v>22012.449999999997</v>
      </c>
      <c r="H377" s="49">
        <f t="shared" si="210"/>
        <v>24481.3</v>
      </c>
      <c r="I377" s="48">
        <f t="shared" si="210"/>
        <v>41914.35</v>
      </c>
      <c r="J377" s="49">
        <f t="shared" si="210"/>
        <v>45620.740000000005</v>
      </c>
      <c r="K377" s="48">
        <f t="shared" si="210"/>
        <v>35841.32</v>
      </c>
      <c r="L377" s="49">
        <f t="shared" si="210"/>
        <v>18581.780000000002</v>
      </c>
      <c r="M377" s="48">
        <f t="shared" si="210"/>
        <v>21349.260000000002</v>
      </c>
      <c r="N377" s="49">
        <f t="shared" si="210"/>
        <v>20268.220000000005</v>
      </c>
      <c r="O377" s="50">
        <f>SUM(C377:N377)</f>
        <v>301781.46000000002</v>
      </c>
      <c r="Q377" s="33"/>
      <c r="R377" s="56"/>
      <c r="S377" s="80"/>
      <c r="T377" s="57"/>
      <c r="U377" s="57"/>
      <c r="V377" s="41"/>
    </row>
    <row r="378" spans="1:35" ht="13.5" thickBot="1">
      <c r="A378" s="51"/>
      <c r="B378" s="52" t="s">
        <v>59</v>
      </c>
      <c r="C378" s="53">
        <f t="shared" ref="C378:N378" si="211">C377/C291</f>
        <v>87.057746573501746</v>
      </c>
      <c r="D378" s="54">
        <f t="shared" si="211"/>
        <v>80.115102661596964</v>
      </c>
      <c r="E378" s="53">
        <f t="shared" si="211"/>
        <v>119.377500167609</v>
      </c>
      <c r="F378" s="54">
        <f t="shared" si="211"/>
        <v>126.159522587269</v>
      </c>
      <c r="G378" s="53">
        <f t="shared" si="211"/>
        <v>122.13464942213048</v>
      </c>
      <c r="H378" s="54">
        <f t="shared" si="211"/>
        <v>104.13807771657059</v>
      </c>
      <c r="I378" s="53">
        <f t="shared" si="211"/>
        <v>141.79846477057825</v>
      </c>
      <c r="J378" s="54">
        <f t="shared" si="211"/>
        <v>156.70929557531852</v>
      </c>
      <c r="K378" s="53">
        <f t="shared" si="211"/>
        <v>172.09230414658037</v>
      </c>
      <c r="L378" s="54">
        <f t="shared" si="211"/>
        <v>93.98883167595676</v>
      </c>
      <c r="M378" s="53">
        <f t="shared" si="211"/>
        <v>124.08464784311903</v>
      </c>
      <c r="N378" s="54">
        <f t="shared" si="211"/>
        <v>114.88292475556187</v>
      </c>
      <c r="O378" s="55">
        <f>O377/O$291</f>
        <v>123.18274290696478</v>
      </c>
      <c r="P378" s="109"/>
      <c r="Q378" s="9"/>
      <c r="R378" s="76"/>
      <c r="S378" s="9"/>
      <c r="T378" s="9"/>
      <c r="U378" s="9"/>
      <c r="V378" s="70"/>
    </row>
    <row r="379" spans="1:35" ht="13.5" thickBot="1">
      <c r="A379" s="10" t="s">
        <v>1</v>
      </c>
      <c r="B379" s="73" t="s">
        <v>1</v>
      </c>
      <c r="C379" s="74" t="s">
        <v>1</v>
      </c>
      <c r="D379" s="75" t="s">
        <v>1</v>
      </c>
      <c r="E379" s="74" t="s">
        <v>1</v>
      </c>
      <c r="F379" s="75" t="s">
        <v>1</v>
      </c>
      <c r="G379" s="74" t="s">
        <v>1</v>
      </c>
      <c r="H379" s="75" t="s">
        <v>1</v>
      </c>
      <c r="I379" s="74" t="s">
        <v>1</v>
      </c>
      <c r="J379" s="75" t="s">
        <v>1</v>
      </c>
      <c r="K379" s="74" t="s">
        <v>1</v>
      </c>
      <c r="L379" s="75" t="s">
        <v>1</v>
      </c>
      <c r="M379" s="74" t="s">
        <v>1</v>
      </c>
      <c r="N379" s="75" t="s">
        <v>1</v>
      </c>
      <c r="O379" s="6" t="s">
        <v>1</v>
      </c>
      <c r="Q379" s="33"/>
      <c r="R379" s="57"/>
      <c r="S379" s="39"/>
      <c r="T379" s="39"/>
      <c r="U379" s="39"/>
      <c r="V379" s="41"/>
    </row>
    <row r="380" spans="1:35" ht="54.75" customHeight="1" thickBot="1">
      <c r="A380" s="580" t="s">
        <v>90</v>
      </c>
      <c r="B380" s="581"/>
      <c r="C380" s="581"/>
      <c r="D380" s="581"/>
      <c r="E380" s="581"/>
      <c r="F380" s="581"/>
      <c r="G380" s="581"/>
      <c r="H380" s="581"/>
      <c r="I380" s="581"/>
      <c r="J380" s="581"/>
      <c r="K380" s="581"/>
      <c r="L380" s="581"/>
      <c r="M380" s="581"/>
      <c r="N380" s="581"/>
      <c r="O380" s="582"/>
    </row>
    <row r="381" spans="1:35">
      <c r="A381" s="10" t="s">
        <v>1</v>
      </c>
      <c r="B381" s="3"/>
      <c r="C381" s="96"/>
      <c r="D381" s="410">
        <f>D377+450.77+290.15</f>
        <v>13909.84</v>
      </c>
      <c r="E381" s="381">
        <f>E377+251.22+1490.63+293.93</f>
        <v>23402.920000000002</v>
      </c>
      <c r="F381" s="410">
        <f>F377+3517.08+318.41</f>
        <v>25462.26</v>
      </c>
      <c r="G381" s="381">
        <f>G377+1507.32+235.61</f>
        <v>23755.379999999997</v>
      </c>
      <c r="H381" s="410">
        <f>H377+1507.32+185.82</f>
        <v>26174.44</v>
      </c>
      <c r="I381" s="381">
        <f>I377+118.95+4521.96</f>
        <v>46555.259999999995</v>
      </c>
      <c r="J381" s="382">
        <f>J377+2260.98+142.28</f>
        <v>48024.000000000007</v>
      </c>
      <c r="K381" s="383">
        <f>K377+1507.32+189.27</f>
        <v>37537.909999999996</v>
      </c>
      <c r="L381" s="382">
        <f>L377+184.02+3014.64</f>
        <v>21780.440000000002</v>
      </c>
      <c r="M381" s="383">
        <f>M377+126.35+1507.32</f>
        <v>22982.93</v>
      </c>
      <c r="N381" s="382">
        <f>N377+1507.32+122.57</f>
        <v>21898.110000000004</v>
      </c>
      <c r="O381" s="2"/>
    </row>
    <row r="382" spans="1:35">
      <c r="A382" s="99" t="str">
        <f>A4</f>
        <v>2011 BUDGET</v>
      </c>
      <c r="B382" s="3"/>
      <c r="O382" s="2"/>
      <c r="V382" s="8"/>
    </row>
    <row r="383" spans="1:35">
      <c r="A383" s="99" t="str">
        <f>A5</f>
        <v>Bid Dollars</v>
      </c>
      <c r="B383" s="3"/>
      <c r="O383" s="2"/>
      <c r="P383" s="9"/>
      <c r="Q383" s="9"/>
      <c r="R383" s="9"/>
      <c r="S383" s="9"/>
      <c r="T383" s="9"/>
      <c r="U383" s="9"/>
      <c r="V383" s="9"/>
      <c r="AB383" s="9"/>
      <c r="AC383" s="9"/>
      <c r="AD383" s="9"/>
      <c r="AE383" s="9"/>
      <c r="AF383" s="9"/>
      <c r="AG383" s="9"/>
      <c r="AH383" s="9"/>
      <c r="AI383" s="9"/>
    </row>
    <row r="384" spans="1:35">
      <c r="A384" s="4"/>
      <c r="B384" s="3"/>
      <c r="C384" s="22" t="str">
        <f t="shared" ref="C384:N384" si="212">C6</f>
        <v>JAN</v>
      </c>
      <c r="D384" s="23" t="str">
        <f t="shared" si="212"/>
        <v>FEB</v>
      </c>
      <c r="E384" s="22" t="str">
        <f t="shared" si="212"/>
        <v>MAR</v>
      </c>
      <c r="F384" s="23" t="str">
        <f t="shared" si="212"/>
        <v>APR</v>
      </c>
      <c r="G384" s="22" t="str">
        <f t="shared" si="212"/>
        <v>MAY</v>
      </c>
      <c r="H384" s="23" t="str">
        <f t="shared" si="212"/>
        <v>JUNE</v>
      </c>
      <c r="I384" s="22" t="str">
        <f t="shared" si="212"/>
        <v>JULY</v>
      </c>
      <c r="J384" s="23" t="str">
        <f t="shared" si="212"/>
        <v>AUG</v>
      </c>
      <c r="K384" s="22" t="str">
        <f t="shared" si="212"/>
        <v>SEPT</v>
      </c>
      <c r="L384" s="23" t="str">
        <f t="shared" si="212"/>
        <v>OCT</v>
      </c>
      <c r="M384" s="22" t="str">
        <f t="shared" si="212"/>
        <v>NOV</v>
      </c>
      <c r="N384" s="23" t="str">
        <f t="shared" si="212"/>
        <v>DEC</v>
      </c>
      <c r="O384" s="116" t="s">
        <v>13</v>
      </c>
      <c r="R384" s="15"/>
      <c r="S384" s="15"/>
      <c r="T384" s="15"/>
      <c r="U384" s="15"/>
      <c r="V384" s="15"/>
      <c r="AF384" s="15"/>
      <c r="AG384" s="15"/>
      <c r="AH384" s="15"/>
      <c r="AI384" s="15"/>
    </row>
    <row r="385" spans="1:35" ht="16.5" thickBot="1">
      <c r="A385" s="19" t="s">
        <v>53</v>
      </c>
      <c r="B385" s="3"/>
      <c r="C385" s="117">
        <f t="shared" ref="C385:N385" si="213">C7+C103+C197+C291</f>
        <v>1146.614</v>
      </c>
      <c r="D385" s="118">
        <f t="shared" si="213"/>
        <v>1010.919</v>
      </c>
      <c r="E385" s="117">
        <f t="shared" si="213"/>
        <v>1086.5049999999999</v>
      </c>
      <c r="F385" s="118">
        <f t="shared" si="213"/>
        <v>1067.3500000000001</v>
      </c>
      <c r="G385" s="117">
        <f t="shared" si="213"/>
        <v>1182.788</v>
      </c>
      <c r="H385" s="118">
        <f t="shared" si="213"/>
        <v>1401.5620000000001</v>
      </c>
      <c r="I385" s="117">
        <f t="shared" si="213"/>
        <v>1447.5039999999999</v>
      </c>
      <c r="J385" s="118">
        <f t="shared" si="213"/>
        <v>1451.8609999999999</v>
      </c>
      <c r="K385" s="117">
        <f t="shared" si="213"/>
        <v>1220.7170000000001</v>
      </c>
      <c r="L385" s="118">
        <f t="shared" si="213"/>
        <v>1197.194</v>
      </c>
      <c r="M385" s="117">
        <f t="shared" si="213"/>
        <v>1050.4749999999999</v>
      </c>
      <c r="N385" s="118">
        <f t="shared" si="213"/>
        <v>1047.6959999999999</v>
      </c>
      <c r="O385" s="119">
        <f>SUM(C385:N385)</f>
        <v>14311.184999999999</v>
      </c>
      <c r="P385" s="186">
        <f>'[11]Chem F11'!$O$385</f>
        <v>16190.465736759388</v>
      </c>
      <c r="R385" s="270">
        <f>P385-O385</f>
        <v>1879.2807367593887</v>
      </c>
      <c r="S385" s="15"/>
      <c r="T385" s="72"/>
      <c r="U385" s="15"/>
      <c r="V385" s="15"/>
      <c r="AB385" s="15"/>
      <c r="AF385" s="15"/>
      <c r="AG385" s="15"/>
      <c r="AH385" s="72"/>
      <c r="AI385" s="15"/>
    </row>
    <row r="386" spans="1:35">
      <c r="A386" s="28" t="s">
        <v>54</v>
      </c>
      <c r="B386" s="29" t="s">
        <v>55</v>
      </c>
      <c r="C386" s="120">
        <f t="shared" ref="C386:O386" si="214">C387/C$385</f>
        <v>15.056505502287605</v>
      </c>
      <c r="D386" s="121">
        <f t="shared" si="214"/>
        <v>15.502725737670378</v>
      </c>
      <c r="E386" s="120">
        <f t="shared" si="214"/>
        <v>20.464701036810695</v>
      </c>
      <c r="F386" s="121">
        <f t="shared" si="214"/>
        <v>3.7906965850002337</v>
      </c>
      <c r="G386" s="120">
        <f t="shared" si="214"/>
        <v>9.9688194334064946</v>
      </c>
      <c r="H386" s="121">
        <f t="shared" si="214"/>
        <v>16.793406213924179</v>
      </c>
      <c r="I386" s="120">
        <f t="shared" si="214"/>
        <v>16.861438724867082</v>
      </c>
      <c r="J386" s="121">
        <f t="shared" si="214"/>
        <v>21.853331689466142</v>
      </c>
      <c r="K386" s="120">
        <f t="shared" si="214"/>
        <v>17.609323045390536</v>
      </c>
      <c r="L386" s="121">
        <f t="shared" si="214"/>
        <v>17.222772583223772</v>
      </c>
      <c r="M386" s="120">
        <f t="shared" si="214"/>
        <v>13.841357481139486</v>
      </c>
      <c r="N386" s="121">
        <f t="shared" si="214"/>
        <v>20.280692109161439</v>
      </c>
      <c r="O386" s="32">
        <f t="shared" si="214"/>
        <v>15.972332130428054</v>
      </c>
      <c r="Q386" s="33"/>
      <c r="R386" s="57"/>
    </row>
    <row r="387" spans="1:35">
      <c r="A387" s="34" t="s">
        <v>56</v>
      </c>
      <c r="B387" s="35" t="s">
        <v>57</v>
      </c>
      <c r="C387" s="36">
        <f t="shared" ref="C387:N387" si="215">C9+C105+C293+C199</f>
        <v>17264</v>
      </c>
      <c r="D387" s="37">
        <f t="shared" si="215"/>
        <v>15672</v>
      </c>
      <c r="E387" s="36">
        <f t="shared" si="215"/>
        <v>22235</v>
      </c>
      <c r="F387" s="37">
        <f t="shared" si="215"/>
        <v>4046</v>
      </c>
      <c r="G387" s="36">
        <f t="shared" si="215"/>
        <v>11791</v>
      </c>
      <c r="H387" s="37">
        <f t="shared" si="215"/>
        <v>23537</v>
      </c>
      <c r="I387" s="36">
        <f t="shared" si="215"/>
        <v>24407</v>
      </c>
      <c r="J387" s="37">
        <f t="shared" si="215"/>
        <v>31728</v>
      </c>
      <c r="K387" s="36">
        <f t="shared" si="215"/>
        <v>21496</v>
      </c>
      <c r="L387" s="37">
        <f t="shared" si="215"/>
        <v>20619</v>
      </c>
      <c r="M387" s="36">
        <f t="shared" si="215"/>
        <v>14540</v>
      </c>
      <c r="N387" s="37">
        <f t="shared" si="215"/>
        <v>21248</v>
      </c>
      <c r="O387" s="38">
        <f>SUM(C387:N387)</f>
        <v>228583</v>
      </c>
      <c r="Q387" s="33"/>
      <c r="R387" s="57"/>
      <c r="S387" s="57"/>
      <c r="T387" s="57"/>
      <c r="U387" s="57"/>
      <c r="V387" s="41"/>
    </row>
    <row r="388" spans="1:35">
      <c r="A388" s="42"/>
      <c r="B388" s="35" t="s">
        <v>58</v>
      </c>
      <c r="C388" s="81">
        <f>IF(C387=0,0,C389/C387)</f>
        <v>0.30082773401297497</v>
      </c>
      <c r="D388" s="82">
        <f>IF(D387=0,0,D389/D387)</f>
        <v>0.30292815211842777</v>
      </c>
      <c r="E388" s="81">
        <f>IF(E387=0,0,E389/E387)</f>
        <v>0.35346660670114688</v>
      </c>
      <c r="F388" s="82">
        <f>IF(F387=0,0,F389/F387)</f>
        <v>0.3420242214532872</v>
      </c>
      <c r="G388" s="81">
        <f>IF(G387=0,0,G389/G387)</f>
        <v>0.30243066745823088</v>
      </c>
      <c r="H388" s="82">
        <v>0.30242999999999998</v>
      </c>
      <c r="I388" s="81">
        <f t="shared" ref="I388:N388" si="216">IF(I387=0,0,I389/I387)</f>
        <v>0.29623837423689919</v>
      </c>
      <c r="J388" s="82">
        <f t="shared" si="216"/>
        <v>0.31358799798285419</v>
      </c>
      <c r="K388" s="81">
        <f t="shared" si="216"/>
        <v>0.29889049125418682</v>
      </c>
      <c r="L388" s="82">
        <f t="shared" si="216"/>
        <v>0.29552209127503759</v>
      </c>
      <c r="M388" s="81">
        <f t="shared" si="216"/>
        <v>0.3164264099037139</v>
      </c>
      <c r="N388" s="82">
        <f t="shared" si="216"/>
        <v>0.3427254329819277</v>
      </c>
      <c r="O388" s="45">
        <f>IF(O387=0,0,+O389/O387)</f>
        <v>0.31303491510742265</v>
      </c>
      <c r="Q388" s="33"/>
      <c r="R388" s="47"/>
      <c r="S388" s="47"/>
      <c r="T388" s="47"/>
      <c r="U388" s="47"/>
      <c r="V388" s="41"/>
    </row>
    <row r="389" spans="1:35">
      <c r="A389" s="42"/>
      <c r="B389" s="35" t="s">
        <v>15</v>
      </c>
      <c r="C389" s="48">
        <f t="shared" ref="C389:N389" si="217">C11+C107+C295+C201</f>
        <v>5193.49</v>
      </c>
      <c r="D389" s="49">
        <f t="shared" si="217"/>
        <v>4747.49</v>
      </c>
      <c r="E389" s="48">
        <f t="shared" si="217"/>
        <v>7859.3300000000008</v>
      </c>
      <c r="F389" s="49">
        <f t="shared" si="217"/>
        <v>1383.83</v>
      </c>
      <c r="G389" s="48">
        <f t="shared" si="217"/>
        <v>3565.96</v>
      </c>
      <c r="H389" s="49">
        <f t="shared" si="217"/>
        <v>7223.16</v>
      </c>
      <c r="I389" s="48">
        <f t="shared" si="217"/>
        <v>7230.2899999999991</v>
      </c>
      <c r="J389" s="49">
        <f t="shared" si="217"/>
        <v>9949.5199999999986</v>
      </c>
      <c r="K389" s="48">
        <f t="shared" si="217"/>
        <v>6424.95</v>
      </c>
      <c r="L389" s="49">
        <f t="shared" si="217"/>
        <v>6093.37</v>
      </c>
      <c r="M389" s="48">
        <f t="shared" si="217"/>
        <v>4600.84</v>
      </c>
      <c r="N389" s="49">
        <f t="shared" si="217"/>
        <v>7282.23</v>
      </c>
      <c r="O389" s="50">
        <f>SUM(C389:N389)</f>
        <v>71554.459999999992</v>
      </c>
      <c r="Q389" s="33"/>
      <c r="R389" s="40"/>
      <c r="S389" s="40"/>
      <c r="T389" s="40"/>
      <c r="U389" s="40"/>
      <c r="V389" s="41"/>
    </row>
    <row r="390" spans="1:35" ht="13.5" thickBot="1">
      <c r="A390" s="51"/>
      <c r="B390" s="52" t="s">
        <v>59</v>
      </c>
      <c r="C390" s="53">
        <f t="shared" ref="C390:O390" si="218">C389/C$385</f>
        <v>4.5294144324070693</v>
      </c>
      <c r="D390" s="54">
        <f t="shared" si="218"/>
        <v>4.6962120605112769</v>
      </c>
      <c r="E390" s="53">
        <f t="shared" si="218"/>
        <v>7.2335884326349182</v>
      </c>
      <c r="F390" s="54">
        <f t="shared" si="218"/>
        <v>1.2965100482503393</v>
      </c>
      <c r="G390" s="53">
        <f t="shared" si="218"/>
        <v>3.0148767150157085</v>
      </c>
      <c r="H390" s="54">
        <f t="shared" si="218"/>
        <v>5.1536499990724627</v>
      </c>
      <c r="I390" s="53">
        <f t="shared" si="218"/>
        <v>4.9950051951497194</v>
      </c>
      <c r="J390" s="54">
        <f t="shared" si="218"/>
        <v>6.8529425337549528</v>
      </c>
      <c r="K390" s="53">
        <f t="shared" si="218"/>
        <v>5.2632592156904501</v>
      </c>
      <c r="L390" s="54">
        <f t="shared" si="218"/>
        <v>5.0897097713486703</v>
      </c>
      <c r="M390" s="53">
        <f t="shared" si="218"/>
        <v>4.3797710559508802</v>
      </c>
      <c r="N390" s="54">
        <f t="shared" si="218"/>
        <v>6.9507089842855185</v>
      </c>
      <c r="O390" s="55">
        <f t="shared" si="218"/>
        <v>4.9998976325161051</v>
      </c>
      <c r="Q390" s="33"/>
      <c r="R390" s="57"/>
      <c r="S390" s="57"/>
      <c r="T390" s="57"/>
      <c r="U390" s="57"/>
      <c r="V390" s="41"/>
    </row>
    <row r="391" spans="1:35">
      <c r="A391" s="28" t="s">
        <v>60</v>
      </c>
      <c r="B391" s="29" t="s">
        <v>55</v>
      </c>
      <c r="C391" s="120">
        <f t="shared" ref="C391:O391" si="219">C392/C$385</f>
        <v>1.3954129288496391</v>
      </c>
      <c r="D391" s="121">
        <f t="shared" si="219"/>
        <v>3.0942142743384982</v>
      </c>
      <c r="E391" s="120">
        <f t="shared" si="219"/>
        <v>3.3363859347172817</v>
      </c>
      <c r="F391" s="121">
        <f t="shared" si="219"/>
        <v>2.8369325900594928</v>
      </c>
      <c r="G391" s="120">
        <f t="shared" si="219"/>
        <v>3.0030740927368216</v>
      </c>
      <c r="H391" s="121">
        <f t="shared" si="219"/>
        <v>2.9652630422343069</v>
      </c>
      <c r="I391" s="120">
        <f t="shared" si="219"/>
        <v>2.9720125125733681</v>
      </c>
      <c r="J391" s="121">
        <f t="shared" si="219"/>
        <v>2.4754435858529158</v>
      </c>
      <c r="K391" s="120">
        <f t="shared" si="219"/>
        <v>3.1145629986311323</v>
      </c>
      <c r="L391" s="121">
        <f t="shared" si="219"/>
        <v>4.1664091199922488</v>
      </c>
      <c r="M391" s="120">
        <f t="shared" si="219"/>
        <v>4.2523620267022064</v>
      </c>
      <c r="N391" s="121">
        <f t="shared" si="219"/>
        <v>3.5487393289656546</v>
      </c>
      <c r="O391" s="32">
        <f t="shared" si="219"/>
        <v>3.0717232709939815</v>
      </c>
      <c r="Q391" s="33"/>
      <c r="R391" s="58"/>
      <c r="S391" s="58"/>
      <c r="T391" s="58"/>
      <c r="U391" s="58"/>
      <c r="V391" s="41"/>
    </row>
    <row r="392" spans="1:35">
      <c r="A392" s="34" t="s">
        <v>56</v>
      </c>
      <c r="B392" s="35" t="s">
        <v>57</v>
      </c>
      <c r="C392" s="36">
        <f t="shared" ref="C392:N392" si="220">C14+C110+C298+C204</f>
        <v>1600</v>
      </c>
      <c r="D392" s="37">
        <f t="shared" si="220"/>
        <v>3128</v>
      </c>
      <c r="E392" s="36">
        <f t="shared" si="220"/>
        <v>3625</v>
      </c>
      <c r="F392" s="37">
        <f t="shared" si="220"/>
        <v>3028</v>
      </c>
      <c r="G392" s="36">
        <f t="shared" si="220"/>
        <v>3552</v>
      </c>
      <c r="H392" s="37">
        <f t="shared" si="220"/>
        <v>4156</v>
      </c>
      <c r="I392" s="36">
        <f t="shared" si="220"/>
        <v>4302</v>
      </c>
      <c r="J392" s="37">
        <f t="shared" si="220"/>
        <v>3594</v>
      </c>
      <c r="K392" s="36">
        <f t="shared" si="220"/>
        <v>3802</v>
      </c>
      <c r="L392" s="37">
        <f t="shared" si="220"/>
        <v>4988</v>
      </c>
      <c r="M392" s="36">
        <f t="shared" si="220"/>
        <v>4467</v>
      </c>
      <c r="N392" s="37">
        <f t="shared" si="220"/>
        <v>3718</v>
      </c>
      <c r="O392" s="38">
        <f>SUM(C392:N392)</f>
        <v>43960</v>
      </c>
      <c r="Q392" s="33"/>
      <c r="R392" s="57"/>
      <c r="S392" s="57"/>
      <c r="T392" s="57"/>
      <c r="U392" s="57"/>
      <c r="V392" s="41"/>
    </row>
    <row r="393" spans="1:35">
      <c r="A393" s="42"/>
      <c r="B393" s="35" t="s">
        <v>58</v>
      </c>
      <c r="C393" s="81">
        <f t="shared" ref="C393:N393" si="221">IF(C392=0,0,C394/C392)</f>
        <v>0.90099999999999991</v>
      </c>
      <c r="D393" s="122">
        <f t="shared" si="221"/>
        <v>0.91070012787723786</v>
      </c>
      <c r="E393" s="123">
        <f t="shared" si="221"/>
        <v>0.91160000000000008</v>
      </c>
      <c r="F393" s="122">
        <f t="shared" si="221"/>
        <v>0.91159841479524439</v>
      </c>
      <c r="G393" s="123">
        <f t="shared" si="221"/>
        <v>0.91159909909909909</v>
      </c>
      <c r="H393" s="122">
        <f t="shared" si="221"/>
        <v>0.91160009624639082</v>
      </c>
      <c r="I393" s="123">
        <f t="shared" si="221"/>
        <v>0.91110181311018135</v>
      </c>
      <c r="J393" s="122">
        <f t="shared" si="221"/>
        <v>0.91159988870339459</v>
      </c>
      <c r="K393" s="123">
        <f t="shared" si="221"/>
        <v>0.91089952656496587</v>
      </c>
      <c r="L393" s="122">
        <f t="shared" si="221"/>
        <v>0.90981756214915799</v>
      </c>
      <c r="M393" s="123">
        <f t="shared" si="221"/>
        <v>0.91046339825386169</v>
      </c>
      <c r="N393" s="122">
        <f t="shared" si="221"/>
        <v>0.91160032275416891</v>
      </c>
      <c r="O393" s="45">
        <f>IF(O392=0,0,+O394/O392)</f>
        <v>0.91072292993630588</v>
      </c>
      <c r="Q393" s="33"/>
      <c r="R393" s="47"/>
      <c r="S393" s="47"/>
      <c r="T393" s="47"/>
      <c r="U393" s="47"/>
      <c r="V393" s="41"/>
    </row>
    <row r="394" spans="1:35">
      <c r="A394" s="42"/>
      <c r="B394" s="35" t="s">
        <v>15</v>
      </c>
      <c r="C394" s="48">
        <f t="shared" ref="C394:N394" si="222">C16+C112+C300+C206</f>
        <v>1441.6</v>
      </c>
      <c r="D394" s="49">
        <f t="shared" si="222"/>
        <v>2848.67</v>
      </c>
      <c r="E394" s="48">
        <f t="shared" si="222"/>
        <v>3304.55</v>
      </c>
      <c r="F394" s="49">
        <f t="shared" si="222"/>
        <v>2760.32</v>
      </c>
      <c r="G394" s="48">
        <f t="shared" si="222"/>
        <v>3238</v>
      </c>
      <c r="H394" s="49">
        <f t="shared" si="222"/>
        <v>3788.61</v>
      </c>
      <c r="I394" s="48">
        <f t="shared" si="222"/>
        <v>3919.56</v>
      </c>
      <c r="J394" s="49">
        <f t="shared" si="222"/>
        <v>3276.29</v>
      </c>
      <c r="K394" s="48">
        <f t="shared" si="222"/>
        <v>3463.2400000000002</v>
      </c>
      <c r="L394" s="49">
        <f t="shared" si="222"/>
        <v>4538.17</v>
      </c>
      <c r="M394" s="48">
        <f t="shared" si="222"/>
        <v>4067.04</v>
      </c>
      <c r="N394" s="49">
        <f t="shared" si="222"/>
        <v>3389.33</v>
      </c>
      <c r="O394" s="50">
        <f>SUM(C394:N394)</f>
        <v>40035.380000000005</v>
      </c>
      <c r="Q394" s="33"/>
      <c r="R394" s="40"/>
      <c r="S394" s="40"/>
      <c r="T394" s="40"/>
      <c r="U394" s="40"/>
      <c r="V394" s="41"/>
    </row>
    <row r="395" spans="1:35" ht="13.5" thickBot="1">
      <c r="A395" s="51"/>
      <c r="B395" s="52" t="s">
        <v>59</v>
      </c>
      <c r="C395" s="53">
        <f t="shared" ref="C395:O395" si="223">C394/C$385</f>
        <v>1.2572670488935247</v>
      </c>
      <c r="D395" s="54">
        <f t="shared" si="223"/>
        <v>2.8179013353196449</v>
      </c>
      <c r="E395" s="53">
        <f t="shared" si="223"/>
        <v>3.0414494180882743</v>
      </c>
      <c r="F395" s="54">
        <f t="shared" si="223"/>
        <v>2.5861432519792005</v>
      </c>
      <c r="G395" s="53">
        <f t="shared" si="223"/>
        <v>2.7375996374667313</v>
      </c>
      <c r="H395" s="54">
        <f t="shared" si="223"/>
        <v>2.7031340746966599</v>
      </c>
      <c r="I395" s="53">
        <f t="shared" si="223"/>
        <v>2.7078059887917409</v>
      </c>
      <c r="J395" s="54">
        <f t="shared" si="223"/>
        <v>2.2566140973550501</v>
      </c>
      <c r="K395" s="53">
        <f t="shared" si="223"/>
        <v>2.8370539609098588</v>
      </c>
      <c r="L395" s="54">
        <f t="shared" si="223"/>
        <v>3.7906721884673664</v>
      </c>
      <c r="M395" s="53">
        <f t="shared" si="223"/>
        <v>3.8716199814369694</v>
      </c>
      <c r="N395" s="54">
        <f t="shared" si="223"/>
        <v>3.2350319176555034</v>
      </c>
      <c r="O395" s="55">
        <f t="shared" si="223"/>
        <v>2.7974888173131718</v>
      </c>
      <c r="Q395" s="33"/>
      <c r="R395" s="57"/>
      <c r="S395" s="57"/>
      <c r="T395" s="57"/>
      <c r="U395" s="57"/>
      <c r="V395" s="41"/>
    </row>
    <row r="396" spans="1:35">
      <c r="A396" s="28" t="s">
        <v>61</v>
      </c>
      <c r="B396" s="29" t="s">
        <v>55</v>
      </c>
      <c r="C396" s="120">
        <f t="shared" ref="C396:O396" si="224">C397/C$385</f>
        <v>48.656304562825852</v>
      </c>
      <c r="D396" s="121">
        <f t="shared" si="224"/>
        <v>52.077367227245702</v>
      </c>
      <c r="E396" s="120">
        <f t="shared" si="224"/>
        <v>55.646315479450166</v>
      </c>
      <c r="F396" s="121">
        <f t="shared" si="224"/>
        <v>55.830795896378874</v>
      </c>
      <c r="G396" s="120">
        <f t="shared" si="224"/>
        <v>56.657659698948585</v>
      </c>
      <c r="H396" s="121">
        <f t="shared" si="224"/>
        <v>58.340622819397211</v>
      </c>
      <c r="I396" s="120">
        <f t="shared" si="224"/>
        <v>66.221578662304225</v>
      </c>
      <c r="J396" s="121">
        <f t="shared" si="224"/>
        <v>66.525652249078945</v>
      </c>
      <c r="K396" s="120">
        <f t="shared" si="224"/>
        <v>68.69405439590011</v>
      </c>
      <c r="L396" s="121">
        <f t="shared" si="224"/>
        <v>62.685746838022915</v>
      </c>
      <c r="M396" s="120">
        <f t="shared" si="224"/>
        <v>58.922868226278595</v>
      </c>
      <c r="N396" s="121">
        <f t="shared" si="224"/>
        <v>53.68351124753746</v>
      </c>
      <c r="O396" s="32">
        <f t="shared" si="224"/>
        <v>59.167357559838685</v>
      </c>
      <c r="Q396" s="33"/>
      <c r="AC396" s="124"/>
      <c r="AG396" s="33"/>
      <c r="AI396" s="58"/>
    </row>
    <row r="397" spans="1:35">
      <c r="A397" s="34" t="s">
        <v>56</v>
      </c>
      <c r="B397" s="35" t="s">
        <v>57</v>
      </c>
      <c r="C397" s="36">
        <f t="shared" ref="C397:N397" si="225">C19+C115+C303+C209</f>
        <v>55790</v>
      </c>
      <c r="D397" s="37">
        <f t="shared" si="225"/>
        <v>52646</v>
      </c>
      <c r="E397" s="36">
        <f t="shared" si="225"/>
        <v>60460</v>
      </c>
      <c r="F397" s="37">
        <f t="shared" si="225"/>
        <v>59591</v>
      </c>
      <c r="G397" s="36">
        <f t="shared" si="225"/>
        <v>67014</v>
      </c>
      <c r="H397" s="37">
        <f t="shared" si="225"/>
        <v>81768</v>
      </c>
      <c r="I397" s="36">
        <f t="shared" si="225"/>
        <v>95856</v>
      </c>
      <c r="J397" s="37">
        <f t="shared" si="225"/>
        <v>96586</v>
      </c>
      <c r="K397" s="36">
        <f t="shared" si="225"/>
        <v>83856</v>
      </c>
      <c r="L397" s="37">
        <f t="shared" si="225"/>
        <v>75047</v>
      </c>
      <c r="M397" s="36">
        <f t="shared" si="225"/>
        <v>61897</v>
      </c>
      <c r="N397" s="37">
        <f t="shared" si="225"/>
        <v>56244</v>
      </c>
      <c r="O397" s="38">
        <f>SUM(C397:N397)</f>
        <v>846755</v>
      </c>
      <c r="Q397" s="33"/>
      <c r="R397" s="57"/>
      <c r="S397" s="57"/>
      <c r="T397" s="57"/>
      <c r="U397" s="57"/>
      <c r="V397" s="41"/>
      <c r="AB397" s="15"/>
      <c r="AC397" s="124"/>
      <c r="AD397" s="15"/>
      <c r="AF397" s="57"/>
      <c r="AG397" s="33"/>
      <c r="AH397" s="57"/>
      <c r="AI397" s="58"/>
    </row>
    <row r="398" spans="1:35">
      <c r="A398" s="42"/>
      <c r="B398" s="35" t="s">
        <v>58</v>
      </c>
      <c r="C398" s="81">
        <f>IF(C397=0,0,C399/C397)</f>
        <v>0.20419806416920594</v>
      </c>
      <c r="D398" s="82">
        <f>IF(D397=0,0,D399/D397)</f>
        <v>0.20495365269916044</v>
      </c>
      <c r="E398" s="81">
        <f>IF(E397=0,0,E399/E397)</f>
        <v>0.20351455507773733</v>
      </c>
      <c r="F398" s="82">
        <f>IF(F397=0,0,F399/F397)</f>
        <v>0.20311993421825442</v>
      </c>
      <c r="G398" s="81">
        <f>IF(G397=0,0,G399/G397)</f>
        <v>0.20328543289461906</v>
      </c>
      <c r="H398" s="82">
        <v>0.20329</v>
      </c>
      <c r="I398" s="81">
        <f t="shared" ref="I398:N398" si="226">IF(I397=0,0,I399/I397)</f>
        <v>0.20303507344349858</v>
      </c>
      <c r="J398" s="82">
        <f t="shared" si="226"/>
        <v>0.20286967055266808</v>
      </c>
      <c r="K398" s="81">
        <f t="shared" si="226"/>
        <v>0.20270737931692426</v>
      </c>
      <c r="L398" s="82">
        <f t="shared" si="226"/>
        <v>0.20402174637227338</v>
      </c>
      <c r="M398" s="81">
        <f t="shared" si="226"/>
        <v>0.20372796742976232</v>
      </c>
      <c r="N398" s="82">
        <f t="shared" si="226"/>
        <v>0.20399633738709907</v>
      </c>
      <c r="O398" s="45">
        <f>IF(O397=0,0,+O399/O397)</f>
        <v>0.20346630371240798</v>
      </c>
      <c r="Q398" s="33"/>
      <c r="R398" s="47"/>
      <c r="S398" s="47"/>
      <c r="T398" s="47"/>
      <c r="U398" s="47"/>
      <c r="V398" s="41"/>
      <c r="AC398" s="124"/>
      <c r="AD398" s="15"/>
      <c r="AF398" s="47"/>
      <c r="AG398" s="33"/>
      <c r="AH398" s="47"/>
      <c r="AI398" s="58"/>
    </row>
    <row r="399" spans="1:35">
      <c r="A399" s="42"/>
      <c r="B399" s="35" t="s">
        <v>15</v>
      </c>
      <c r="C399" s="48">
        <f t="shared" ref="C399:N399" si="227">C21+C117+C305+C211</f>
        <v>11392.21</v>
      </c>
      <c r="D399" s="49">
        <f t="shared" si="227"/>
        <v>10789.99</v>
      </c>
      <c r="E399" s="48">
        <f t="shared" si="227"/>
        <v>12304.49</v>
      </c>
      <c r="F399" s="49">
        <f t="shared" si="227"/>
        <v>12104.119999999999</v>
      </c>
      <c r="G399" s="48">
        <f t="shared" si="227"/>
        <v>13622.970000000001</v>
      </c>
      <c r="H399" s="49">
        <f t="shared" si="227"/>
        <v>16622.66</v>
      </c>
      <c r="I399" s="48">
        <f t="shared" si="227"/>
        <v>19462.13</v>
      </c>
      <c r="J399" s="49">
        <f t="shared" si="227"/>
        <v>19594.37</v>
      </c>
      <c r="K399" s="48">
        <f t="shared" si="227"/>
        <v>16998.23</v>
      </c>
      <c r="L399" s="49">
        <f t="shared" si="227"/>
        <v>15311.220000000001</v>
      </c>
      <c r="M399" s="48">
        <f t="shared" si="227"/>
        <v>12610.149999999998</v>
      </c>
      <c r="N399" s="49">
        <f t="shared" si="227"/>
        <v>11473.57</v>
      </c>
      <c r="O399" s="50">
        <f>SUM(C399:N399)</f>
        <v>172286.11000000002</v>
      </c>
      <c r="Q399" s="33"/>
      <c r="R399" s="40"/>
      <c r="S399" s="40"/>
      <c r="T399" s="40"/>
      <c r="U399" s="40"/>
      <c r="V399" s="41"/>
      <c r="AC399" s="124"/>
      <c r="AD399" s="15"/>
      <c r="AF399" s="40"/>
      <c r="AG399" s="33"/>
      <c r="AH399" s="40"/>
      <c r="AI399" s="58"/>
    </row>
    <row r="400" spans="1:35" ht="13.5" thickBot="1">
      <c r="A400" s="51"/>
      <c r="B400" s="52" t="s">
        <v>59</v>
      </c>
      <c r="C400" s="53">
        <f t="shared" ref="C400:O400" si="228">C399/C$385</f>
        <v>9.9355232013563395</v>
      </c>
      <c r="D400" s="54">
        <f t="shared" si="228"/>
        <v>10.673446636179555</v>
      </c>
      <c r="E400" s="53">
        <f t="shared" si="228"/>
        <v>11.324835136515709</v>
      </c>
      <c r="F400" s="54">
        <f t="shared" si="228"/>
        <v>11.340347589825265</v>
      </c>
      <c r="G400" s="53">
        <f t="shared" si="228"/>
        <v>11.517676878696776</v>
      </c>
      <c r="H400" s="54">
        <f t="shared" si="228"/>
        <v>11.860096092787902</v>
      </c>
      <c r="I400" s="53">
        <f t="shared" si="228"/>
        <v>13.445303087245357</v>
      </c>
      <c r="J400" s="54">
        <f t="shared" si="228"/>
        <v>13.496037155072008</v>
      </c>
      <c r="K400" s="53">
        <f t="shared" si="228"/>
        <v>13.924791741247152</v>
      </c>
      <c r="L400" s="54">
        <f t="shared" si="228"/>
        <v>12.78925554254365</v>
      </c>
      <c r="M400" s="53">
        <f t="shared" si="228"/>
        <v>12.004236178871462</v>
      </c>
      <c r="N400" s="54">
        <f t="shared" si="228"/>
        <v>10.951239672576779</v>
      </c>
      <c r="O400" s="55">
        <f t="shared" si="228"/>
        <v>12.038563543130776</v>
      </c>
      <c r="Q400" s="33"/>
      <c r="R400" s="57"/>
      <c r="S400" s="57"/>
      <c r="T400" s="57"/>
      <c r="U400" s="57"/>
      <c r="V400" s="41"/>
      <c r="AC400" s="124"/>
      <c r="AD400" s="15"/>
      <c r="AF400" s="57"/>
      <c r="AG400" s="33"/>
      <c r="AH400" s="57"/>
      <c r="AI400" s="58"/>
    </row>
    <row r="401" spans="1:35">
      <c r="A401" s="28" t="s">
        <v>62</v>
      </c>
      <c r="B401" s="29" t="s">
        <v>55</v>
      </c>
      <c r="C401" s="120">
        <f t="shared" ref="C401:O401" si="229">C402/C$385</f>
        <v>0</v>
      </c>
      <c r="D401" s="121">
        <f t="shared" si="229"/>
        <v>0</v>
      </c>
      <c r="E401" s="120">
        <f t="shared" si="229"/>
        <v>0</v>
      </c>
      <c r="F401" s="121">
        <f t="shared" si="229"/>
        <v>9.3689979856654323E-2</v>
      </c>
      <c r="G401" s="120">
        <f t="shared" si="229"/>
        <v>0</v>
      </c>
      <c r="H401" s="121">
        <f t="shared" si="229"/>
        <v>4.3166124652352158</v>
      </c>
      <c r="I401" s="120">
        <f t="shared" si="229"/>
        <v>0</v>
      </c>
      <c r="J401" s="121">
        <f t="shared" si="229"/>
        <v>0</v>
      </c>
      <c r="K401" s="120">
        <f t="shared" si="229"/>
        <v>8.1919068875095535E-2</v>
      </c>
      <c r="L401" s="121">
        <f t="shared" si="229"/>
        <v>0</v>
      </c>
      <c r="M401" s="120">
        <f t="shared" si="229"/>
        <v>0</v>
      </c>
      <c r="N401" s="121">
        <f t="shared" si="229"/>
        <v>0</v>
      </c>
      <c r="O401" s="32">
        <f t="shared" si="229"/>
        <v>0.43672134767316617</v>
      </c>
      <c r="Q401" s="33"/>
    </row>
    <row r="402" spans="1:35">
      <c r="A402" s="34" t="s">
        <v>56</v>
      </c>
      <c r="B402" s="35" t="s">
        <v>57</v>
      </c>
      <c r="C402" s="36">
        <f t="shared" ref="C402:N402" si="230">C24+C120+C308+C214</f>
        <v>0</v>
      </c>
      <c r="D402" s="66">
        <f t="shared" si="230"/>
        <v>0</v>
      </c>
      <c r="E402" s="65">
        <f t="shared" si="230"/>
        <v>0</v>
      </c>
      <c r="F402" s="66">
        <f t="shared" si="230"/>
        <v>100</v>
      </c>
      <c r="G402" s="65">
        <f t="shared" si="230"/>
        <v>0</v>
      </c>
      <c r="H402" s="66">
        <f t="shared" si="230"/>
        <v>6050</v>
      </c>
      <c r="I402" s="65">
        <f t="shared" si="230"/>
        <v>0</v>
      </c>
      <c r="J402" s="66">
        <f t="shared" si="230"/>
        <v>0</v>
      </c>
      <c r="K402" s="65">
        <f t="shared" si="230"/>
        <v>100</v>
      </c>
      <c r="L402" s="66">
        <f t="shared" si="230"/>
        <v>0</v>
      </c>
      <c r="M402" s="65">
        <f t="shared" si="230"/>
        <v>0</v>
      </c>
      <c r="N402" s="66">
        <f t="shared" si="230"/>
        <v>0</v>
      </c>
      <c r="O402" s="67">
        <f>SUM(C402:N402)</f>
        <v>6250</v>
      </c>
      <c r="Q402" s="33"/>
      <c r="R402" s="39"/>
      <c r="S402" s="39"/>
      <c r="T402" s="39"/>
      <c r="U402" s="39"/>
      <c r="V402" s="41"/>
    </row>
    <row r="403" spans="1:35">
      <c r="A403" s="42"/>
      <c r="B403" s="35" t="s">
        <v>58</v>
      </c>
      <c r="C403" s="81">
        <f t="shared" ref="C403:N403" si="231">IF(C402=0,0,C404/C402)</f>
        <v>0</v>
      </c>
      <c r="D403" s="82">
        <f t="shared" si="231"/>
        <v>0</v>
      </c>
      <c r="E403" s="81">
        <f t="shared" si="231"/>
        <v>0</v>
      </c>
      <c r="F403" s="82">
        <f t="shared" si="231"/>
        <v>1.8493000000000002</v>
      </c>
      <c r="G403" s="81">
        <f t="shared" si="231"/>
        <v>0</v>
      </c>
      <c r="H403" s="82">
        <f t="shared" si="231"/>
        <v>1.3650363636363636</v>
      </c>
      <c r="I403" s="81">
        <f t="shared" si="231"/>
        <v>0</v>
      </c>
      <c r="J403" s="82">
        <f t="shared" si="231"/>
        <v>0</v>
      </c>
      <c r="K403" s="81">
        <f t="shared" si="231"/>
        <v>1.8493000000000002</v>
      </c>
      <c r="L403" s="82">
        <f t="shared" si="231"/>
        <v>0</v>
      </c>
      <c r="M403" s="81">
        <f t="shared" si="231"/>
        <v>0</v>
      </c>
      <c r="N403" s="82">
        <f t="shared" si="231"/>
        <v>0</v>
      </c>
      <c r="O403" s="45">
        <f>IF(O402=0,0,+O404/O402)</f>
        <v>1.3805327999999999</v>
      </c>
      <c r="Q403" s="33"/>
      <c r="R403" s="47"/>
      <c r="S403" s="47"/>
      <c r="T403" s="68"/>
      <c r="U403" s="47"/>
      <c r="V403" s="41"/>
    </row>
    <row r="404" spans="1:35">
      <c r="A404" s="42"/>
      <c r="B404" s="35" t="s">
        <v>15</v>
      </c>
      <c r="C404" s="48">
        <f t="shared" ref="C404:N404" si="232">C26+C122+C310+C216</f>
        <v>0</v>
      </c>
      <c r="D404" s="49">
        <f t="shared" si="232"/>
        <v>0</v>
      </c>
      <c r="E404" s="48">
        <f t="shared" si="232"/>
        <v>0</v>
      </c>
      <c r="F404" s="49">
        <f t="shared" si="232"/>
        <v>184.93</v>
      </c>
      <c r="G404" s="48">
        <f t="shared" si="232"/>
        <v>0</v>
      </c>
      <c r="H404" s="49">
        <f t="shared" si="232"/>
        <v>8258.4699999999993</v>
      </c>
      <c r="I404" s="48">
        <f t="shared" si="232"/>
        <v>0</v>
      </c>
      <c r="J404" s="49">
        <f t="shared" si="232"/>
        <v>0</v>
      </c>
      <c r="K404" s="48">
        <f t="shared" si="232"/>
        <v>184.93</v>
      </c>
      <c r="L404" s="49">
        <f t="shared" si="232"/>
        <v>0</v>
      </c>
      <c r="M404" s="48">
        <f t="shared" si="232"/>
        <v>0</v>
      </c>
      <c r="N404" s="49">
        <f t="shared" si="232"/>
        <v>0</v>
      </c>
      <c r="O404" s="50">
        <f>SUM(C404:N404)</f>
        <v>8628.33</v>
      </c>
      <c r="Q404" s="33"/>
      <c r="R404" s="39"/>
      <c r="S404" s="40"/>
      <c r="T404" s="40"/>
      <c r="U404" s="39"/>
      <c r="V404" s="41"/>
    </row>
    <row r="405" spans="1:35" ht="13.5" thickBot="1">
      <c r="A405" s="51"/>
      <c r="B405" s="52" t="s">
        <v>59</v>
      </c>
      <c r="C405" s="53">
        <f t="shared" ref="C405:O405" si="233">C404/C$385</f>
        <v>0</v>
      </c>
      <c r="D405" s="54">
        <f t="shared" si="233"/>
        <v>0</v>
      </c>
      <c r="E405" s="53">
        <f t="shared" si="233"/>
        <v>0</v>
      </c>
      <c r="F405" s="54">
        <f t="shared" si="233"/>
        <v>0.17326087974891083</v>
      </c>
      <c r="G405" s="53">
        <f t="shared" si="233"/>
        <v>0</v>
      </c>
      <c r="H405" s="54">
        <f t="shared" si="233"/>
        <v>5.8923329827720776</v>
      </c>
      <c r="I405" s="53">
        <f t="shared" si="233"/>
        <v>0</v>
      </c>
      <c r="J405" s="54">
        <f t="shared" si="233"/>
        <v>0</v>
      </c>
      <c r="K405" s="53">
        <f t="shared" si="233"/>
        <v>0.15149293407071418</v>
      </c>
      <c r="L405" s="54">
        <f t="shared" si="233"/>
        <v>0</v>
      </c>
      <c r="M405" s="53">
        <f t="shared" si="233"/>
        <v>0</v>
      </c>
      <c r="N405" s="54">
        <f t="shared" si="233"/>
        <v>0</v>
      </c>
      <c r="O405" s="55">
        <f t="shared" si="233"/>
        <v>0.60290814492300948</v>
      </c>
      <c r="Q405" s="33"/>
      <c r="R405" s="57"/>
      <c r="S405" s="57"/>
      <c r="T405" s="57"/>
      <c r="U405" s="57"/>
      <c r="V405" s="41"/>
    </row>
    <row r="406" spans="1:35">
      <c r="A406" s="181" t="s">
        <v>63</v>
      </c>
      <c r="B406" s="29" t="s">
        <v>55</v>
      </c>
      <c r="C406" s="120">
        <f t="shared" ref="C406:O406" si="234">C407/C$385</f>
        <v>25.749729202678495</v>
      </c>
      <c r="D406" s="121">
        <f t="shared" si="234"/>
        <v>27.574909562487203</v>
      </c>
      <c r="E406" s="120">
        <f t="shared" si="234"/>
        <v>25.091462993727596</v>
      </c>
      <c r="F406" s="121">
        <f t="shared" si="234"/>
        <v>23.65016161521525</v>
      </c>
      <c r="G406" s="120">
        <f t="shared" si="234"/>
        <v>23.503789351937964</v>
      </c>
      <c r="H406" s="121">
        <f t="shared" si="234"/>
        <v>23.538024004646243</v>
      </c>
      <c r="I406" s="120">
        <f t="shared" si="234"/>
        <v>23.233787264145732</v>
      </c>
      <c r="J406" s="121">
        <f t="shared" si="234"/>
        <v>24.212372947548012</v>
      </c>
      <c r="K406" s="120">
        <f t="shared" si="234"/>
        <v>23.603341314981275</v>
      </c>
      <c r="L406" s="121">
        <f t="shared" si="234"/>
        <v>25.32171059995289</v>
      </c>
      <c r="M406" s="120">
        <f t="shared" si="234"/>
        <v>22.642138080392204</v>
      </c>
      <c r="N406" s="121">
        <f t="shared" si="234"/>
        <v>24.803950764343856</v>
      </c>
      <c r="O406" s="32">
        <f t="shared" si="234"/>
        <v>24.343197296380421</v>
      </c>
    </row>
    <row r="407" spans="1:35">
      <c r="A407" s="34" t="s">
        <v>64</v>
      </c>
      <c r="B407" s="35" t="s">
        <v>57</v>
      </c>
      <c r="C407" s="36">
        <f t="shared" ref="C407:N407" si="235">C29+C125+C313+C219</f>
        <v>29525</v>
      </c>
      <c r="D407" s="37">
        <f t="shared" si="235"/>
        <v>27876</v>
      </c>
      <c r="E407" s="36">
        <f t="shared" si="235"/>
        <v>27262</v>
      </c>
      <c r="F407" s="37">
        <f t="shared" si="235"/>
        <v>25243</v>
      </c>
      <c r="G407" s="36">
        <f t="shared" si="235"/>
        <v>27800</v>
      </c>
      <c r="H407" s="37">
        <f t="shared" si="235"/>
        <v>32990</v>
      </c>
      <c r="I407" s="36">
        <f t="shared" si="235"/>
        <v>33631</v>
      </c>
      <c r="J407" s="37">
        <f t="shared" si="235"/>
        <v>35153</v>
      </c>
      <c r="K407" s="36">
        <f t="shared" si="235"/>
        <v>28813</v>
      </c>
      <c r="L407" s="37">
        <f t="shared" si="235"/>
        <v>30315</v>
      </c>
      <c r="M407" s="36">
        <f t="shared" si="235"/>
        <v>23785</v>
      </c>
      <c r="N407" s="37">
        <f t="shared" si="235"/>
        <v>25987</v>
      </c>
      <c r="O407" s="38">
        <f>SUM(C407:N407)</f>
        <v>348380</v>
      </c>
    </row>
    <row r="408" spans="1:35">
      <c r="A408" s="103"/>
      <c r="B408" s="35" t="s">
        <v>58</v>
      </c>
      <c r="C408" s="81">
        <f>IF(C407=0,0,C409/C407)</f>
        <v>0.44159593564775612</v>
      </c>
      <c r="D408" s="82">
        <f>IF(D407=0,0,D409/D407)</f>
        <v>0.4422998278088679</v>
      </c>
      <c r="E408" s="81">
        <f>IF(E407=0,0,E409/E407)</f>
        <v>0.43234098745506566</v>
      </c>
      <c r="F408" s="82">
        <f>IF(F407=0,0,F409/F407)</f>
        <v>0.43318622984589789</v>
      </c>
      <c r="G408" s="81">
        <f>IF(G407=0,0,G409/G407)</f>
        <v>0.42646510791366909</v>
      </c>
      <c r="H408" s="82">
        <v>0.42647000000000002</v>
      </c>
      <c r="I408" s="81">
        <f t="shared" ref="I408:N408" si="236">IF(I407=0,0,I409/I407)</f>
        <v>0.41907644732538435</v>
      </c>
      <c r="J408" s="82">
        <f t="shared" si="236"/>
        <v>0.41850510624982218</v>
      </c>
      <c r="K408" s="81">
        <f t="shared" si="236"/>
        <v>0.48799049040363729</v>
      </c>
      <c r="L408" s="82">
        <f t="shared" si="236"/>
        <v>0.41750090714167898</v>
      </c>
      <c r="M408" s="81">
        <f t="shared" si="236"/>
        <v>0.41778431784738279</v>
      </c>
      <c r="N408" s="82">
        <f t="shared" si="236"/>
        <v>0.41692038326855735</v>
      </c>
      <c r="O408" s="45">
        <f>IF(O407=0,0,+O409/O407)</f>
        <v>0.43101274470405887</v>
      </c>
    </row>
    <row r="409" spans="1:35">
      <c r="A409" s="42"/>
      <c r="B409" s="35" t="s">
        <v>15</v>
      </c>
      <c r="C409" s="48">
        <f t="shared" ref="C409:N409" si="237">C31+C127+C315+C221</f>
        <v>13038.119999999999</v>
      </c>
      <c r="D409" s="49">
        <f t="shared" si="237"/>
        <v>12329.550000000001</v>
      </c>
      <c r="E409" s="48">
        <f t="shared" si="237"/>
        <v>11786.48</v>
      </c>
      <c r="F409" s="49">
        <f t="shared" si="237"/>
        <v>10934.92</v>
      </c>
      <c r="G409" s="48">
        <f t="shared" si="237"/>
        <v>11855.730000000001</v>
      </c>
      <c r="H409" s="49">
        <f t="shared" si="237"/>
        <v>13917.23</v>
      </c>
      <c r="I409" s="48">
        <f t="shared" si="237"/>
        <v>14093.960000000001</v>
      </c>
      <c r="J409" s="49">
        <f t="shared" si="237"/>
        <v>14711.71</v>
      </c>
      <c r="K409" s="48">
        <f t="shared" si="237"/>
        <v>14060.470000000001</v>
      </c>
      <c r="L409" s="49">
        <f t="shared" si="237"/>
        <v>12656.539999999999</v>
      </c>
      <c r="M409" s="48">
        <f t="shared" si="237"/>
        <v>9937</v>
      </c>
      <c r="N409" s="49">
        <f t="shared" si="237"/>
        <v>10834.51</v>
      </c>
      <c r="O409" s="50">
        <f>SUM(C409:N409)</f>
        <v>150156.22000000003</v>
      </c>
    </row>
    <row r="410" spans="1:35" ht="13.5" thickBot="1">
      <c r="A410" s="51"/>
      <c r="B410" s="52" t="s">
        <v>59</v>
      </c>
      <c r="C410" s="53">
        <f t="shared" ref="C410:O410" si="238">C409/C$385</f>
        <v>11.370975759933158</v>
      </c>
      <c r="D410" s="54">
        <f t="shared" si="238"/>
        <v>12.196377751333195</v>
      </c>
      <c r="E410" s="53">
        <f t="shared" si="238"/>
        <v>10.848067887400427</v>
      </c>
      <c r="F410" s="54">
        <f t="shared" si="238"/>
        <v>10.244924345341264</v>
      </c>
      <c r="G410" s="53">
        <f t="shared" si="238"/>
        <v>10.02354606235437</v>
      </c>
      <c r="H410" s="54">
        <f t="shared" si="238"/>
        <v>9.9297997519909913</v>
      </c>
      <c r="I410" s="53">
        <f t="shared" si="238"/>
        <v>9.7367330245719543</v>
      </c>
      <c r="J410" s="54">
        <f t="shared" si="238"/>
        <v>10.133001712973901</v>
      </c>
      <c r="K410" s="53">
        <f t="shared" si="238"/>
        <v>11.518206103462145</v>
      </c>
      <c r="L410" s="54">
        <f t="shared" si="238"/>
        <v>10.571837145859401</v>
      </c>
      <c r="M410" s="53">
        <f t="shared" si="238"/>
        <v>9.4595302125229068</v>
      </c>
      <c r="N410" s="54">
        <f t="shared" si="238"/>
        <v>10.341272659244668</v>
      </c>
      <c r="O410" s="55">
        <f t="shared" si="238"/>
        <v>10.49222828158535</v>
      </c>
    </row>
    <row r="411" spans="1:35">
      <c r="A411" s="28" t="s">
        <v>65</v>
      </c>
      <c r="B411" s="29" t="s">
        <v>55</v>
      </c>
      <c r="C411" s="120">
        <f t="shared" ref="C411:O411" si="239">C412/C$385</f>
        <v>21.394296598506557</v>
      </c>
      <c r="D411" s="121">
        <f t="shared" si="239"/>
        <v>26.417546806420692</v>
      </c>
      <c r="E411" s="120">
        <f t="shared" si="239"/>
        <v>61.012144444802381</v>
      </c>
      <c r="F411" s="121">
        <f t="shared" si="239"/>
        <v>28.719726425258816</v>
      </c>
      <c r="G411" s="120">
        <f t="shared" si="239"/>
        <v>29.18866271893188</v>
      </c>
      <c r="H411" s="121">
        <f t="shared" si="239"/>
        <v>23.641480005879153</v>
      </c>
      <c r="I411" s="120">
        <f t="shared" si="239"/>
        <v>23.304253390664208</v>
      </c>
      <c r="J411" s="121">
        <f t="shared" si="239"/>
        <v>23.706814908589735</v>
      </c>
      <c r="K411" s="120">
        <f t="shared" si="239"/>
        <v>25.222881306641913</v>
      </c>
      <c r="L411" s="121">
        <f t="shared" si="239"/>
        <v>20.975714879960975</v>
      </c>
      <c r="M411" s="120">
        <f t="shared" si="239"/>
        <v>38.771984102429855</v>
      </c>
      <c r="N411" s="121">
        <f t="shared" si="239"/>
        <v>33.115522059834156</v>
      </c>
      <c r="O411" s="32">
        <f t="shared" si="239"/>
        <v>29.020517867667841</v>
      </c>
      <c r="Q411" s="33"/>
      <c r="AC411" s="124"/>
      <c r="AG411" s="33"/>
      <c r="AI411" s="58"/>
    </row>
    <row r="412" spans="1:35">
      <c r="A412" s="34" t="s">
        <v>64</v>
      </c>
      <c r="B412" s="35" t="s">
        <v>57</v>
      </c>
      <c r="C412" s="36">
        <f t="shared" ref="C412:N412" si="240">C34+C130+C318+C224</f>
        <v>24531</v>
      </c>
      <c r="D412" s="37">
        <f t="shared" si="240"/>
        <v>26706</v>
      </c>
      <c r="E412" s="36">
        <f t="shared" si="240"/>
        <v>66290</v>
      </c>
      <c r="F412" s="37">
        <f t="shared" si="240"/>
        <v>30654</v>
      </c>
      <c r="G412" s="36">
        <f t="shared" si="240"/>
        <v>34524</v>
      </c>
      <c r="H412" s="37">
        <f t="shared" si="240"/>
        <v>33135</v>
      </c>
      <c r="I412" s="36">
        <f t="shared" si="240"/>
        <v>33733</v>
      </c>
      <c r="J412" s="37">
        <f t="shared" si="240"/>
        <v>34419</v>
      </c>
      <c r="K412" s="36">
        <f t="shared" si="240"/>
        <v>30790</v>
      </c>
      <c r="L412" s="37">
        <f t="shared" si="240"/>
        <v>25112</v>
      </c>
      <c r="M412" s="36">
        <f t="shared" si="240"/>
        <v>40729</v>
      </c>
      <c r="N412" s="37">
        <f t="shared" si="240"/>
        <v>34695</v>
      </c>
      <c r="O412" s="38">
        <f>SUM(C412:N412)</f>
        <v>415318</v>
      </c>
      <c r="Q412" s="33"/>
      <c r="R412" s="60"/>
      <c r="S412" s="60"/>
      <c r="T412" s="60"/>
      <c r="U412" s="57"/>
      <c r="V412" s="41"/>
      <c r="AB412" s="15"/>
      <c r="AC412" s="124"/>
      <c r="AD412" s="15"/>
      <c r="AF412" s="60"/>
      <c r="AG412" s="33"/>
      <c r="AH412" s="60"/>
      <c r="AI412" s="58"/>
    </row>
    <row r="413" spans="1:35">
      <c r="A413" s="42"/>
      <c r="B413" s="35" t="s">
        <v>58</v>
      </c>
      <c r="C413" s="81">
        <f>IF(C412=0,0,C414/C412)</f>
        <v>0.25299987770576005</v>
      </c>
      <c r="D413" s="82">
        <f>IF(D412=0,0,D414/D412)</f>
        <v>0.23529993259941587</v>
      </c>
      <c r="E413" s="81">
        <f>IF(E412=0,0,E414/E412)</f>
        <v>0.17278729823502789</v>
      </c>
      <c r="F413" s="82">
        <f>IF(F412=0,0,F414/F412)</f>
        <v>0.22110001957330203</v>
      </c>
      <c r="G413" s="81">
        <f>IF(G412=0,0,G414/G412)</f>
        <v>0.22019986096628433</v>
      </c>
      <c r="H413" s="82">
        <v>0.22020000000000001</v>
      </c>
      <c r="I413" s="81">
        <f t="shared" ref="I413:N413" si="241">IF(I412=0,0,I414/I412)</f>
        <v>0.22</v>
      </c>
      <c r="J413" s="82">
        <f t="shared" si="241"/>
        <v>0.22</v>
      </c>
      <c r="K413" s="81">
        <f t="shared" si="241"/>
        <v>0.22</v>
      </c>
      <c r="L413" s="82">
        <f t="shared" si="241"/>
        <v>0.22</v>
      </c>
      <c r="M413" s="81">
        <f t="shared" si="241"/>
        <v>0.21999999999999997</v>
      </c>
      <c r="N413" s="82">
        <f t="shared" si="241"/>
        <v>0.22</v>
      </c>
      <c r="O413" s="45">
        <f>IF(O412=0,0,+O414/O412)</f>
        <v>0.21549504235308847</v>
      </c>
      <c r="Q413" s="33"/>
      <c r="R413" s="47"/>
      <c r="S413" s="47"/>
      <c r="T413" s="47"/>
      <c r="U413" s="47"/>
      <c r="V413" s="41"/>
      <c r="AC413" s="124"/>
      <c r="AD413" s="15"/>
      <c r="AF413" s="47"/>
      <c r="AG413" s="33"/>
      <c r="AH413" s="47"/>
      <c r="AI413" s="58"/>
    </row>
    <row r="414" spans="1:35">
      <c r="A414" s="42"/>
      <c r="B414" s="35" t="s">
        <v>15</v>
      </c>
      <c r="C414" s="48">
        <f t="shared" ref="C414:N414" si="242">C36+C132+C320+C226</f>
        <v>6206.34</v>
      </c>
      <c r="D414" s="49">
        <f t="shared" si="242"/>
        <v>6283.92</v>
      </c>
      <c r="E414" s="48">
        <f t="shared" si="242"/>
        <v>11454.07</v>
      </c>
      <c r="F414" s="49">
        <f t="shared" si="242"/>
        <v>6777.6</v>
      </c>
      <c r="G414" s="48">
        <f t="shared" si="242"/>
        <v>7602.18</v>
      </c>
      <c r="H414" s="49">
        <f t="shared" si="242"/>
        <v>7289.7</v>
      </c>
      <c r="I414" s="48">
        <f t="shared" si="242"/>
        <v>7421.26</v>
      </c>
      <c r="J414" s="49">
        <f t="shared" si="242"/>
        <v>7572.18</v>
      </c>
      <c r="K414" s="48">
        <f t="shared" si="242"/>
        <v>6773.8</v>
      </c>
      <c r="L414" s="49">
        <f t="shared" si="242"/>
        <v>5524.64</v>
      </c>
      <c r="M414" s="48">
        <f t="shared" si="242"/>
        <v>8960.3799999999992</v>
      </c>
      <c r="N414" s="49">
        <f t="shared" si="242"/>
        <v>7632.9</v>
      </c>
      <c r="O414" s="50">
        <f>SUM(C414:N414)</f>
        <v>89498.97</v>
      </c>
      <c r="Q414" s="33"/>
      <c r="R414" s="40"/>
      <c r="S414" s="40"/>
      <c r="T414" s="40"/>
      <c r="U414" s="40"/>
      <c r="V414" s="41"/>
      <c r="AC414" s="124"/>
      <c r="AD414" s="15"/>
      <c r="AF414" s="40"/>
      <c r="AG414" s="33"/>
      <c r="AH414" s="40"/>
      <c r="AI414" s="58"/>
    </row>
    <row r="415" spans="1:35" ht="13.5" thickBot="1">
      <c r="A415" s="51"/>
      <c r="B415" s="52" t="s">
        <v>59</v>
      </c>
      <c r="C415" s="53">
        <f t="shared" ref="C415:O415" si="243">C414/C$385</f>
        <v>5.4127544230229176</v>
      </c>
      <c r="D415" s="54">
        <f t="shared" si="243"/>
        <v>6.2160469829927028</v>
      </c>
      <c r="E415" s="53">
        <f t="shared" si="243"/>
        <v>10.54212359814267</v>
      </c>
      <c r="F415" s="54">
        <f t="shared" si="243"/>
        <v>6.3499320747646033</v>
      </c>
      <c r="G415" s="53">
        <f t="shared" si="243"/>
        <v>6.4273394725005666</v>
      </c>
      <c r="H415" s="54">
        <f t="shared" si="243"/>
        <v>5.2011256012934135</v>
      </c>
      <c r="I415" s="53">
        <f t="shared" si="243"/>
        <v>5.1269357459461258</v>
      </c>
      <c r="J415" s="54">
        <f t="shared" si="243"/>
        <v>5.2154992798897419</v>
      </c>
      <c r="K415" s="53">
        <f t="shared" si="243"/>
        <v>5.5490338874612215</v>
      </c>
      <c r="L415" s="54">
        <f t="shared" si="243"/>
        <v>4.6146572735914146</v>
      </c>
      <c r="M415" s="53">
        <f t="shared" si="243"/>
        <v>8.5298365025345682</v>
      </c>
      <c r="N415" s="54">
        <f t="shared" si="243"/>
        <v>7.2854148531635134</v>
      </c>
      <c r="O415" s="55">
        <f t="shared" si="243"/>
        <v>6.2537777270016424</v>
      </c>
      <c r="Q415" s="33"/>
      <c r="R415" s="57"/>
      <c r="S415" s="57"/>
      <c r="T415" s="57"/>
      <c r="U415" s="57"/>
      <c r="V415" s="41"/>
      <c r="AC415" s="124"/>
      <c r="AD415" s="15"/>
      <c r="AF415" s="57"/>
      <c r="AG415" s="33"/>
      <c r="AH415" s="57"/>
      <c r="AI415" s="58"/>
    </row>
    <row r="416" spans="1:35">
      <c r="A416" s="28" t="s">
        <v>66</v>
      </c>
      <c r="B416" s="29" t="s">
        <v>55</v>
      </c>
      <c r="C416" s="120">
        <f t="shared" ref="C416:O416" si="244">C417/C$385</f>
        <v>38.621541338235886</v>
      </c>
      <c r="D416" s="121">
        <f t="shared" si="244"/>
        <v>42.791756807419787</v>
      </c>
      <c r="E416" s="120">
        <f t="shared" si="244"/>
        <v>35.242359676209503</v>
      </c>
      <c r="F416" s="121">
        <f t="shared" si="244"/>
        <v>29.882419075279895</v>
      </c>
      <c r="G416" s="120">
        <f t="shared" si="244"/>
        <v>37.175723798347633</v>
      </c>
      <c r="H416" s="121">
        <f t="shared" si="244"/>
        <v>36.480013014051465</v>
      </c>
      <c r="I416" s="120">
        <f t="shared" si="244"/>
        <v>35.146707712033958</v>
      </c>
      <c r="J416" s="121">
        <f t="shared" si="244"/>
        <v>36.256225630415038</v>
      </c>
      <c r="K416" s="120">
        <f t="shared" si="244"/>
        <v>35.969024761676948</v>
      </c>
      <c r="L416" s="121">
        <f t="shared" si="244"/>
        <v>36.29236364365341</v>
      </c>
      <c r="M416" s="120">
        <f t="shared" si="244"/>
        <v>33.38775315928509</v>
      </c>
      <c r="N416" s="121">
        <f t="shared" si="244"/>
        <v>34.527191093599676</v>
      </c>
      <c r="O416" s="32">
        <f t="shared" si="244"/>
        <v>35.982135651240618</v>
      </c>
      <c r="Q416" s="33"/>
      <c r="AC416" s="124"/>
      <c r="AG416" s="33"/>
      <c r="AI416" s="58"/>
    </row>
    <row r="417" spans="1:35">
      <c r="A417" s="34" t="s">
        <v>64</v>
      </c>
      <c r="B417" s="35" t="s">
        <v>57</v>
      </c>
      <c r="C417" s="36">
        <f t="shared" ref="C417:N417" si="245">C39+C135+C323+C229</f>
        <v>44284</v>
      </c>
      <c r="D417" s="37">
        <f t="shared" si="245"/>
        <v>43259</v>
      </c>
      <c r="E417" s="36">
        <f t="shared" si="245"/>
        <v>38291</v>
      </c>
      <c r="F417" s="37">
        <f t="shared" si="245"/>
        <v>31895</v>
      </c>
      <c r="G417" s="36">
        <f t="shared" si="245"/>
        <v>43971</v>
      </c>
      <c r="H417" s="37">
        <f t="shared" si="245"/>
        <v>51129</v>
      </c>
      <c r="I417" s="36">
        <f t="shared" si="245"/>
        <v>50875</v>
      </c>
      <c r="J417" s="37">
        <f t="shared" si="245"/>
        <v>52639</v>
      </c>
      <c r="K417" s="36">
        <f t="shared" si="245"/>
        <v>43908</v>
      </c>
      <c r="L417" s="37">
        <f t="shared" si="245"/>
        <v>43449</v>
      </c>
      <c r="M417" s="36">
        <f t="shared" si="245"/>
        <v>35073</v>
      </c>
      <c r="N417" s="37">
        <f t="shared" si="245"/>
        <v>36174</v>
      </c>
      <c r="O417" s="38">
        <f>SUM(C417:N417)</f>
        <v>514947</v>
      </c>
      <c r="Q417" s="33"/>
      <c r="R417" s="57"/>
      <c r="S417" s="57"/>
      <c r="T417" s="57"/>
      <c r="U417" s="57"/>
      <c r="V417" s="41"/>
      <c r="AB417" s="15"/>
      <c r="AC417" s="124"/>
      <c r="AD417" s="15"/>
      <c r="AF417" s="57"/>
      <c r="AG417" s="33"/>
      <c r="AH417" s="57"/>
      <c r="AI417" s="58"/>
    </row>
    <row r="418" spans="1:35">
      <c r="A418" s="42"/>
      <c r="B418" s="35" t="s">
        <v>58</v>
      </c>
      <c r="C418" s="81">
        <f>IF(C417=0,0,C419/C417)</f>
        <v>0.30306611868846534</v>
      </c>
      <c r="D418" s="82">
        <f>IF(D417=0,0,D419/D417)</f>
        <v>0.30867958112762667</v>
      </c>
      <c r="E418" s="81">
        <f>IF(E417=0,0,E419/E417)</f>
        <v>0.30069102400041786</v>
      </c>
      <c r="F418" s="82">
        <f>IF(F417=0,0,F419/F417)</f>
        <v>0.29932998902649316</v>
      </c>
      <c r="G418" s="81">
        <f>IF(G417=0,0,G419/G417)</f>
        <v>0.29607059198107838</v>
      </c>
      <c r="H418" s="82">
        <v>0.29607</v>
      </c>
      <c r="I418" s="81">
        <f t="shared" ref="I418:N418" si="246">IF(I417=0,0,I419/I417)</f>
        <v>0.29376746928746927</v>
      </c>
      <c r="J418" s="82">
        <f t="shared" si="246"/>
        <v>0.29465130416611257</v>
      </c>
      <c r="K418" s="81">
        <f t="shared" si="246"/>
        <v>0.29311560535665482</v>
      </c>
      <c r="L418" s="82">
        <f t="shared" si="246"/>
        <v>0.29323620796796246</v>
      </c>
      <c r="M418" s="81">
        <f t="shared" si="246"/>
        <v>0.29289396401790552</v>
      </c>
      <c r="N418" s="82">
        <f t="shared" si="246"/>
        <v>0.29402056725825176</v>
      </c>
      <c r="O418" s="45">
        <f>IF(O417=0,0,+O419/O417)</f>
        <v>0.29707272787296557</v>
      </c>
      <c r="Q418" s="33"/>
      <c r="R418" s="47"/>
      <c r="S418" s="47"/>
      <c r="T418" s="47"/>
      <c r="U418" s="47"/>
      <c r="V418" s="41"/>
      <c r="AC418" s="124"/>
      <c r="AD418" s="15"/>
      <c r="AF418" s="47"/>
      <c r="AG418" s="33"/>
      <c r="AH418" s="47"/>
      <c r="AI418" s="58"/>
    </row>
    <row r="419" spans="1:35">
      <c r="A419" s="42"/>
      <c r="B419" s="35" t="s">
        <v>15</v>
      </c>
      <c r="C419" s="48">
        <f t="shared" ref="C419:N419" si="247">C41+C137+C325+C231</f>
        <v>13420.98</v>
      </c>
      <c r="D419" s="49">
        <f t="shared" si="247"/>
        <v>13353.170000000002</v>
      </c>
      <c r="E419" s="48">
        <f t="shared" si="247"/>
        <v>11513.76</v>
      </c>
      <c r="F419" s="49">
        <f t="shared" si="247"/>
        <v>9547.1299999999992</v>
      </c>
      <c r="G419" s="48">
        <f t="shared" si="247"/>
        <v>13018.519999999999</v>
      </c>
      <c r="H419" s="49">
        <f t="shared" si="247"/>
        <v>15148.07</v>
      </c>
      <c r="I419" s="48">
        <f t="shared" si="247"/>
        <v>14945.42</v>
      </c>
      <c r="J419" s="49">
        <f t="shared" si="247"/>
        <v>15510.15</v>
      </c>
      <c r="K419" s="48">
        <f t="shared" si="247"/>
        <v>12870.12</v>
      </c>
      <c r="L419" s="49">
        <f t="shared" si="247"/>
        <v>12740.82</v>
      </c>
      <c r="M419" s="48">
        <f t="shared" si="247"/>
        <v>10272.67</v>
      </c>
      <c r="N419" s="49">
        <f t="shared" si="247"/>
        <v>10635.9</v>
      </c>
      <c r="O419" s="50">
        <f>SUM(C419:N419)</f>
        <v>152976.71</v>
      </c>
      <c r="Q419" s="33"/>
      <c r="R419" s="40"/>
      <c r="S419" s="40"/>
      <c r="T419" s="40"/>
      <c r="U419" s="40"/>
      <c r="V419" s="41"/>
      <c r="AC419" s="124"/>
      <c r="AD419" s="15"/>
      <c r="AF419" s="40"/>
      <c r="AG419" s="33"/>
      <c r="AH419" s="40"/>
      <c r="AI419" s="58"/>
    </row>
    <row r="420" spans="1:35" ht="13.5" thickBot="1">
      <c r="A420" s="51"/>
      <c r="B420" s="52" t="s">
        <v>59</v>
      </c>
      <c r="C420" s="53">
        <f t="shared" ref="C420:O420" si="248">C419/C$385</f>
        <v>11.704880631145267</v>
      </c>
      <c r="D420" s="54">
        <f t="shared" si="248"/>
        <v>13.208941567029607</v>
      </c>
      <c r="E420" s="53">
        <f t="shared" si="248"/>
        <v>10.59706121923047</v>
      </c>
      <c r="F420" s="54">
        <f t="shared" si="248"/>
        <v>8.9447041738886011</v>
      </c>
      <c r="G420" s="53">
        <f t="shared" si="248"/>
        <v>11.006638552301848</v>
      </c>
      <c r="H420" s="54">
        <f t="shared" si="248"/>
        <v>10.807991369629027</v>
      </c>
      <c r="I420" s="53">
        <f t="shared" si="248"/>
        <v>10.324959378350595</v>
      </c>
      <c r="J420" s="54">
        <f t="shared" si="248"/>
        <v>10.682944166142628</v>
      </c>
      <c r="K420" s="53">
        <f t="shared" si="248"/>
        <v>10.543082467107446</v>
      </c>
      <c r="L420" s="54">
        <f t="shared" si="248"/>
        <v>10.64223509305927</v>
      </c>
      <c r="M420" s="53">
        <f t="shared" si="248"/>
        <v>9.7790713724743572</v>
      </c>
      <c r="N420" s="54">
        <f t="shared" si="248"/>
        <v>10.151704311174234</v>
      </c>
      <c r="O420" s="55">
        <f t="shared" si="248"/>
        <v>10.689311192609138</v>
      </c>
      <c r="Q420" s="33"/>
      <c r="R420" s="57"/>
      <c r="S420" s="57"/>
      <c r="T420" s="57"/>
      <c r="U420" s="57"/>
      <c r="V420" s="41"/>
      <c r="AC420" s="124"/>
      <c r="AD420" s="15"/>
      <c r="AF420" s="57"/>
      <c r="AG420" s="33"/>
      <c r="AH420" s="57"/>
      <c r="AI420" s="58"/>
    </row>
    <row r="421" spans="1:35">
      <c r="A421" s="28" t="s">
        <v>67</v>
      </c>
      <c r="B421" s="29" t="s">
        <v>55</v>
      </c>
      <c r="C421" s="120">
        <f t="shared" ref="C421:O421" si="249">C422/C$385</f>
        <v>386.11511807809774</v>
      </c>
      <c r="D421" s="121">
        <f t="shared" si="249"/>
        <v>359.6697658269357</v>
      </c>
      <c r="E421" s="120">
        <f t="shared" si="249"/>
        <v>428.91473117933197</v>
      </c>
      <c r="F421" s="121">
        <f t="shared" si="249"/>
        <v>488.29343701691096</v>
      </c>
      <c r="G421" s="120">
        <f t="shared" si="249"/>
        <v>377.45648417129695</v>
      </c>
      <c r="H421" s="121">
        <f t="shared" si="249"/>
        <v>391.76361802046569</v>
      </c>
      <c r="I421" s="120">
        <f t="shared" si="249"/>
        <v>422.72629298433719</v>
      </c>
      <c r="J421" s="121">
        <f t="shared" si="249"/>
        <v>360.34510190713854</v>
      </c>
      <c r="K421" s="120">
        <f t="shared" si="249"/>
        <v>442.20241055052071</v>
      </c>
      <c r="L421" s="121">
        <f t="shared" si="249"/>
        <v>364.40543470815925</v>
      </c>
      <c r="M421" s="120">
        <f t="shared" si="249"/>
        <v>434.76712915585813</v>
      </c>
      <c r="N421" s="121">
        <f t="shared" si="249"/>
        <v>428.27308684962054</v>
      </c>
      <c r="O421" s="32">
        <f t="shared" si="249"/>
        <v>405.66878284362895</v>
      </c>
    </row>
    <row r="422" spans="1:35">
      <c r="A422" s="34" t="s">
        <v>64</v>
      </c>
      <c r="B422" s="35" t="s">
        <v>57</v>
      </c>
      <c r="C422" s="36">
        <f t="shared" ref="C422:N422" si="250">C44+C140+C328+C234</f>
        <v>442725</v>
      </c>
      <c r="D422" s="37">
        <f t="shared" si="250"/>
        <v>363597</v>
      </c>
      <c r="E422" s="36">
        <f t="shared" si="250"/>
        <v>466018</v>
      </c>
      <c r="F422" s="37">
        <f t="shared" si="250"/>
        <v>521180</v>
      </c>
      <c r="G422" s="36">
        <f t="shared" si="250"/>
        <v>446451</v>
      </c>
      <c r="H422" s="37">
        <f t="shared" si="250"/>
        <v>549081</v>
      </c>
      <c r="I422" s="36">
        <f t="shared" si="250"/>
        <v>611898</v>
      </c>
      <c r="J422" s="37">
        <f t="shared" si="250"/>
        <v>523171</v>
      </c>
      <c r="K422" s="36">
        <f t="shared" si="250"/>
        <v>539804</v>
      </c>
      <c r="L422" s="37">
        <f t="shared" si="250"/>
        <v>436264</v>
      </c>
      <c r="M422" s="36">
        <f t="shared" si="250"/>
        <v>456712</v>
      </c>
      <c r="N422" s="37">
        <f t="shared" si="250"/>
        <v>448700</v>
      </c>
      <c r="O422" s="38">
        <f>SUM(C422:N422)</f>
        <v>5805601</v>
      </c>
    </row>
    <row r="423" spans="1:35">
      <c r="A423" s="34"/>
      <c r="B423" s="35" t="s">
        <v>58</v>
      </c>
      <c r="C423" s="81">
        <f>IF(C422=0,0,C424/C422)</f>
        <v>0.14570724490372128</v>
      </c>
      <c r="D423" s="125">
        <f>IF(D422=0,0,D424/D422)</f>
        <v>0.14651735300346261</v>
      </c>
      <c r="E423" s="126">
        <f>IF(E422=0,0,E424/E422)</f>
        <v>0.14888459244063532</v>
      </c>
      <c r="F423" s="125">
        <f>IF(F422=0,0,F424/F422)</f>
        <v>0.14685162515829464</v>
      </c>
      <c r="G423" s="126">
        <f>IF(G422=0,0,G424/G422)</f>
        <v>0.14689856221623424</v>
      </c>
      <c r="H423" s="125">
        <v>0.14699999999999999</v>
      </c>
      <c r="I423" s="126">
        <f t="shared" ref="I423:N423" si="251">IF(I422=0,0,I424/I422)</f>
        <v>0.14712033704963901</v>
      </c>
      <c r="J423" s="125">
        <f t="shared" si="251"/>
        <v>0.14707030779611255</v>
      </c>
      <c r="K423" s="126">
        <f t="shared" si="251"/>
        <v>0.14707275233232803</v>
      </c>
      <c r="L423" s="125">
        <f t="shared" si="251"/>
        <v>0.14708426549062037</v>
      </c>
      <c r="M423" s="126">
        <f t="shared" si="251"/>
        <v>0.14708336982606104</v>
      </c>
      <c r="N423" s="125">
        <f t="shared" si="251"/>
        <v>0.1469470247381324</v>
      </c>
      <c r="O423" s="45">
        <f>IF(O422=0,0,+O424/O422)</f>
        <v>0.14702993023461308</v>
      </c>
    </row>
    <row r="424" spans="1:35">
      <c r="A424" s="34"/>
      <c r="B424" s="35" t="s">
        <v>15</v>
      </c>
      <c r="C424" s="48">
        <f t="shared" ref="C424:N424" si="252">C46+C142+C330+C236</f>
        <v>64508.240000000005</v>
      </c>
      <c r="D424" s="49">
        <f t="shared" si="252"/>
        <v>53273.27</v>
      </c>
      <c r="E424" s="48">
        <f t="shared" si="252"/>
        <v>69382.899999999994</v>
      </c>
      <c r="F424" s="49">
        <f t="shared" si="252"/>
        <v>76536.13</v>
      </c>
      <c r="G424" s="48">
        <f t="shared" si="252"/>
        <v>65583.009999999995</v>
      </c>
      <c r="H424" s="49">
        <f t="shared" si="252"/>
        <v>80680.100000000006</v>
      </c>
      <c r="I424" s="48">
        <f t="shared" si="252"/>
        <v>90022.64</v>
      </c>
      <c r="J424" s="49">
        <f t="shared" si="252"/>
        <v>76942.92</v>
      </c>
      <c r="K424" s="48">
        <f t="shared" si="252"/>
        <v>79390.459999999992</v>
      </c>
      <c r="L424" s="49">
        <f t="shared" si="252"/>
        <v>64167.57</v>
      </c>
      <c r="M424" s="48">
        <f t="shared" si="252"/>
        <v>67174.739999999991</v>
      </c>
      <c r="N424" s="49">
        <f t="shared" si="252"/>
        <v>65935.13</v>
      </c>
      <c r="O424" s="50">
        <f>SUM(C424:N424)</f>
        <v>853597.11</v>
      </c>
    </row>
    <row r="425" spans="1:35" ht="13.5" thickBot="1">
      <c r="A425" s="127"/>
      <c r="B425" s="52" t="s">
        <v>59</v>
      </c>
      <c r="C425" s="53">
        <f t="shared" ref="C425:O425" si="253">C424/C$385</f>
        <v>56.259770070834655</v>
      </c>
      <c r="D425" s="128">
        <f t="shared" si="253"/>
        <v>52.697862044337874</v>
      </c>
      <c r="E425" s="129">
        <f t="shared" si="253"/>
        <v>63.858794943419497</v>
      </c>
      <c r="F425" s="128">
        <f t="shared" si="253"/>
        <v>71.706684780062773</v>
      </c>
      <c r="G425" s="129">
        <f t="shared" si="253"/>
        <v>55.447814823958304</v>
      </c>
      <c r="H425" s="128">
        <f t="shared" si="253"/>
        <v>57.564417414284918</v>
      </c>
      <c r="I425" s="129">
        <f t="shared" si="253"/>
        <v>62.19163470360013</v>
      </c>
      <c r="J425" s="128">
        <f t="shared" si="253"/>
        <v>52.996065050304409</v>
      </c>
      <c r="K425" s="129">
        <f t="shared" si="253"/>
        <v>65.035925607655159</v>
      </c>
      <c r="L425" s="128">
        <f t="shared" si="253"/>
        <v>53.598305704839817</v>
      </c>
      <c r="M425" s="129">
        <f t="shared" si="253"/>
        <v>63.947014445845923</v>
      </c>
      <c r="N425" s="128">
        <f t="shared" si="253"/>
        <v>62.933455887967511</v>
      </c>
      <c r="O425" s="55">
        <f t="shared" si="253"/>
        <v>59.645452839859175</v>
      </c>
    </row>
    <row r="426" spans="1:35">
      <c r="A426" s="28" t="s">
        <v>68</v>
      </c>
      <c r="B426" s="29" t="s">
        <v>55</v>
      </c>
      <c r="C426" s="120">
        <f t="shared" ref="C426:O426" si="254">C427/C$385</f>
        <v>17.095552644569139</v>
      </c>
      <c r="D426" s="121">
        <f t="shared" si="254"/>
        <v>21.61498596821308</v>
      </c>
      <c r="E426" s="120">
        <f t="shared" si="254"/>
        <v>20.610121444448026</v>
      </c>
      <c r="F426" s="121">
        <f t="shared" si="254"/>
        <v>21.41659249543261</v>
      </c>
      <c r="G426" s="120">
        <f t="shared" si="254"/>
        <v>19.728810234801166</v>
      </c>
      <c r="H426" s="121">
        <f t="shared" si="254"/>
        <v>17.607497920177629</v>
      </c>
      <c r="I426" s="120">
        <f t="shared" si="254"/>
        <v>17.533630304303134</v>
      </c>
      <c r="J426" s="121">
        <f t="shared" si="254"/>
        <v>17.091856589577102</v>
      </c>
      <c r="K426" s="120">
        <f t="shared" si="254"/>
        <v>20.281523072096153</v>
      </c>
      <c r="L426" s="121">
        <f t="shared" si="254"/>
        <v>21.864459728331415</v>
      </c>
      <c r="M426" s="120">
        <f t="shared" si="254"/>
        <v>23.019110402436993</v>
      </c>
      <c r="N426" s="121">
        <f t="shared" si="254"/>
        <v>21.835532444525896</v>
      </c>
      <c r="O426" s="32">
        <f t="shared" si="254"/>
        <v>19.76810445815633</v>
      </c>
      <c r="Q426" s="33"/>
      <c r="AC426" s="124"/>
      <c r="AG426" s="33"/>
      <c r="AI426" s="58"/>
    </row>
    <row r="427" spans="1:35">
      <c r="A427" s="34" t="s">
        <v>64</v>
      </c>
      <c r="B427" s="35" t="s">
        <v>57</v>
      </c>
      <c r="C427" s="36">
        <f t="shared" ref="C427:N427" si="255">C49+C145+C333+C239</f>
        <v>19602</v>
      </c>
      <c r="D427" s="37">
        <f t="shared" si="255"/>
        <v>21851</v>
      </c>
      <c r="E427" s="36">
        <f t="shared" si="255"/>
        <v>22393</v>
      </c>
      <c r="F427" s="37">
        <f t="shared" si="255"/>
        <v>22859</v>
      </c>
      <c r="G427" s="36">
        <f t="shared" si="255"/>
        <v>23335</v>
      </c>
      <c r="H427" s="37">
        <f t="shared" si="255"/>
        <v>24678</v>
      </c>
      <c r="I427" s="36">
        <f t="shared" si="255"/>
        <v>25380</v>
      </c>
      <c r="J427" s="37">
        <f t="shared" si="255"/>
        <v>24815</v>
      </c>
      <c r="K427" s="36">
        <f t="shared" si="255"/>
        <v>24758</v>
      </c>
      <c r="L427" s="37">
        <f t="shared" si="255"/>
        <v>26176</v>
      </c>
      <c r="M427" s="36">
        <f t="shared" si="255"/>
        <v>24181</v>
      </c>
      <c r="N427" s="37">
        <f t="shared" si="255"/>
        <v>22877</v>
      </c>
      <c r="O427" s="38">
        <f>SUM(C427:N427)</f>
        <v>282905</v>
      </c>
      <c r="Q427" s="33"/>
      <c r="R427" s="57"/>
      <c r="S427" s="57"/>
      <c r="T427" s="57"/>
      <c r="U427" s="57"/>
      <c r="V427" s="41"/>
      <c r="AB427" s="15"/>
      <c r="AC427" s="124"/>
      <c r="AD427" s="15"/>
      <c r="AF427" s="57"/>
      <c r="AG427" s="33"/>
      <c r="AH427" s="57"/>
      <c r="AI427" s="58"/>
    </row>
    <row r="428" spans="1:35">
      <c r="A428" s="42"/>
      <c r="B428" s="35" t="s">
        <v>58</v>
      </c>
      <c r="C428" s="81">
        <f>IF(C427=0,0,C429/C427)</f>
        <v>0.2898270584634221</v>
      </c>
      <c r="D428" s="122">
        <f>IF(D427=0,0,D429/D427)</f>
        <v>0.28937897579058164</v>
      </c>
      <c r="E428" s="123">
        <f>IF(E427=0,0,E429/E427)</f>
        <v>0.29866788728620552</v>
      </c>
      <c r="F428" s="122">
        <f>IF(F427=0,0,F429/F427)</f>
        <v>0.32027822739402423</v>
      </c>
      <c r="G428" s="123">
        <f>IF(G427=0,0,G429/G427)</f>
        <v>0.30916777373044785</v>
      </c>
      <c r="H428" s="122">
        <v>0.30919999999999997</v>
      </c>
      <c r="I428" s="123">
        <f t="shared" ref="I428:N428" si="256">IF(I427=0,0,I429/I427)</f>
        <v>0.31114263199369585</v>
      </c>
      <c r="J428" s="122">
        <f t="shared" si="256"/>
        <v>0.31020713278259116</v>
      </c>
      <c r="K428" s="123">
        <f t="shared" si="256"/>
        <v>0.30630018579852974</v>
      </c>
      <c r="L428" s="122">
        <f t="shared" si="256"/>
        <v>0.30804935819070906</v>
      </c>
      <c r="M428" s="123">
        <f t="shared" si="256"/>
        <v>0.30711467681237337</v>
      </c>
      <c r="N428" s="122">
        <f t="shared" si="256"/>
        <v>0.31368098964025004</v>
      </c>
      <c r="O428" s="45">
        <f>IF(O427=0,0,+O429/O427)</f>
        <v>0.30697767801912307</v>
      </c>
      <c r="Q428" s="33"/>
      <c r="R428" s="47"/>
      <c r="S428" s="47"/>
      <c r="T428" s="68"/>
      <c r="U428" s="47"/>
      <c r="V428" s="41"/>
      <c r="AC428" s="124"/>
      <c r="AD428" s="15"/>
      <c r="AF428" s="47"/>
      <c r="AG428" s="33"/>
      <c r="AH428" s="68"/>
      <c r="AI428" s="58"/>
    </row>
    <row r="429" spans="1:35">
      <c r="A429" s="42"/>
      <c r="B429" s="35" t="s">
        <v>15</v>
      </c>
      <c r="C429" s="48">
        <f t="shared" ref="C429:N429" si="257">C51+C147+C335+C241</f>
        <v>5681.1900000000005</v>
      </c>
      <c r="D429" s="49">
        <f t="shared" si="257"/>
        <v>6323.2199999999993</v>
      </c>
      <c r="E429" s="48">
        <f t="shared" si="257"/>
        <v>6688.0700000000006</v>
      </c>
      <c r="F429" s="49">
        <f t="shared" si="257"/>
        <v>7321.24</v>
      </c>
      <c r="G429" s="48">
        <f t="shared" si="257"/>
        <v>7214.43</v>
      </c>
      <c r="H429" s="49">
        <f t="shared" si="257"/>
        <v>7773.48</v>
      </c>
      <c r="I429" s="48">
        <f t="shared" si="257"/>
        <v>7896.8</v>
      </c>
      <c r="J429" s="49">
        <f t="shared" si="257"/>
        <v>7697.79</v>
      </c>
      <c r="K429" s="48">
        <f t="shared" si="257"/>
        <v>7583.38</v>
      </c>
      <c r="L429" s="49">
        <f t="shared" si="257"/>
        <v>8063.5</v>
      </c>
      <c r="M429" s="48">
        <f t="shared" si="257"/>
        <v>7426.34</v>
      </c>
      <c r="N429" s="49">
        <f t="shared" si="257"/>
        <v>7176.08</v>
      </c>
      <c r="O429" s="50">
        <f>SUM(C429:N429)</f>
        <v>86845.52</v>
      </c>
      <c r="Q429" s="33"/>
      <c r="R429" s="40"/>
      <c r="S429" s="40"/>
      <c r="T429" s="40"/>
      <c r="U429" s="40"/>
      <c r="V429" s="41"/>
      <c r="AC429" s="124"/>
      <c r="AD429" s="15"/>
      <c r="AF429" s="40"/>
      <c r="AG429" s="33"/>
      <c r="AH429" s="40"/>
      <c r="AI429" s="58"/>
    </row>
    <row r="430" spans="1:35" ht="13.5" thickBot="1">
      <c r="A430" s="51"/>
      <c r="B430" s="52" t="s">
        <v>59</v>
      </c>
      <c r="C430" s="53">
        <f t="shared" ref="C430:O430" si="258">C429/C$385</f>
        <v>4.9547537357820506</v>
      </c>
      <c r="D430" s="54">
        <f t="shared" si="258"/>
        <v>6.254922501209295</v>
      </c>
      <c r="E430" s="53">
        <f t="shared" si="258"/>
        <v>6.1555814285254105</v>
      </c>
      <c r="F430" s="54">
        <f t="shared" si="258"/>
        <v>6.859268281257318</v>
      </c>
      <c r="G430" s="53">
        <f t="shared" si="258"/>
        <v>6.09951233864395</v>
      </c>
      <c r="H430" s="54">
        <f t="shared" si="258"/>
        <v>5.5462976307862224</v>
      </c>
      <c r="I430" s="53">
        <f t="shared" si="258"/>
        <v>5.4554598812853028</v>
      </c>
      <c r="J430" s="54">
        <f t="shared" si="258"/>
        <v>5.3020158265839505</v>
      </c>
      <c r="K430" s="53">
        <f t="shared" si="258"/>
        <v>6.2122342852602195</v>
      </c>
      <c r="L430" s="54">
        <f t="shared" si="258"/>
        <v>6.7353327864990975</v>
      </c>
      <c r="M430" s="53">
        <f t="shared" si="258"/>
        <v>7.0695066517527794</v>
      </c>
      <c r="N430" s="54">
        <f t="shared" si="258"/>
        <v>6.849391426520671</v>
      </c>
      <c r="O430" s="55">
        <f t="shared" si="258"/>
        <v>6.0683668054043052</v>
      </c>
      <c r="Q430" s="33"/>
      <c r="R430" s="57"/>
      <c r="S430" s="57"/>
      <c r="T430" s="57"/>
      <c r="U430" s="57"/>
      <c r="V430" s="41"/>
      <c r="AC430" s="124"/>
      <c r="AD430" s="15"/>
      <c r="AF430" s="57"/>
      <c r="AG430" s="33"/>
      <c r="AH430" s="57"/>
      <c r="AI430" s="58"/>
    </row>
    <row r="431" spans="1:35">
      <c r="A431" s="28" t="s">
        <v>69</v>
      </c>
      <c r="B431" s="29" t="s">
        <v>55</v>
      </c>
      <c r="C431" s="120">
        <f t="shared" ref="C431:O431" si="259">C432/C$385</f>
        <v>0.91225120223545153</v>
      </c>
      <c r="D431" s="121">
        <f t="shared" si="259"/>
        <v>0.9199550112323539</v>
      </c>
      <c r="E431" s="120">
        <f t="shared" si="259"/>
        <v>0.80257338898578479</v>
      </c>
      <c r="F431" s="121">
        <f t="shared" si="259"/>
        <v>0.66894645617651183</v>
      </c>
      <c r="G431" s="120">
        <f t="shared" si="259"/>
        <v>0.63747687666766994</v>
      </c>
      <c r="H431" s="121">
        <f t="shared" si="259"/>
        <v>8.2764800986328102E-2</v>
      </c>
      <c r="I431" s="120">
        <f t="shared" si="259"/>
        <v>0.88773502525727055</v>
      </c>
      <c r="J431" s="121">
        <f t="shared" si="259"/>
        <v>0.64606735768782275</v>
      </c>
      <c r="K431" s="120">
        <f t="shared" si="259"/>
        <v>0.50380227358183749</v>
      </c>
      <c r="L431" s="121">
        <f t="shared" si="259"/>
        <v>0.59555928278958969</v>
      </c>
      <c r="M431" s="120">
        <f t="shared" si="259"/>
        <v>0.59020919108022563</v>
      </c>
      <c r="N431" s="121">
        <f t="shared" si="259"/>
        <v>0.28634260319787419</v>
      </c>
      <c r="O431" s="32">
        <f t="shared" si="259"/>
        <v>0.62210082533347166</v>
      </c>
      <c r="Q431" s="33"/>
    </row>
    <row r="432" spans="1:35">
      <c r="A432" s="34" t="s">
        <v>56</v>
      </c>
      <c r="B432" s="35" t="s">
        <v>57</v>
      </c>
      <c r="C432" s="36">
        <f t="shared" ref="C432:N432" si="260">C54+C150+C338+C244</f>
        <v>1046</v>
      </c>
      <c r="D432" s="37">
        <f t="shared" si="260"/>
        <v>930</v>
      </c>
      <c r="E432" s="36">
        <f t="shared" si="260"/>
        <v>872</v>
      </c>
      <c r="F432" s="37">
        <f t="shared" si="260"/>
        <v>714</v>
      </c>
      <c r="G432" s="36">
        <f t="shared" si="260"/>
        <v>754</v>
      </c>
      <c r="H432" s="37">
        <f t="shared" si="260"/>
        <v>116</v>
      </c>
      <c r="I432" s="36">
        <f t="shared" si="260"/>
        <v>1285</v>
      </c>
      <c r="J432" s="37">
        <f t="shared" si="260"/>
        <v>938</v>
      </c>
      <c r="K432" s="36">
        <f t="shared" si="260"/>
        <v>615</v>
      </c>
      <c r="L432" s="37">
        <f t="shared" si="260"/>
        <v>713</v>
      </c>
      <c r="M432" s="36">
        <f t="shared" si="260"/>
        <v>620</v>
      </c>
      <c r="N432" s="37">
        <f t="shared" si="260"/>
        <v>300</v>
      </c>
      <c r="O432" s="38">
        <f>SUM(C432:N432)</f>
        <v>8903</v>
      </c>
      <c r="Q432" s="33"/>
      <c r="R432" s="57"/>
      <c r="S432" s="57"/>
      <c r="T432" s="57"/>
      <c r="U432" s="57"/>
      <c r="V432" s="41"/>
    </row>
    <row r="433" spans="1:35">
      <c r="A433" s="42"/>
      <c r="B433" s="35" t="s">
        <v>58</v>
      </c>
      <c r="C433" s="81">
        <f>IF(C432=0,0,C434/C432)</f>
        <v>1.2084034416826004</v>
      </c>
      <c r="D433" s="122">
        <f>IF(D432=0,0,D434/D432)</f>
        <v>1.1306989247311827</v>
      </c>
      <c r="E433" s="123">
        <f>IF(E432=0,0,E434/E432)</f>
        <v>1.1306995412844036</v>
      </c>
      <c r="F433" s="122">
        <f>IF(F432=0,0,F434/F432)</f>
        <v>1.1192717086834734</v>
      </c>
      <c r="G433" s="123">
        <f>IF(G432=0,0,G434/G432)</f>
        <v>1.1061007957559681</v>
      </c>
      <c r="H433" s="122">
        <v>1.1061000000000001</v>
      </c>
      <c r="I433" s="123">
        <f t="shared" ref="I433:N433" si="261">IF(I432=0,0,I434/I432)</f>
        <v>1.0983968871595331</v>
      </c>
      <c r="J433" s="122">
        <f t="shared" si="261"/>
        <v>1.1048507462686565</v>
      </c>
      <c r="K433" s="123">
        <f t="shared" si="261"/>
        <v>1.0946666666666667</v>
      </c>
      <c r="L433" s="122">
        <f t="shared" si="261"/>
        <v>2.5400420757363258</v>
      </c>
      <c r="M433" s="123">
        <f t="shared" si="261"/>
        <v>1.0928064516129032</v>
      </c>
      <c r="N433" s="122">
        <f t="shared" si="261"/>
        <v>1.1034333333333335</v>
      </c>
      <c r="O433" s="45">
        <f>IF(O432=0,0,+O434/O432)</f>
        <v>1.2358373581938675</v>
      </c>
      <c r="Q433" s="33"/>
      <c r="R433" s="47"/>
      <c r="S433" s="47"/>
      <c r="T433" s="47"/>
      <c r="U433" s="47"/>
      <c r="V433" s="41"/>
    </row>
    <row r="434" spans="1:35">
      <c r="A434" s="42"/>
      <c r="B434" s="35" t="s">
        <v>15</v>
      </c>
      <c r="C434" s="48">
        <f t="shared" ref="C434:N434" si="262">C56+C152+C340+C246</f>
        <v>1263.99</v>
      </c>
      <c r="D434" s="49">
        <f t="shared" si="262"/>
        <v>1051.55</v>
      </c>
      <c r="E434" s="48">
        <f t="shared" si="262"/>
        <v>985.97</v>
      </c>
      <c r="F434" s="49">
        <f t="shared" si="262"/>
        <v>799.16</v>
      </c>
      <c r="G434" s="48">
        <f t="shared" si="262"/>
        <v>834</v>
      </c>
      <c r="H434" s="49">
        <f t="shared" si="262"/>
        <v>127.36</v>
      </c>
      <c r="I434" s="48">
        <f t="shared" si="262"/>
        <v>1411.44</v>
      </c>
      <c r="J434" s="49">
        <f t="shared" si="262"/>
        <v>1036.3499999999999</v>
      </c>
      <c r="K434" s="48">
        <f t="shared" si="262"/>
        <v>673.22</v>
      </c>
      <c r="L434" s="49">
        <f t="shared" si="262"/>
        <v>1811.0500000000002</v>
      </c>
      <c r="M434" s="48">
        <f t="shared" si="262"/>
        <v>677.54</v>
      </c>
      <c r="N434" s="49">
        <f t="shared" si="262"/>
        <v>331.03000000000003</v>
      </c>
      <c r="O434" s="50">
        <f>SUM(C434:N434)</f>
        <v>11002.660000000002</v>
      </c>
      <c r="Q434" s="33"/>
      <c r="R434" s="40"/>
      <c r="S434" s="40"/>
      <c r="T434" s="40"/>
      <c r="U434" s="40"/>
      <c r="V434" s="41"/>
    </row>
    <row r="435" spans="1:35" ht="13.5" thickBot="1">
      <c r="A435" s="51"/>
      <c r="B435" s="52" t="s">
        <v>59</v>
      </c>
      <c r="C435" s="53">
        <f t="shared" ref="C435:O435" si="263">C434/C$385</f>
        <v>1.1023674924604094</v>
      </c>
      <c r="D435" s="54">
        <f t="shared" si="263"/>
        <v>1.0401921420014857</v>
      </c>
      <c r="E435" s="53">
        <f t="shared" si="263"/>
        <v>0.90746936277329615</v>
      </c>
      <c r="F435" s="54">
        <f t="shared" si="263"/>
        <v>0.74873284302243859</v>
      </c>
      <c r="G435" s="53">
        <f t="shared" si="263"/>
        <v>0.70511368055813894</v>
      </c>
      <c r="H435" s="54">
        <f t="shared" si="263"/>
        <v>9.0870043565678849E-2</v>
      </c>
      <c r="I435" s="53">
        <f t="shared" si="263"/>
        <v>0.97508538836507541</v>
      </c>
      <c r="J435" s="54">
        <f t="shared" si="263"/>
        <v>0.71380800228121011</v>
      </c>
      <c r="K435" s="53">
        <f t="shared" si="263"/>
        <v>0.55149555548091811</v>
      </c>
      <c r="L435" s="54">
        <f t="shared" si="263"/>
        <v>1.5127456368809067</v>
      </c>
      <c r="M435" s="53">
        <f t="shared" si="263"/>
        <v>0.64498441181370336</v>
      </c>
      <c r="N435" s="54">
        <f t="shared" si="263"/>
        <v>0.31595997312197438</v>
      </c>
      <c r="O435" s="55">
        <f t="shared" si="263"/>
        <v>0.76881544051034223</v>
      </c>
      <c r="Q435" s="33"/>
      <c r="R435" s="57"/>
      <c r="S435" s="57"/>
      <c r="T435" s="57"/>
      <c r="U435" s="57"/>
      <c r="V435" s="41"/>
    </row>
    <row r="436" spans="1:35">
      <c r="A436" s="181" t="s">
        <v>70</v>
      </c>
      <c r="B436" s="29" t="s">
        <v>55</v>
      </c>
      <c r="C436" s="120">
        <f t="shared" ref="C436:O436" si="264">C437/C$385</f>
        <v>0.87998227825580355</v>
      </c>
      <c r="D436" s="121">
        <f t="shared" si="264"/>
        <v>2.8053681847902752</v>
      </c>
      <c r="E436" s="120">
        <f t="shared" si="264"/>
        <v>2.9461438281462122</v>
      </c>
      <c r="F436" s="121">
        <f t="shared" si="264"/>
        <v>3.4028200683936847</v>
      </c>
      <c r="G436" s="120">
        <f t="shared" si="264"/>
        <v>2.9810921314724195</v>
      </c>
      <c r="H436" s="121">
        <f t="shared" si="264"/>
        <v>3.0551627398573875</v>
      </c>
      <c r="I436" s="120">
        <f t="shared" si="264"/>
        <v>4.1457571101703348</v>
      </c>
      <c r="J436" s="121">
        <f t="shared" si="264"/>
        <v>3.7255632598437458</v>
      </c>
      <c r="K436" s="120">
        <f t="shared" si="264"/>
        <v>2.7532999048919606</v>
      </c>
      <c r="L436" s="121">
        <f t="shared" si="264"/>
        <v>2.948561386041026</v>
      </c>
      <c r="M436" s="120">
        <f t="shared" si="264"/>
        <v>4.6483733549108743</v>
      </c>
      <c r="N436" s="121">
        <f t="shared" si="264"/>
        <v>4.7265619034529101</v>
      </c>
      <c r="O436" s="32">
        <f t="shared" si="264"/>
        <v>3.2577316273949362</v>
      </c>
      <c r="P436" s="9"/>
      <c r="Q436" s="9"/>
      <c r="R436" s="9"/>
      <c r="S436" s="9"/>
      <c r="T436" s="9"/>
      <c r="U436" s="9"/>
      <c r="V436" s="70"/>
    </row>
    <row r="437" spans="1:35">
      <c r="A437" s="34" t="s">
        <v>71</v>
      </c>
      <c r="B437" s="35" t="s">
        <v>57</v>
      </c>
      <c r="C437" s="36">
        <f t="shared" ref="C437:N437" si="265">C59+C155+C343+C249</f>
        <v>1009</v>
      </c>
      <c r="D437" s="37">
        <f t="shared" si="265"/>
        <v>2836</v>
      </c>
      <c r="E437" s="36">
        <f t="shared" si="265"/>
        <v>3201</v>
      </c>
      <c r="F437" s="37">
        <f t="shared" si="265"/>
        <v>3632</v>
      </c>
      <c r="G437" s="36">
        <f t="shared" si="265"/>
        <v>3526</v>
      </c>
      <c r="H437" s="37">
        <f t="shared" si="265"/>
        <v>4282</v>
      </c>
      <c r="I437" s="36">
        <f t="shared" si="265"/>
        <v>6001</v>
      </c>
      <c r="J437" s="37">
        <f t="shared" si="265"/>
        <v>5409</v>
      </c>
      <c r="K437" s="36">
        <f t="shared" si="265"/>
        <v>3361</v>
      </c>
      <c r="L437" s="37">
        <f t="shared" si="265"/>
        <v>3530</v>
      </c>
      <c r="M437" s="36">
        <f t="shared" si="265"/>
        <v>4883</v>
      </c>
      <c r="N437" s="37">
        <f t="shared" si="265"/>
        <v>4952</v>
      </c>
      <c r="O437" s="38">
        <f>SUM(C437:N437)</f>
        <v>46622</v>
      </c>
      <c r="R437" s="15"/>
      <c r="S437" s="15"/>
      <c r="T437" s="15"/>
      <c r="U437" s="15"/>
      <c r="V437" s="71"/>
    </row>
    <row r="438" spans="1:35" ht="15.75">
      <c r="A438" s="34" t="s">
        <v>56</v>
      </c>
      <c r="B438" s="35" t="s">
        <v>58</v>
      </c>
      <c r="C438" s="81">
        <f>IF(C437=0,0,C439/C437)</f>
        <v>2.5499008919722495</v>
      </c>
      <c r="D438" s="122">
        <f>IF(D437=0,0,D439/D437)</f>
        <v>2.5776128349788432</v>
      </c>
      <c r="E438" s="123">
        <f>IF(E437=0,0,E439/E437)</f>
        <v>2.5112152452358636</v>
      </c>
      <c r="F438" s="122">
        <f>IF(F437=0,0,F439/F437)</f>
        <v>2.5100991189427315</v>
      </c>
      <c r="G438" s="123">
        <f>IF(G437=0,0,G439/G437)</f>
        <v>2.4899943278502557</v>
      </c>
      <c r="H438" s="122">
        <v>2.4900000000000002</v>
      </c>
      <c r="I438" s="123">
        <f t="shared" ref="I438:N438" si="266">IF(I437=0,0,I439/I437)</f>
        <v>2.4816730544909182</v>
      </c>
      <c r="J438" s="122">
        <f t="shared" si="266"/>
        <v>2.4756775744130155</v>
      </c>
      <c r="K438" s="123">
        <f t="shared" si="266"/>
        <v>2.4738559952395116</v>
      </c>
      <c r="L438" s="122">
        <f t="shared" si="266"/>
        <v>2.4712804532577901</v>
      </c>
      <c r="M438" s="123">
        <f t="shared" si="266"/>
        <v>2.4744030309236127</v>
      </c>
      <c r="N438" s="122">
        <f t="shared" si="266"/>
        <v>2.4734794022617126</v>
      </c>
      <c r="O438" s="45">
        <f>IF(O437=0,0,+O439/O437)</f>
        <v>2.4959664965037964</v>
      </c>
      <c r="R438" s="72"/>
      <c r="S438" s="15"/>
      <c r="T438" s="72"/>
      <c r="U438" s="15"/>
      <c r="V438" s="15"/>
    </row>
    <row r="439" spans="1:35">
      <c r="A439" s="42"/>
      <c r="B439" s="35" t="s">
        <v>15</v>
      </c>
      <c r="C439" s="48">
        <f t="shared" ref="C439:N439" si="267">C61+C157+C345+C251</f>
        <v>2572.85</v>
      </c>
      <c r="D439" s="49">
        <f t="shared" si="267"/>
        <v>7310.11</v>
      </c>
      <c r="E439" s="48">
        <f t="shared" si="267"/>
        <v>8038.4</v>
      </c>
      <c r="F439" s="49">
        <f t="shared" si="267"/>
        <v>9116.68</v>
      </c>
      <c r="G439" s="48">
        <f t="shared" si="267"/>
        <v>8779.7200000000012</v>
      </c>
      <c r="H439" s="49">
        <f t="shared" si="267"/>
        <v>10896.3</v>
      </c>
      <c r="I439" s="48">
        <f t="shared" si="267"/>
        <v>14892.52</v>
      </c>
      <c r="J439" s="49">
        <f t="shared" si="267"/>
        <v>13390.94</v>
      </c>
      <c r="K439" s="48">
        <f t="shared" si="267"/>
        <v>8314.6299999999992</v>
      </c>
      <c r="L439" s="49">
        <f t="shared" si="267"/>
        <v>8723.619999999999</v>
      </c>
      <c r="M439" s="48">
        <f t="shared" si="267"/>
        <v>12082.51</v>
      </c>
      <c r="N439" s="49">
        <f t="shared" si="267"/>
        <v>12248.67</v>
      </c>
      <c r="O439" s="50">
        <f>SUM(C439:N439)</f>
        <v>116366.95</v>
      </c>
      <c r="R439" s="15"/>
      <c r="S439" s="15"/>
      <c r="T439" s="15"/>
      <c r="U439" s="15"/>
      <c r="V439" s="15"/>
    </row>
    <row r="440" spans="1:35" ht="13.5" thickBot="1">
      <c r="A440" s="51"/>
      <c r="B440" s="52" t="s">
        <v>59</v>
      </c>
      <c r="C440" s="53">
        <f t="shared" ref="C440:O440" si="268">C439/C$385</f>
        <v>2.2438675962442458</v>
      </c>
      <c r="D440" s="54">
        <f t="shared" si="268"/>
        <v>7.2311530399567125</v>
      </c>
      <c r="E440" s="53">
        <f t="shared" si="268"/>
        <v>7.3984012958983163</v>
      </c>
      <c r="F440" s="54">
        <f t="shared" si="268"/>
        <v>8.5414156555956335</v>
      </c>
      <c r="G440" s="53">
        <f t="shared" si="268"/>
        <v>7.4229024981653522</v>
      </c>
      <c r="H440" s="54">
        <f t="shared" si="268"/>
        <v>7.774397422304542</v>
      </c>
      <c r="I440" s="53">
        <f t="shared" si="268"/>
        <v>10.288413710773858</v>
      </c>
      <c r="J440" s="54">
        <f t="shared" si="268"/>
        <v>9.2232934144522112</v>
      </c>
      <c r="K440" s="53">
        <f t="shared" si="268"/>
        <v>6.8112674764093546</v>
      </c>
      <c r="L440" s="54">
        <f t="shared" si="268"/>
        <v>7.2867221185538842</v>
      </c>
      <c r="M440" s="53">
        <f t="shared" si="268"/>
        <v>11.501949118256029</v>
      </c>
      <c r="N440" s="54">
        <f t="shared" si="268"/>
        <v>11.691053511705686</v>
      </c>
      <c r="O440" s="55">
        <f t="shared" si="268"/>
        <v>8.1311889965785511</v>
      </c>
      <c r="S440" s="8"/>
      <c r="V440" s="41"/>
    </row>
    <row r="441" spans="1:35">
      <c r="A441" s="28" t="s">
        <v>72</v>
      </c>
      <c r="B441" s="29" t="s">
        <v>55</v>
      </c>
      <c r="C441" s="120">
        <f t="shared" ref="C441:O441" si="269">C442/C$385</f>
        <v>3.7972674326320801</v>
      </c>
      <c r="D441" s="121">
        <f t="shared" si="269"/>
        <v>3.8024807130937295</v>
      </c>
      <c r="E441" s="120">
        <f t="shared" si="269"/>
        <v>5.4118480816931358</v>
      </c>
      <c r="F441" s="121">
        <f t="shared" si="269"/>
        <v>2.5483674521009974</v>
      </c>
      <c r="G441" s="120">
        <f t="shared" si="269"/>
        <v>3.9313892261335082</v>
      </c>
      <c r="H441" s="121">
        <f t="shared" si="269"/>
        <v>3.817169700662546</v>
      </c>
      <c r="I441" s="120">
        <f t="shared" si="269"/>
        <v>3.108799699344527</v>
      </c>
      <c r="J441" s="121">
        <f t="shared" si="269"/>
        <v>2.7895232394836698</v>
      </c>
      <c r="K441" s="120">
        <f t="shared" si="269"/>
        <v>3.9730748404421332</v>
      </c>
      <c r="L441" s="121">
        <f t="shared" si="269"/>
        <v>3.7170249767372709</v>
      </c>
      <c r="M441" s="120">
        <f t="shared" si="269"/>
        <v>6.7112496727670825</v>
      </c>
      <c r="N441" s="121">
        <f t="shared" si="269"/>
        <v>1.7180556191872454</v>
      </c>
      <c r="O441" s="32">
        <f t="shared" si="269"/>
        <v>3.738194985251047</v>
      </c>
      <c r="Q441" s="33"/>
    </row>
    <row r="442" spans="1:35">
      <c r="A442" s="34" t="s">
        <v>56</v>
      </c>
      <c r="B442" s="35" t="s">
        <v>57</v>
      </c>
      <c r="C442" s="36">
        <f t="shared" ref="C442:N442" si="270">C64+C160+C348+C254</f>
        <v>4354</v>
      </c>
      <c r="D442" s="37">
        <f t="shared" si="270"/>
        <v>3844</v>
      </c>
      <c r="E442" s="36">
        <f t="shared" si="270"/>
        <v>5880</v>
      </c>
      <c r="F442" s="37">
        <f t="shared" si="270"/>
        <v>2720</v>
      </c>
      <c r="G442" s="36">
        <f t="shared" si="270"/>
        <v>4650</v>
      </c>
      <c r="H442" s="37">
        <f t="shared" si="270"/>
        <v>5350</v>
      </c>
      <c r="I442" s="36">
        <f t="shared" si="270"/>
        <v>4500</v>
      </c>
      <c r="J442" s="37">
        <f t="shared" si="270"/>
        <v>4050</v>
      </c>
      <c r="K442" s="36">
        <f t="shared" si="270"/>
        <v>4850</v>
      </c>
      <c r="L442" s="37">
        <f t="shared" si="270"/>
        <v>4450</v>
      </c>
      <c r="M442" s="36">
        <f t="shared" si="270"/>
        <v>7050</v>
      </c>
      <c r="N442" s="37">
        <f t="shared" si="270"/>
        <v>1800</v>
      </c>
      <c r="O442" s="38">
        <f>SUM(C442:N442)</f>
        <v>53498</v>
      </c>
      <c r="Q442" s="33"/>
      <c r="R442" s="57"/>
      <c r="S442" s="57"/>
      <c r="T442" s="57"/>
      <c r="U442" s="60"/>
      <c r="V442" s="41"/>
    </row>
    <row r="443" spans="1:35" ht="15.75">
      <c r="A443" s="42"/>
      <c r="B443" s="35" t="s">
        <v>58</v>
      </c>
      <c r="C443" s="81">
        <f>IF(C442=0,0,C444/C442)</f>
        <v>0.17460496095544328</v>
      </c>
      <c r="D443" s="44">
        <f>IF(D442=0,0,D444/D442)</f>
        <v>0.15349635796045785</v>
      </c>
      <c r="E443" s="43">
        <f>IF(E442=0,0,E444/E442)</f>
        <v>0.15307312925170069</v>
      </c>
      <c r="F443" s="44">
        <f>IF(F442=0,0,F444/F442)</f>
        <v>0.14554779411764707</v>
      </c>
      <c r="G443" s="43">
        <f>IF(G442=0,0,G444/G442)</f>
        <v>0.14940215053763442</v>
      </c>
      <c r="H443" s="44">
        <v>0.14899999999999999</v>
      </c>
      <c r="I443" s="43">
        <f t="shared" ref="I443:N443" si="271">IF(I442=0,0,I444/I442)</f>
        <v>0.14189555555555555</v>
      </c>
      <c r="J443" s="44">
        <f t="shared" si="271"/>
        <v>0.14259506172839503</v>
      </c>
      <c r="K443" s="43">
        <f t="shared" si="271"/>
        <v>0.14244329896907215</v>
      </c>
      <c r="L443" s="44">
        <f t="shared" si="271"/>
        <v>0.14224044943820224</v>
      </c>
      <c r="M443" s="43">
        <f t="shared" si="271"/>
        <v>0.14054609929078016</v>
      </c>
      <c r="N443" s="44">
        <f t="shared" si="271"/>
        <v>0.14061666666666667</v>
      </c>
      <c r="O443" s="45">
        <f>IF(O442=0,0,+O444/O442)</f>
        <v>0.14752215036076113</v>
      </c>
      <c r="Q443" s="33"/>
      <c r="R443" s="46"/>
      <c r="S443" s="46"/>
      <c r="T443" s="47"/>
      <c r="U443" s="47"/>
      <c r="V443" s="41"/>
    </row>
    <row r="444" spans="1:35">
      <c r="A444" s="42"/>
      <c r="B444" s="35" t="s">
        <v>15</v>
      </c>
      <c r="C444" s="48">
        <f t="shared" ref="C444:N444" si="272">C66+C162+C350+C256</f>
        <v>760.23</v>
      </c>
      <c r="D444" s="49">
        <f t="shared" si="272"/>
        <v>590.04</v>
      </c>
      <c r="E444" s="48">
        <f t="shared" si="272"/>
        <v>900.07</v>
      </c>
      <c r="F444" s="49">
        <f t="shared" si="272"/>
        <v>395.89</v>
      </c>
      <c r="G444" s="48">
        <f t="shared" si="272"/>
        <v>694.72</v>
      </c>
      <c r="H444" s="49">
        <f t="shared" si="272"/>
        <v>767.37</v>
      </c>
      <c r="I444" s="48">
        <f t="shared" si="272"/>
        <v>638.53</v>
      </c>
      <c r="J444" s="49">
        <f t="shared" si="272"/>
        <v>577.50999999999988</v>
      </c>
      <c r="K444" s="48">
        <f t="shared" si="272"/>
        <v>690.84999999999991</v>
      </c>
      <c r="L444" s="49">
        <f t="shared" si="272"/>
        <v>632.97</v>
      </c>
      <c r="M444" s="48">
        <f t="shared" si="272"/>
        <v>990.85</v>
      </c>
      <c r="N444" s="49">
        <f t="shared" si="272"/>
        <v>253.11</v>
      </c>
      <c r="O444" s="50">
        <f>SUM(C444:N444)</f>
        <v>7892.1399999999994</v>
      </c>
      <c r="Q444" s="33"/>
      <c r="R444" s="40"/>
      <c r="S444" s="40"/>
      <c r="T444" s="40"/>
      <c r="U444" s="40"/>
      <c r="V444" s="41"/>
    </row>
    <row r="445" spans="1:35" ht="16.5" thickBot="1">
      <c r="A445" s="51"/>
      <c r="B445" s="52" t="s">
        <v>59</v>
      </c>
      <c r="C445" s="53">
        <f t="shared" ref="C445:O445" si="273">C444/C$385</f>
        <v>0.66302173181210067</v>
      </c>
      <c r="D445" s="54">
        <f t="shared" si="273"/>
        <v>0.58366694067477209</v>
      </c>
      <c r="E445" s="53">
        <f t="shared" si="273"/>
        <v>0.82840852089958184</v>
      </c>
      <c r="F445" s="54">
        <f t="shared" si="273"/>
        <v>0.37090926125450879</v>
      </c>
      <c r="G445" s="53">
        <f t="shared" si="273"/>
        <v>0.58735800498483248</v>
      </c>
      <c r="H445" s="54">
        <f t="shared" si="273"/>
        <v>0.54751056321447067</v>
      </c>
      <c r="I445" s="53">
        <f t="shared" si="273"/>
        <v>0.44112486044943572</v>
      </c>
      <c r="J445" s="54">
        <f t="shared" si="273"/>
        <v>0.39777223852696636</v>
      </c>
      <c r="K445" s="53">
        <f t="shared" si="273"/>
        <v>0.5659378873235974</v>
      </c>
      <c r="L445" s="54">
        <f t="shared" si="273"/>
        <v>0.52871130326413263</v>
      </c>
      <c r="M445" s="53">
        <f t="shared" si="273"/>
        <v>0.94323996287393808</v>
      </c>
      <c r="N445" s="54">
        <f t="shared" si="273"/>
        <v>0.24158725431804648</v>
      </c>
      <c r="O445" s="55">
        <f t="shared" si="273"/>
        <v>0.55146656269204819</v>
      </c>
      <c r="Q445" s="33"/>
      <c r="R445" s="56"/>
      <c r="S445" s="56"/>
      <c r="T445" s="57"/>
      <c r="U445" s="57"/>
      <c r="V445" s="41"/>
    </row>
    <row r="446" spans="1:35">
      <c r="A446" s="181" t="s">
        <v>73</v>
      </c>
      <c r="B446" s="29" t="s">
        <v>55</v>
      </c>
      <c r="C446" s="120">
        <f t="shared" ref="C446:O446" si="274">C447/C$385</f>
        <v>14.621311095102623</v>
      </c>
      <c r="D446" s="121">
        <f t="shared" si="274"/>
        <v>14.47989403700989</v>
      </c>
      <c r="E446" s="120">
        <f t="shared" si="274"/>
        <v>22.131513430679107</v>
      </c>
      <c r="F446" s="121">
        <f t="shared" si="274"/>
        <v>30.586967723801937</v>
      </c>
      <c r="G446" s="120">
        <f t="shared" si="274"/>
        <v>9.9324646513153674</v>
      </c>
      <c r="H446" s="121">
        <f t="shared" si="274"/>
        <v>1.9606695957795657</v>
      </c>
      <c r="I446" s="120">
        <f t="shared" si="274"/>
        <v>21.161944975627012</v>
      </c>
      <c r="J446" s="121">
        <f t="shared" si="274"/>
        <v>11.944669634352049</v>
      </c>
      <c r="K446" s="120">
        <f t="shared" si="274"/>
        <v>0.35143280547415984</v>
      </c>
      <c r="L446" s="121">
        <f t="shared" si="274"/>
        <v>1.6705730232527059E-2</v>
      </c>
      <c r="M446" s="120">
        <f t="shared" si="274"/>
        <v>8.7008258168923582</v>
      </c>
      <c r="N446" s="121">
        <f t="shared" si="274"/>
        <v>20.18619905010614</v>
      </c>
      <c r="O446" s="32">
        <f t="shared" si="274"/>
        <v>12.668692354965714</v>
      </c>
      <c r="Q446" s="33"/>
      <c r="AC446" s="124"/>
      <c r="AG446" s="33"/>
      <c r="AI446" s="58"/>
    </row>
    <row r="447" spans="1:35">
      <c r="A447" s="34" t="s">
        <v>64</v>
      </c>
      <c r="B447" s="35" t="s">
        <v>57</v>
      </c>
      <c r="C447" s="36">
        <f t="shared" ref="C447:N447" si="275">C69+C165+C353+C259</f>
        <v>16765</v>
      </c>
      <c r="D447" s="66">
        <f t="shared" si="275"/>
        <v>14638</v>
      </c>
      <c r="E447" s="65">
        <f t="shared" si="275"/>
        <v>24046</v>
      </c>
      <c r="F447" s="66">
        <f t="shared" si="275"/>
        <v>32647</v>
      </c>
      <c r="G447" s="65">
        <f t="shared" si="275"/>
        <v>11748</v>
      </c>
      <c r="H447" s="66">
        <f t="shared" si="275"/>
        <v>2748</v>
      </c>
      <c r="I447" s="65">
        <f t="shared" si="275"/>
        <v>30632</v>
      </c>
      <c r="J447" s="66">
        <f t="shared" si="275"/>
        <v>17342</v>
      </c>
      <c r="K447" s="65">
        <f t="shared" si="275"/>
        <v>429</v>
      </c>
      <c r="L447" s="66">
        <f t="shared" si="275"/>
        <v>20</v>
      </c>
      <c r="M447" s="65">
        <f t="shared" si="275"/>
        <v>9140</v>
      </c>
      <c r="N447" s="66">
        <f t="shared" si="275"/>
        <v>21149</v>
      </c>
      <c r="O447" s="67">
        <f>SUM(C447:N447)</f>
        <v>181304</v>
      </c>
      <c r="Q447" s="33"/>
      <c r="R447" s="57"/>
      <c r="S447" s="57"/>
      <c r="T447" s="57"/>
      <c r="U447" s="60"/>
      <c r="V447" s="41"/>
      <c r="AB447" s="15"/>
      <c r="AC447" s="124"/>
      <c r="AD447" s="15"/>
      <c r="AF447" s="57"/>
      <c r="AG447" s="33"/>
      <c r="AH447" s="57"/>
      <c r="AI447" s="58"/>
    </row>
    <row r="448" spans="1:35">
      <c r="A448" s="42"/>
      <c r="B448" s="35" t="s">
        <v>58</v>
      </c>
      <c r="C448" s="81">
        <f>IF(C447=0,0,C449/C447)</f>
        <v>0.1687998807038473</v>
      </c>
      <c r="D448" s="82">
        <f>IF(D447=0,0,D449/D447)</f>
        <v>0.18289998633693128</v>
      </c>
      <c r="E448" s="81">
        <f>IF(E447=0,0,E449/E447)</f>
        <v>0.1529892705647509</v>
      </c>
      <c r="F448" s="82">
        <f>IF(F447=0,0,F449/F447)</f>
        <v>0.12504793702330994</v>
      </c>
      <c r="G448" s="81">
        <f>IF(G447=0,0,G449/G447)</f>
        <v>9.8903643173306105E-2</v>
      </c>
      <c r="H448" s="82">
        <v>9.8900000000000002E-2</v>
      </c>
      <c r="I448" s="81">
        <f t="shared" ref="I448:N448" si="276">IF(I447=0,0,I449/I447)</f>
        <v>8.93999738835205E-2</v>
      </c>
      <c r="J448" s="82">
        <f t="shared" si="276"/>
        <v>8.9399723215315419E-2</v>
      </c>
      <c r="K448" s="81">
        <f t="shared" si="276"/>
        <v>8.9393939393939401E-2</v>
      </c>
      <c r="L448" s="82">
        <f t="shared" si="276"/>
        <v>8.9499999999999996E-2</v>
      </c>
      <c r="M448" s="81">
        <f t="shared" si="276"/>
        <v>0.19</v>
      </c>
      <c r="N448" s="82">
        <f t="shared" si="276"/>
        <v>0.17566315192207668</v>
      </c>
      <c r="O448" s="45">
        <f>IF(O447=0,0,+O449/O447)</f>
        <v>0.13500479857035694</v>
      </c>
      <c r="Q448" s="33"/>
      <c r="R448" s="47"/>
      <c r="S448" s="47"/>
      <c r="T448" s="47"/>
      <c r="U448" s="47"/>
      <c r="V448" s="41"/>
      <c r="AC448" s="124"/>
      <c r="AD448" s="15"/>
      <c r="AF448" s="47"/>
      <c r="AG448" s="33"/>
      <c r="AH448" s="47"/>
      <c r="AI448" s="58"/>
    </row>
    <row r="449" spans="1:35">
      <c r="A449" s="42"/>
      <c r="B449" s="35" t="s">
        <v>15</v>
      </c>
      <c r="C449" s="48">
        <f t="shared" ref="C449:N449" si="277">C71+C167+C355+C261</f>
        <v>2829.93</v>
      </c>
      <c r="D449" s="49">
        <f t="shared" si="277"/>
        <v>2677.29</v>
      </c>
      <c r="E449" s="48">
        <f t="shared" si="277"/>
        <v>3678.7799999999997</v>
      </c>
      <c r="F449" s="49">
        <f t="shared" si="277"/>
        <v>4082.4399999999996</v>
      </c>
      <c r="G449" s="48">
        <f t="shared" si="277"/>
        <v>1161.92</v>
      </c>
      <c r="H449" s="49">
        <f t="shared" si="277"/>
        <v>265.83999999999997</v>
      </c>
      <c r="I449" s="48">
        <f t="shared" si="277"/>
        <v>2738.5</v>
      </c>
      <c r="J449" s="49">
        <f t="shared" si="277"/>
        <v>1550.37</v>
      </c>
      <c r="K449" s="48">
        <f t="shared" si="277"/>
        <v>38.35</v>
      </c>
      <c r="L449" s="49">
        <f t="shared" si="277"/>
        <v>1.79</v>
      </c>
      <c r="M449" s="48">
        <f t="shared" si="277"/>
        <v>1736.6</v>
      </c>
      <c r="N449" s="49">
        <f t="shared" si="277"/>
        <v>3715.1</v>
      </c>
      <c r="O449" s="50">
        <f>SUM(C449:N449)</f>
        <v>24476.909999999993</v>
      </c>
      <c r="Q449" s="33"/>
      <c r="R449" s="40"/>
      <c r="S449" s="40"/>
      <c r="T449" s="40"/>
      <c r="U449" s="40"/>
      <c r="V449" s="41"/>
      <c r="AC449" s="124"/>
      <c r="AD449" s="15"/>
      <c r="AF449" s="40"/>
      <c r="AG449" s="33"/>
      <c r="AH449" s="40"/>
      <c r="AI449" s="58"/>
    </row>
    <row r="450" spans="1:35" ht="13.5" thickBot="1">
      <c r="A450" s="51"/>
      <c r="B450" s="52" t="s">
        <v>59</v>
      </c>
      <c r="C450" s="53">
        <f t="shared" ref="C450:O450" si="278">C449/C$385</f>
        <v>2.4680755685871616</v>
      </c>
      <c r="D450" s="54">
        <f t="shared" si="278"/>
        <v>2.6483724215293214</v>
      </c>
      <c r="E450" s="53">
        <f t="shared" si="278"/>
        <v>3.3858840962535837</v>
      </c>
      <c r="F450" s="54">
        <f t="shared" si="278"/>
        <v>3.8248372136599982</v>
      </c>
      <c r="G450" s="53">
        <f t="shared" si="278"/>
        <v>0.98235693970517124</v>
      </c>
      <c r="H450" s="54">
        <f t="shared" si="278"/>
        <v>0.18967409219142639</v>
      </c>
      <c r="I450" s="53">
        <f t="shared" si="278"/>
        <v>1.8918773281455528</v>
      </c>
      <c r="J450" s="54">
        <f t="shared" si="278"/>
        <v>1.067850159209456</v>
      </c>
      <c r="K450" s="53">
        <f t="shared" si="278"/>
        <v>3.1415962913599139E-2</v>
      </c>
      <c r="L450" s="54">
        <f t="shared" si="278"/>
        <v>1.4951628558111719E-3</v>
      </c>
      <c r="M450" s="53">
        <f t="shared" si="278"/>
        <v>1.6531569052095481</v>
      </c>
      <c r="N450" s="54">
        <f t="shared" si="278"/>
        <v>3.5459713504680748</v>
      </c>
      <c r="O450" s="55">
        <f t="shared" si="278"/>
        <v>1.710334259531967</v>
      </c>
      <c r="Q450" s="33"/>
      <c r="R450" s="57"/>
      <c r="S450" s="57"/>
      <c r="T450" s="57"/>
      <c r="U450" s="57"/>
      <c r="V450" s="41"/>
      <c r="AC450" s="124"/>
      <c r="AD450" s="15"/>
      <c r="AF450" s="57"/>
      <c r="AG450" s="33"/>
      <c r="AH450" s="57"/>
      <c r="AI450" s="58"/>
    </row>
    <row r="451" spans="1:35">
      <c r="A451" s="28" t="s">
        <v>74</v>
      </c>
      <c r="B451" s="29" t="s">
        <v>55</v>
      </c>
      <c r="C451" s="120">
        <f t="shared" ref="C451:O451" si="279">C452/C$385</f>
        <v>0</v>
      </c>
      <c r="D451" s="121">
        <f t="shared" si="279"/>
        <v>0</v>
      </c>
      <c r="E451" s="120">
        <f t="shared" si="279"/>
        <v>17.515796061684025</v>
      </c>
      <c r="F451" s="121">
        <f t="shared" si="279"/>
        <v>24.922471541668614</v>
      </c>
      <c r="G451" s="120">
        <f t="shared" si="279"/>
        <v>30.122896072668983</v>
      </c>
      <c r="H451" s="121">
        <f t="shared" si="279"/>
        <v>29.92375649453966</v>
      </c>
      <c r="I451" s="120">
        <f t="shared" si="279"/>
        <v>39.721479180713835</v>
      </c>
      <c r="J451" s="121">
        <f t="shared" si="279"/>
        <v>25.351600463129738</v>
      </c>
      <c r="K451" s="120">
        <f t="shared" si="279"/>
        <v>18.886441329153275</v>
      </c>
      <c r="L451" s="121">
        <f t="shared" si="279"/>
        <v>7.9293748548689686</v>
      </c>
      <c r="M451" s="120">
        <f t="shared" si="279"/>
        <v>6.7264808776981848</v>
      </c>
      <c r="N451" s="121">
        <f t="shared" si="279"/>
        <v>10.424779707090607</v>
      </c>
      <c r="O451" s="32">
        <f t="shared" si="279"/>
        <v>18.729476280266102</v>
      </c>
      <c r="Q451" s="33"/>
      <c r="AC451" s="124"/>
      <c r="AG451" s="33"/>
      <c r="AI451" s="58"/>
    </row>
    <row r="452" spans="1:35">
      <c r="A452" s="34" t="s">
        <v>64</v>
      </c>
      <c r="B452" s="35" t="s">
        <v>57</v>
      </c>
      <c r="C452" s="36">
        <f t="shared" ref="C452:N452" si="280">C74+C170+C358+C264</f>
        <v>0</v>
      </c>
      <c r="D452" s="37">
        <f t="shared" si="280"/>
        <v>0</v>
      </c>
      <c r="E452" s="36">
        <f t="shared" si="280"/>
        <v>19031</v>
      </c>
      <c r="F452" s="37">
        <f t="shared" si="280"/>
        <v>26601</v>
      </c>
      <c r="G452" s="36">
        <f t="shared" si="280"/>
        <v>35629</v>
      </c>
      <c r="H452" s="37">
        <f t="shared" si="280"/>
        <v>41940</v>
      </c>
      <c r="I452" s="36">
        <f t="shared" si="280"/>
        <v>57497</v>
      </c>
      <c r="J452" s="37">
        <f t="shared" si="280"/>
        <v>36807</v>
      </c>
      <c r="K452" s="36">
        <f t="shared" si="280"/>
        <v>23055</v>
      </c>
      <c r="L452" s="37">
        <f t="shared" si="280"/>
        <v>9493</v>
      </c>
      <c r="M452" s="36">
        <f t="shared" si="280"/>
        <v>7066</v>
      </c>
      <c r="N452" s="37">
        <f t="shared" si="280"/>
        <v>10922</v>
      </c>
      <c r="O452" s="38">
        <f>SUM(C452:N452)</f>
        <v>268041</v>
      </c>
      <c r="Q452" s="33"/>
      <c r="R452" s="57"/>
      <c r="S452" s="57"/>
      <c r="T452" s="57"/>
      <c r="U452" s="60"/>
      <c r="V452" s="41"/>
      <c r="AB452" s="15"/>
      <c r="AC452" s="124"/>
      <c r="AD452" s="15"/>
      <c r="AF452" s="57"/>
      <c r="AG452" s="33"/>
      <c r="AH452" s="57"/>
      <c r="AI452" s="58"/>
    </row>
    <row r="453" spans="1:35">
      <c r="A453" s="42"/>
      <c r="B453" s="35" t="s">
        <v>58</v>
      </c>
      <c r="C453" s="81">
        <f>IF(C452=0,0,C454/C452)</f>
        <v>0</v>
      </c>
      <c r="D453" s="82">
        <f>IF(D452=0,0,D454/D452)</f>
        <v>0</v>
      </c>
      <c r="E453" s="81">
        <f>IF(E452=0,0,E454/E452)</f>
        <v>8.0999947454153745E-2</v>
      </c>
      <c r="F453" s="82">
        <f>IF(F452=0,0,F454/F452)</f>
        <v>8.099996240742828E-2</v>
      </c>
      <c r="G453" s="81">
        <f>IF(G452=0,0,G454/G452)</f>
        <v>0.13291447977770915</v>
      </c>
      <c r="H453" s="82">
        <v>0.13291</v>
      </c>
      <c r="I453" s="81">
        <f t="shared" ref="I453:N453" si="281">IF(I452=0,0,I454/I452)</f>
        <v>0.12607353427135329</v>
      </c>
      <c r="J453" s="82">
        <f t="shared" si="281"/>
        <v>0.14189284646942157</v>
      </c>
      <c r="K453" s="81">
        <f t="shared" si="281"/>
        <v>0.15804510952071135</v>
      </c>
      <c r="L453" s="82">
        <f t="shared" si="281"/>
        <v>0.21</v>
      </c>
      <c r="M453" s="81">
        <f t="shared" si="281"/>
        <v>0.16793801302009626</v>
      </c>
      <c r="N453" s="82">
        <f t="shared" si="281"/>
        <v>0.1242995788317158</v>
      </c>
      <c r="O453" s="45">
        <f>IF(O452=0,0,+O454/O452)</f>
        <v>0.12863934995019416</v>
      </c>
      <c r="Q453" s="33"/>
      <c r="R453" s="47"/>
      <c r="S453" s="47"/>
      <c r="T453" s="47"/>
      <c r="U453" s="47"/>
      <c r="V453" s="41"/>
      <c r="AC453" s="124"/>
      <c r="AD453" s="15"/>
      <c r="AF453" s="47"/>
      <c r="AG453" s="33"/>
      <c r="AH453" s="47"/>
      <c r="AI453" s="58"/>
    </row>
    <row r="454" spans="1:35">
      <c r="A454" s="42"/>
      <c r="B454" s="35" t="s">
        <v>15</v>
      </c>
      <c r="C454" s="48">
        <f t="shared" ref="C454:N454" si="282">C76+C172+C360+C266</f>
        <v>0</v>
      </c>
      <c r="D454" s="49">
        <f t="shared" si="282"/>
        <v>0</v>
      </c>
      <c r="E454" s="48">
        <f t="shared" si="282"/>
        <v>1541.51</v>
      </c>
      <c r="F454" s="49">
        <f t="shared" si="282"/>
        <v>2154.6799999999998</v>
      </c>
      <c r="G454" s="48">
        <f t="shared" si="282"/>
        <v>4735.6099999999997</v>
      </c>
      <c r="H454" s="49">
        <f t="shared" si="282"/>
        <v>5395.8099999999995</v>
      </c>
      <c r="I454" s="48">
        <f t="shared" si="282"/>
        <v>7248.85</v>
      </c>
      <c r="J454" s="49">
        <f t="shared" si="282"/>
        <v>5222.6499999999996</v>
      </c>
      <c r="K454" s="48">
        <f t="shared" si="282"/>
        <v>3643.73</v>
      </c>
      <c r="L454" s="49">
        <f t="shared" si="282"/>
        <v>1993.53</v>
      </c>
      <c r="M454" s="48">
        <f t="shared" si="282"/>
        <v>1186.6500000000001</v>
      </c>
      <c r="N454" s="49">
        <f t="shared" si="282"/>
        <v>1357.6</v>
      </c>
      <c r="O454" s="50">
        <f>SUM(C454:N454)</f>
        <v>34480.619999999995</v>
      </c>
      <c r="Q454" s="33"/>
      <c r="R454" s="40"/>
      <c r="S454" s="40"/>
      <c r="T454" s="40"/>
      <c r="U454" s="40"/>
      <c r="V454" s="41"/>
      <c r="AC454" s="124"/>
      <c r="AD454" s="15"/>
      <c r="AF454" s="40"/>
      <c r="AG454" s="33"/>
      <c r="AH454" s="40"/>
      <c r="AI454" s="58"/>
    </row>
    <row r="455" spans="1:35" ht="13.5" thickBot="1">
      <c r="A455" s="51"/>
      <c r="B455" s="52" t="s">
        <v>59</v>
      </c>
      <c r="C455" s="53">
        <f t="shared" ref="C455:O455" si="283">C454/C$385</f>
        <v>0</v>
      </c>
      <c r="D455" s="54">
        <f t="shared" si="283"/>
        <v>0</v>
      </c>
      <c r="E455" s="53">
        <f t="shared" si="283"/>
        <v>1.4187785606140793</v>
      </c>
      <c r="F455" s="54">
        <f t="shared" si="283"/>
        <v>2.0187192579753592</v>
      </c>
      <c r="G455" s="53">
        <f t="shared" si="283"/>
        <v>4.0037690608967962</v>
      </c>
      <c r="H455" s="54">
        <f t="shared" si="283"/>
        <v>3.8498546621555088</v>
      </c>
      <c r="I455" s="53">
        <f t="shared" si="283"/>
        <v>5.0078272667985724</v>
      </c>
      <c r="J455" s="54">
        <f t="shared" si="283"/>
        <v>3.5972107522689845</v>
      </c>
      <c r="K455" s="53">
        <f t="shared" si="283"/>
        <v>2.9849096883225186</v>
      </c>
      <c r="L455" s="54">
        <f t="shared" si="283"/>
        <v>1.6651687195224834</v>
      </c>
      <c r="M455" s="53">
        <f t="shared" si="283"/>
        <v>1.1296318332183062</v>
      </c>
      <c r="N455" s="54">
        <f t="shared" si="283"/>
        <v>1.29579572700478</v>
      </c>
      <c r="O455" s="55">
        <f t="shared" si="283"/>
        <v>2.4093476536010119</v>
      </c>
      <c r="Q455" s="33"/>
      <c r="R455" s="57"/>
      <c r="S455" s="57"/>
      <c r="T455" s="57"/>
      <c r="U455" s="57"/>
      <c r="V455" s="41"/>
      <c r="AC455" s="124"/>
      <c r="AD455" s="15"/>
      <c r="AF455" s="57"/>
      <c r="AG455" s="33"/>
      <c r="AH455" s="57"/>
      <c r="AI455" s="58"/>
    </row>
    <row r="456" spans="1:35">
      <c r="A456" s="181" t="s">
        <v>75</v>
      </c>
      <c r="B456" s="29" t="s">
        <v>55</v>
      </c>
      <c r="C456" s="120">
        <f t="shared" ref="C456:O456" si="284">C457/C$385</f>
        <v>1.823630271390372</v>
      </c>
      <c r="D456" s="121">
        <f t="shared" si="284"/>
        <v>2.5372952729150406</v>
      </c>
      <c r="E456" s="120">
        <f t="shared" si="284"/>
        <v>2.1739430559454398</v>
      </c>
      <c r="F456" s="121">
        <f t="shared" si="284"/>
        <v>1.9656157773926075</v>
      </c>
      <c r="G456" s="120">
        <f t="shared" si="284"/>
        <v>1.2402898913414746</v>
      </c>
      <c r="H456" s="121">
        <f t="shared" si="284"/>
        <v>1.9414053748603342</v>
      </c>
      <c r="I456" s="120">
        <f t="shared" si="284"/>
        <v>1.87633332964883</v>
      </c>
      <c r="J456" s="121">
        <f t="shared" si="284"/>
        <v>3.0085524716209062</v>
      </c>
      <c r="K456" s="120">
        <f t="shared" si="284"/>
        <v>2.3838449042652798</v>
      </c>
      <c r="L456" s="121">
        <f t="shared" si="284"/>
        <v>2.4306837488326871</v>
      </c>
      <c r="M456" s="120">
        <f t="shared" si="284"/>
        <v>4.2304671696137461</v>
      </c>
      <c r="N456" s="121">
        <f t="shared" si="284"/>
        <v>1.0823750400879646</v>
      </c>
      <c r="O456" s="32">
        <f t="shared" si="284"/>
        <v>2.2210599611422817</v>
      </c>
      <c r="P456" s="9"/>
      <c r="Q456" s="9"/>
      <c r="R456" s="9"/>
      <c r="S456" s="9"/>
      <c r="T456" s="9"/>
      <c r="U456" s="9"/>
      <c r="V456" s="70"/>
    </row>
    <row r="457" spans="1:35">
      <c r="A457" s="34" t="s">
        <v>71</v>
      </c>
      <c r="B457" s="35" t="s">
        <v>57</v>
      </c>
      <c r="C457" s="36">
        <f t="shared" ref="C457:N457" si="285">C79+C175+C363+C269</f>
        <v>2091</v>
      </c>
      <c r="D457" s="66">
        <f t="shared" si="285"/>
        <v>2565</v>
      </c>
      <c r="E457" s="65">
        <f t="shared" si="285"/>
        <v>2362</v>
      </c>
      <c r="F457" s="66">
        <f t="shared" si="285"/>
        <v>2098</v>
      </c>
      <c r="G457" s="65">
        <f t="shared" si="285"/>
        <v>1467</v>
      </c>
      <c r="H457" s="66">
        <f t="shared" si="285"/>
        <v>2721</v>
      </c>
      <c r="I457" s="65">
        <f t="shared" si="285"/>
        <v>2716</v>
      </c>
      <c r="J457" s="66">
        <f t="shared" si="285"/>
        <v>4368</v>
      </c>
      <c r="K457" s="65">
        <f t="shared" si="285"/>
        <v>2910</v>
      </c>
      <c r="L457" s="66">
        <f t="shared" si="285"/>
        <v>2910</v>
      </c>
      <c r="M457" s="65">
        <f t="shared" si="285"/>
        <v>4444</v>
      </c>
      <c r="N457" s="66">
        <f t="shared" si="285"/>
        <v>1134</v>
      </c>
      <c r="O457" s="67">
        <f>SUM(C457:N457)</f>
        <v>31786</v>
      </c>
      <c r="R457" s="15"/>
      <c r="S457" s="15"/>
      <c r="T457" s="15"/>
      <c r="U457" s="15"/>
      <c r="V457" s="71"/>
    </row>
    <row r="458" spans="1:35" ht="15.75">
      <c r="A458" s="182" t="s">
        <v>64</v>
      </c>
      <c r="B458" s="35" t="s">
        <v>58</v>
      </c>
      <c r="C458" s="81">
        <f t="shared" ref="C458:N458" si="286">IF(C457=0,0,C459/C457)</f>
        <v>1.2226016260162602</v>
      </c>
      <c r="D458" s="122">
        <f t="shared" si="286"/>
        <v>1.2413996101364522</v>
      </c>
      <c r="E458" s="123">
        <f t="shared" si="286"/>
        <v>1.2493988145639288</v>
      </c>
      <c r="F458" s="122">
        <f t="shared" si="286"/>
        <v>1.249399428026692</v>
      </c>
      <c r="G458" s="123">
        <f t="shared" si="286"/>
        <v>1.2498023176550783</v>
      </c>
      <c r="H458" s="122">
        <f t="shared" si="286"/>
        <v>1.2499007717750827</v>
      </c>
      <c r="I458" s="123">
        <f t="shared" si="286"/>
        <v>1.2499005891016199</v>
      </c>
      <c r="J458" s="122">
        <f t="shared" si="286"/>
        <v>1.221382783882784</v>
      </c>
      <c r="K458" s="123">
        <f t="shared" si="286"/>
        <v>1.25</v>
      </c>
      <c r="L458" s="122">
        <f t="shared" si="286"/>
        <v>1.25</v>
      </c>
      <c r="M458" s="123">
        <f t="shared" si="286"/>
        <v>1.25</v>
      </c>
      <c r="N458" s="122">
        <f t="shared" si="286"/>
        <v>1.25</v>
      </c>
      <c r="O458" s="45">
        <f>IF(O457=0,0,+O459/O457)</f>
        <v>1.2434606430503996</v>
      </c>
      <c r="R458" s="72"/>
      <c r="S458" s="15"/>
      <c r="T458" s="72"/>
      <c r="U458" s="15"/>
      <c r="V458" s="15"/>
    </row>
    <row r="459" spans="1:35">
      <c r="A459" s="42"/>
      <c r="B459" s="35" t="s">
        <v>15</v>
      </c>
      <c r="C459" s="48">
        <f t="shared" ref="C459:N459" si="287">C81+C177+C365+C271</f>
        <v>2556.46</v>
      </c>
      <c r="D459" s="49">
        <f t="shared" si="287"/>
        <v>3184.19</v>
      </c>
      <c r="E459" s="48">
        <f t="shared" si="287"/>
        <v>2951.08</v>
      </c>
      <c r="F459" s="49">
        <f t="shared" si="287"/>
        <v>2621.2399999999998</v>
      </c>
      <c r="G459" s="48">
        <f t="shared" si="287"/>
        <v>1833.46</v>
      </c>
      <c r="H459" s="49">
        <f t="shared" si="287"/>
        <v>3400.98</v>
      </c>
      <c r="I459" s="48">
        <f t="shared" si="287"/>
        <v>3394.73</v>
      </c>
      <c r="J459" s="49">
        <f t="shared" si="287"/>
        <v>5335</v>
      </c>
      <c r="K459" s="48">
        <f t="shared" si="287"/>
        <v>3637.5</v>
      </c>
      <c r="L459" s="49">
        <f t="shared" si="287"/>
        <v>3637.5</v>
      </c>
      <c r="M459" s="48">
        <f t="shared" si="287"/>
        <v>5555</v>
      </c>
      <c r="N459" s="49">
        <f t="shared" si="287"/>
        <v>1417.5</v>
      </c>
      <c r="O459" s="50">
        <f>SUM(C459:N459)</f>
        <v>39524.639999999999</v>
      </c>
      <c r="R459" s="15"/>
      <c r="S459" s="15"/>
      <c r="T459" s="15"/>
      <c r="U459" s="15"/>
      <c r="V459" s="15"/>
    </row>
    <row r="460" spans="1:35" ht="13.5" thickBot="1">
      <c r="A460" s="51"/>
      <c r="B460" s="52" t="s">
        <v>59</v>
      </c>
      <c r="C460" s="53">
        <f t="shared" ref="C460:O460" si="288">C459/C$385</f>
        <v>2.2295733350543427</v>
      </c>
      <c r="D460" s="54">
        <f t="shared" si="288"/>
        <v>3.1497973625977949</v>
      </c>
      <c r="E460" s="53">
        <f t="shared" si="288"/>
        <v>2.7161218770277173</v>
      </c>
      <c r="F460" s="54">
        <f t="shared" si="288"/>
        <v>2.4558392279945656</v>
      </c>
      <c r="G460" s="53">
        <f t="shared" si="288"/>
        <v>1.5501171807627403</v>
      </c>
      <c r="H460" s="54">
        <f t="shared" si="288"/>
        <v>2.4265640763662253</v>
      </c>
      <c r="I460" s="53">
        <f t="shared" si="288"/>
        <v>2.3452301340790771</v>
      </c>
      <c r="J460" s="54">
        <f t="shared" si="288"/>
        <v>3.6745941932457726</v>
      </c>
      <c r="K460" s="53">
        <f t="shared" si="288"/>
        <v>2.9798061303316001</v>
      </c>
      <c r="L460" s="54">
        <f t="shared" si="288"/>
        <v>3.0383546860408588</v>
      </c>
      <c r="M460" s="53">
        <f t="shared" si="288"/>
        <v>5.2880839620171836</v>
      </c>
      <c r="N460" s="54">
        <f t="shared" si="288"/>
        <v>1.3529688001099556</v>
      </c>
      <c r="O460" s="55">
        <f t="shared" si="288"/>
        <v>2.7618006475354768</v>
      </c>
      <c r="S460" s="8"/>
      <c r="V460" s="41"/>
    </row>
    <row r="461" spans="1:35">
      <c r="A461" s="181" t="s">
        <v>76</v>
      </c>
      <c r="B461" s="29" t="s">
        <v>55</v>
      </c>
      <c r="C461" s="120">
        <f t="shared" ref="C461:O461" si="289">C462/C$385</f>
        <v>10.044356688475808</v>
      </c>
      <c r="D461" s="121">
        <f t="shared" si="289"/>
        <v>6.7552395394685432</v>
      </c>
      <c r="E461" s="120">
        <f t="shared" si="289"/>
        <v>4.2190325861362812</v>
      </c>
      <c r="F461" s="121">
        <f t="shared" si="289"/>
        <v>2.4378132758701452</v>
      </c>
      <c r="G461" s="120">
        <f t="shared" si="289"/>
        <v>4.3820194320537578</v>
      </c>
      <c r="H461" s="121">
        <f t="shared" si="289"/>
        <v>4.2074485466929037</v>
      </c>
      <c r="I461" s="120">
        <f t="shared" si="289"/>
        <v>5.2276194055422307</v>
      </c>
      <c r="J461" s="121">
        <f t="shared" si="289"/>
        <v>1.5077200916616675</v>
      </c>
      <c r="K461" s="120">
        <f t="shared" si="289"/>
        <v>3.6281955604779812</v>
      </c>
      <c r="L461" s="121">
        <f t="shared" si="289"/>
        <v>4.4646064046428569</v>
      </c>
      <c r="M461" s="120">
        <f t="shared" si="289"/>
        <v>3.5802851091173045</v>
      </c>
      <c r="N461" s="121">
        <f t="shared" si="289"/>
        <v>5.0701730272903598</v>
      </c>
      <c r="O461" s="32">
        <f t="shared" si="289"/>
        <v>4.5569252301608847</v>
      </c>
    </row>
    <row r="462" spans="1:35">
      <c r="A462" s="34" t="s">
        <v>64</v>
      </c>
      <c r="B462" s="35" t="s">
        <v>57</v>
      </c>
      <c r="C462" s="36">
        <f t="shared" ref="C462:N462" si="290">C84+C180+C368+C274</f>
        <v>11517</v>
      </c>
      <c r="D462" s="66">
        <f t="shared" si="290"/>
        <v>6829</v>
      </c>
      <c r="E462" s="65">
        <f t="shared" si="290"/>
        <v>4584</v>
      </c>
      <c r="F462" s="66">
        <f t="shared" si="290"/>
        <v>2602</v>
      </c>
      <c r="G462" s="65">
        <f t="shared" si="290"/>
        <v>5183</v>
      </c>
      <c r="H462" s="66">
        <f t="shared" si="290"/>
        <v>5897</v>
      </c>
      <c r="I462" s="65">
        <f t="shared" si="290"/>
        <v>7567</v>
      </c>
      <c r="J462" s="66">
        <f t="shared" si="290"/>
        <v>2189</v>
      </c>
      <c r="K462" s="65">
        <f t="shared" si="290"/>
        <v>4429</v>
      </c>
      <c r="L462" s="66">
        <f t="shared" si="290"/>
        <v>5345</v>
      </c>
      <c r="M462" s="65">
        <f t="shared" si="290"/>
        <v>3761</v>
      </c>
      <c r="N462" s="66">
        <f t="shared" si="290"/>
        <v>5312</v>
      </c>
      <c r="O462" s="67">
        <f>SUM(C462:N462)</f>
        <v>65215</v>
      </c>
    </row>
    <row r="463" spans="1:35">
      <c r="A463" s="103"/>
      <c r="B463" s="35" t="s">
        <v>58</v>
      </c>
      <c r="C463" s="81">
        <f t="shared" ref="C463:N463" si="291">IF(C462=0,0,C464/C462)</f>
        <v>0.25390032126421813</v>
      </c>
      <c r="D463" s="82">
        <f t="shared" si="291"/>
        <v>0.27240005857372968</v>
      </c>
      <c r="E463" s="81">
        <f t="shared" si="291"/>
        <v>0.27239965095986041</v>
      </c>
      <c r="F463" s="82">
        <f t="shared" si="291"/>
        <v>0.27780169100691776</v>
      </c>
      <c r="G463" s="81">
        <f t="shared" si="291"/>
        <v>0.27780050163997683</v>
      </c>
      <c r="H463" s="82">
        <f t="shared" si="291"/>
        <v>0.27879938952009498</v>
      </c>
      <c r="I463" s="81">
        <f t="shared" si="291"/>
        <v>0.27929959032641732</v>
      </c>
      <c r="J463" s="82">
        <f t="shared" si="291"/>
        <v>0.23391502969392414</v>
      </c>
      <c r="K463" s="81">
        <f t="shared" si="291"/>
        <v>0.27960036125536236</v>
      </c>
      <c r="L463" s="82">
        <f t="shared" si="291"/>
        <v>0.27970065481758655</v>
      </c>
      <c r="M463" s="81">
        <f t="shared" si="291"/>
        <v>0.2796995479925552</v>
      </c>
      <c r="N463" s="82">
        <f t="shared" si="291"/>
        <v>0.27990022590361446</v>
      </c>
      <c r="O463" s="45">
        <f>IF(O462=0,0,+O464/O462)</f>
        <v>0.27198435942651233</v>
      </c>
    </row>
    <row r="464" spans="1:35">
      <c r="A464" s="42"/>
      <c r="B464" s="35" t="s">
        <v>15</v>
      </c>
      <c r="C464" s="48">
        <f t="shared" ref="C464:N464" si="292">C86+C182+C370+C276</f>
        <v>2924.17</v>
      </c>
      <c r="D464" s="49">
        <f t="shared" si="292"/>
        <v>1860.22</v>
      </c>
      <c r="E464" s="48">
        <f t="shared" si="292"/>
        <v>1248.68</v>
      </c>
      <c r="F464" s="49">
        <f t="shared" si="292"/>
        <v>722.84</v>
      </c>
      <c r="G464" s="48">
        <f t="shared" si="292"/>
        <v>1439.84</v>
      </c>
      <c r="H464" s="49">
        <f t="shared" si="292"/>
        <v>1644.08</v>
      </c>
      <c r="I464" s="48">
        <f t="shared" si="292"/>
        <v>2113.46</v>
      </c>
      <c r="J464" s="49">
        <f t="shared" si="292"/>
        <v>512.04</v>
      </c>
      <c r="K464" s="48">
        <f t="shared" si="292"/>
        <v>1238.3499999999999</v>
      </c>
      <c r="L464" s="49">
        <f t="shared" si="292"/>
        <v>1495</v>
      </c>
      <c r="M464" s="48">
        <f t="shared" si="292"/>
        <v>1051.95</v>
      </c>
      <c r="N464" s="49">
        <f t="shared" si="292"/>
        <v>1486.83</v>
      </c>
      <c r="O464" s="50">
        <f>SUM(C464:N464)</f>
        <v>17737.460000000003</v>
      </c>
    </row>
    <row r="465" spans="1:22" ht="13.5" thickBot="1">
      <c r="A465" s="51"/>
      <c r="B465" s="52" t="s">
        <v>59</v>
      </c>
      <c r="C465" s="53">
        <f t="shared" ref="C465:O465" si="293">C464/C$385</f>
        <v>2.5502653900964054</v>
      </c>
      <c r="D465" s="54">
        <f t="shared" si="293"/>
        <v>1.8401276462308058</v>
      </c>
      <c r="E465" s="53">
        <f t="shared" si="293"/>
        <v>1.1492630038518001</v>
      </c>
      <c r="F465" s="54">
        <f t="shared" si="293"/>
        <v>0.67722865039584013</v>
      </c>
      <c r="G465" s="53">
        <f t="shared" si="293"/>
        <v>1.2173271964206602</v>
      </c>
      <c r="H465" s="54">
        <f t="shared" si="293"/>
        <v>1.1730340862551922</v>
      </c>
      <c r="I465" s="53">
        <f t="shared" si="293"/>
        <v>1.4600719583503743</v>
      </c>
      <c r="J465" s="54">
        <f t="shared" si="293"/>
        <v>0.35267839001116497</v>
      </c>
      <c r="K465" s="53">
        <f t="shared" si="293"/>
        <v>1.0144447894147455</v>
      </c>
      <c r="L465" s="54">
        <f t="shared" si="293"/>
        <v>1.2487533348813977</v>
      </c>
      <c r="M465" s="53">
        <f t="shared" si="293"/>
        <v>1.0014041267045861</v>
      </c>
      <c r="N465" s="54">
        <f t="shared" si="293"/>
        <v>1.4191425757089844</v>
      </c>
      <c r="O465" s="55">
        <f t="shared" si="293"/>
        <v>1.2394123896798206</v>
      </c>
    </row>
    <row r="466" spans="1:22">
      <c r="A466" s="34" t="s">
        <v>91</v>
      </c>
      <c r="B466" s="35" t="s">
        <v>15</v>
      </c>
      <c r="C466" s="48">
        <f t="shared" ref="C466:N466" si="294">C95</f>
        <v>3782.29</v>
      </c>
      <c r="D466" s="49">
        <f t="shared" si="294"/>
        <v>3782.29</v>
      </c>
      <c r="E466" s="48">
        <f t="shared" si="294"/>
        <v>3782.29</v>
      </c>
      <c r="F466" s="49">
        <f t="shared" si="294"/>
        <v>0</v>
      </c>
      <c r="G466" s="48">
        <f t="shared" si="294"/>
        <v>0</v>
      </c>
      <c r="H466" s="49">
        <f t="shared" si="294"/>
        <v>0</v>
      </c>
      <c r="I466" s="48">
        <f t="shared" si="294"/>
        <v>0</v>
      </c>
      <c r="J466" s="49">
        <f t="shared" si="294"/>
        <v>0</v>
      </c>
      <c r="K466" s="48">
        <f t="shared" si="294"/>
        <v>0</v>
      </c>
      <c r="L466" s="49">
        <f t="shared" si="294"/>
        <v>0</v>
      </c>
      <c r="M466" s="48">
        <f t="shared" si="294"/>
        <v>0</v>
      </c>
      <c r="N466" s="49">
        <f t="shared" si="294"/>
        <v>0</v>
      </c>
      <c r="O466" s="50">
        <f>SUM(C466:N466)</f>
        <v>11346.869999999999</v>
      </c>
    </row>
    <row r="467" spans="1:22" ht="13.5" thickBot="1">
      <c r="A467" s="130" t="s">
        <v>509</v>
      </c>
      <c r="B467" s="91"/>
      <c r="C467" s="92"/>
      <c r="D467" s="94"/>
      <c r="E467" s="92"/>
      <c r="F467" s="94"/>
      <c r="G467" s="92"/>
      <c r="H467" s="94"/>
      <c r="I467" s="92"/>
      <c r="J467" s="94"/>
      <c r="K467" s="92"/>
      <c r="L467" s="94"/>
      <c r="M467" s="92"/>
      <c r="N467" s="94"/>
      <c r="O467" s="95"/>
    </row>
    <row r="468" spans="1:22" ht="13.5" thickBot="1">
      <c r="A468" s="10" t="s">
        <v>1</v>
      </c>
      <c r="B468" s="73" t="s">
        <v>1</v>
      </c>
      <c r="C468" s="74" t="s">
        <v>1</v>
      </c>
      <c r="D468" s="75" t="s">
        <v>1</v>
      </c>
      <c r="E468" s="74" t="s">
        <v>1</v>
      </c>
      <c r="F468" s="75" t="s">
        <v>1</v>
      </c>
      <c r="G468" s="74" t="s">
        <v>1</v>
      </c>
      <c r="H468" s="75" t="s">
        <v>1</v>
      </c>
      <c r="I468" s="74" t="s">
        <v>1</v>
      </c>
      <c r="J468" s="75" t="s">
        <v>1</v>
      </c>
      <c r="K468" s="74" t="s">
        <v>1</v>
      </c>
      <c r="L468" s="75" t="s">
        <v>1</v>
      </c>
      <c r="M468" s="74" t="s">
        <v>1</v>
      </c>
      <c r="N468" s="75" t="s">
        <v>1</v>
      </c>
      <c r="O468" s="6" t="s">
        <v>1</v>
      </c>
    </row>
    <row r="469" spans="1:22" ht="15.75">
      <c r="A469" s="131" t="s">
        <v>92</v>
      </c>
      <c r="B469" s="29" t="s">
        <v>55</v>
      </c>
      <c r="C469" s="78">
        <f t="shared" ref="C469:O469" si="295">C$470/(C$385-C$197-C$291)</f>
        <v>578.29535300564135</v>
      </c>
      <c r="D469" s="79">
        <f t="shared" si="295"/>
        <v>573.22643955820615</v>
      </c>
      <c r="E469" s="78">
        <f t="shared" si="295"/>
        <v>656.87271584255745</v>
      </c>
      <c r="F469" s="79">
        <f t="shared" si="295"/>
        <v>680.82896423229136</v>
      </c>
      <c r="G469" s="78">
        <f t="shared" si="295"/>
        <v>558.59253183095814</v>
      </c>
      <c r="H469" s="79">
        <f t="shared" si="295"/>
        <v>606.63264092445695</v>
      </c>
      <c r="I469" s="78">
        <f t="shared" si="295"/>
        <v>622.32838575878372</v>
      </c>
      <c r="J469" s="79">
        <f t="shared" si="295"/>
        <v>519.11898145522605</v>
      </c>
      <c r="K469" s="78">
        <f t="shared" si="295"/>
        <v>584.31344634377001</v>
      </c>
      <c r="L469" s="79">
        <f t="shared" si="295"/>
        <v>553.01856746405656</v>
      </c>
      <c r="M469" s="78">
        <f t="shared" si="295"/>
        <v>618.84136883166684</v>
      </c>
      <c r="N469" s="79">
        <f t="shared" si="295"/>
        <v>622.79247288107058</v>
      </c>
      <c r="O469" s="132">
        <f t="shared" si="295"/>
        <v>595.92751624050607</v>
      </c>
      <c r="Q469" s="33"/>
      <c r="R469" s="57"/>
      <c r="S469" s="57"/>
      <c r="T469" s="57"/>
      <c r="U469" s="57"/>
      <c r="V469" s="41"/>
    </row>
    <row r="470" spans="1:22">
      <c r="A470" s="34" t="s">
        <v>95</v>
      </c>
      <c r="B470" s="35" t="s">
        <v>57</v>
      </c>
      <c r="C470" s="36">
        <f t="shared" ref="C470:N470" si="296">C$387+C$392+C$397+C$402+C$407+C$412+C$417+C$422+C$427+C$432+C$437+C$442+C$447+C$452+C$457+C$462-C$281-C$375</f>
        <v>542991</v>
      </c>
      <c r="D470" s="37">
        <f t="shared" si="296"/>
        <v>468189</v>
      </c>
      <c r="E470" s="36">
        <f t="shared" si="296"/>
        <v>576773</v>
      </c>
      <c r="F470" s="37">
        <f t="shared" si="296"/>
        <v>591238</v>
      </c>
      <c r="G470" s="36">
        <f t="shared" si="296"/>
        <v>542738</v>
      </c>
      <c r="H470" s="37">
        <f t="shared" si="296"/>
        <v>688542</v>
      </c>
      <c r="I470" s="36">
        <f t="shared" si="296"/>
        <v>695882</v>
      </c>
      <c r="J470" s="37">
        <f t="shared" si="296"/>
        <v>585832</v>
      </c>
      <c r="K470" s="36">
        <f t="shared" si="296"/>
        <v>574608</v>
      </c>
      <c r="L470" s="37">
        <f t="shared" si="296"/>
        <v>535849</v>
      </c>
      <c r="M470" s="36">
        <f t="shared" si="296"/>
        <v>526220</v>
      </c>
      <c r="N470" s="37">
        <f t="shared" si="296"/>
        <v>525100</v>
      </c>
      <c r="O470" s="38">
        <f>SUM(C470:N470)</f>
        <v>6853962</v>
      </c>
      <c r="Q470" s="33"/>
      <c r="R470" s="47"/>
      <c r="S470" s="47"/>
      <c r="T470" s="68"/>
      <c r="U470" s="47"/>
      <c r="V470" s="41"/>
    </row>
    <row r="471" spans="1:22">
      <c r="A471" s="42"/>
      <c r="B471" s="35" t="s">
        <v>58</v>
      </c>
      <c r="C471" s="133">
        <f t="shared" ref="C471:N471" si="297">C472/C470</f>
        <v>0.19391201240330266</v>
      </c>
      <c r="D471" s="134">
        <f t="shared" si="297"/>
        <v>0.21368577291079741</v>
      </c>
      <c r="E471" s="133">
        <f t="shared" si="297"/>
        <v>0.20280515904870722</v>
      </c>
      <c r="F471" s="134">
        <f t="shared" si="297"/>
        <v>0.18426090639941578</v>
      </c>
      <c r="G471" s="133">
        <f t="shared" si="297"/>
        <v>0.19528422514168203</v>
      </c>
      <c r="H471" s="134">
        <f t="shared" si="297"/>
        <v>0.1997031279299028</v>
      </c>
      <c r="I471" s="133">
        <f t="shared" si="297"/>
        <v>0.19538248358322272</v>
      </c>
      <c r="J471" s="134">
        <f t="shared" si="297"/>
        <v>0.20031000465177948</v>
      </c>
      <c r="K471" s="133">
        <f t="shared" si="297"/>
        <v>0.19532618952592223</v>
      </c>
      <c r="L471" s="134">
        <f t="shared" si="297"/>
        <v>0.20891454475509538</v>
      </c>
      <c r="M471" s="133">
        <f t="shared" si="297"/>
        <v>0.19948660059579118</v>
      </c>
      <c r="N471" s="134">
        <f t="shared" si="297"/>
        <v>0.20295271929770678</v>
      </c>
      <c r="O471" s="135">
        <f>IF(O470=0,0,O472/O470)</f>
        <v>0.19897727380052571</v>
      </c>
      <c r="Q471" s="33"/>
      <c r="R471" s="40"/>
      <c r="S471" s="40"/>
      <c r="T471" s="40"/>
      <c r="U471" s="39"/>
      <c r="V471" s="41"/>
    </row>
    <row r="472" spans="1:22">
      <c r="A472" s="34" t="s">
        <v>94</v>
      </c>
      <c r="B472" s="35" t="s">
        <v>15</v>
      </c>
      <c r="C472" s="144">
        <f t="shared" ref="C472:N472" si="298">C$185+C$389+C$394+C$399+C$404+C$414+C$419+C$424+C$429+C$434+C$439+C444+C$454+C$464+C$279+C$449+C$409+C$459-C$283-C$377+C466</f>
        <v>105292.47752688172</v>
      </c>
      <c r="D472" s="145">
        <f t="shared" si="298"/>
        <v>100045.32833333332</v>
      </c>
      <c r="E472" s="144">
        <f t="shared" si="298"/>
        <v>116972.54000000001</v>
      </c>
      <c r="F472" s="145">
        <f t="shared" si="298"/>
        <v>108942.04977777779</v>
      </c>
      <c r="G472" s="144">
        <f t="shared" si="298"/>
        <v>105988.16978494622</v>
      </c>
      <c r="H472" s="145">
        <f t="shared" si="298"/>
        <v>137503.99111111113</v>
      </c>
      <c r="I472" s="144">
        <f t="shared" si="298"/>
        <v>135963.15344086019</v>
      </c>
      <c r="J472" s="145">
        <f t="shared" si="298"/>
        <v>117348.01064516128</v>
      </c>
      <c r="K472" s="144">
        <f t="shared" si="298"/>
        <v>112235.99111111113</v>
      </c>
      <c r="L472" s="145">
        <f t="shared" si="298"/>
        <v>111946.64989247311</v>
      </c>
      <c r="M472" s="144">
        <f t="shared" si="298"/>
        <v>104973.83896551724</v>
      </c>
      <c r="N472" s="145">
        <f t="shared" si="298"/>
        <v>106570.47290322583</v>
      </c>
      <c r="O472" s="146">
        <f>SUM(C472:N472)</f>
        <v>1363782.6734923988</v>
      </c>
      <c r="P472" s="147"/>
      <c r="Q472" s="33"/>
      <c r="R472" s="57"/>
      <c r="S472" s="57"/>
      <c r="T472" s="57"/>
      <c r="U472" s="57"/>
      <c r="V472" s="41"/>
    </row>
    <row r="473" spans="1:22" ht="13.5" thickBot="1">
      <c r="A473" s="51"/>
      <c r="B473" s="52" t="s">
        <v>59</v>
      </c>
      <c r="C473" s="53">
        <f t="shared" ref="C473:O473" si="299">C$472/(C$385-C$197-C$291)</f>
        <v>112.13841566480222</v>
      </c>
      <c r="D473" s="54">
        <f t="shared" si="299"/>
        <v>122.49033478989978</v>
      </c>
      <c r="E473" s="53">
        <f t="shared" si="299"/>
        <v>133.21717561120613</v>
      </c>
      <c r="F473" s="54">
        <f t="shared" si="299"/>
        <v>125.45016205241744</v>
      </c>
      <c r="G473" s="53">
        <f t="shared" si="299"/>
        <v>109.08430974853901</v>
      </c>
      <c r="H473" s="54">
        <f t="shared" si="299"/>
        <v>121.14643589699162</v>
      </c>
      <c r="I473" s="53">
        <f t="shared" si="299"/>
        <v>121.59206561388905</v>
      </c>
      <c r="J473" s="54">
        <f t="shared" si="299"/>
        <v>103.98472559012336</v>
      </c>
      <c r="K473" s="53">
        <f t="shared" si="299"/>
        <v>114.13171896308801</v>
      </c>
      <c r="L473" s="54">
        <f t="shared" si="299"/>
        <v>115.53362226286839</v>
      </c>
      <c r="M473" s="53">
        <f t="shared" si="299"/>
        <v>123.45056097627541</v>
      </c>
      <c r="N473" s="54">
        <f t="shared" si="299"/>
        <v>126.39742592935657</v>
      </c>
      <c r="O473" s="55">
        <f t="shared" si="299"/>
        <v>118.5760325642544</v>
      </c>
      <c r="P473" s="9"/>
      <c r="Q473" s="9"/>
      <c r="R473" s="9"/>
      <c r="S473" s="9"/>
      <c r="T473" s="9"/>
      <c r="U473" s="9"/>
      <c r="V473" s="70"/>
    </row>
    <row r="474" spans="1:22" ht="31.5">
      <c r="A474" s="131" t="s">
        <v>96</v>
      </c>
      <c r="B474" s="29" t="s">
        <v>55</v>
      </c>
      <c r="C474" s="78">
        <f>C$475/C$385</f>
        <v>586.1632598241431</v>
      </c>
      <c r="D474" s="79">
        <f t="shared" ref="D474:N474" si="300">D475/D385</f>
        <v>580.04350496924087</v>
      </c>
      <c r="E474" s="78">
        <f t="shared" si="300"/>
        <v>705.51907262276757</v>
      </c>
      <c r="F474" s="79">
        <f t="shared" si="300"/>
        <v>721.04745397479735</v>
      </c>
      <c r="G474" s="78">
        <f t="shared" si="300"/>
        <v>609.91065178206065</v>
      </c>
      <c r="H474" s="79">
        <f t="shared" si="300"/>
        <v>620.43491475938981</v>
      </c>
      <c r="I474" s="78">
        <f t="shared" si="300"/>
        <v>684.12937028153294</v>
      </c>
      <c r="J474" s="79">
        <f t="shared" si="300"/>
        <v>601.44049602544601</v>
      </c>
      <c r="K474" s="78">
        <f t="shared" si="300"/>
        <v>669.25913213300043</v>
      </c>
      <c r="L474" s="79">
        <f t="shared" si="300"/>
        <v>575.03712848544183</v>
      </c>
      <c r="M474" s="78">
        <f t="shared" si="300"/>
        <v>664.79259382660234</v>
      </c>
      <c r="N474" s="79">
        <f t="shared" si="300"/>
        <v>663.56271284800175</v>
      </c>
      <c r="O474" s="132">
        <f>O$475/O$385</f>
        <v>639.22505369052249</v>
      </c>
      <c r="Q474" s="33"/>
      <c r="R474" s="57"/>
      <c r="S474" s="57"/>
      <c r="T474" s="57"/>
      <c r="U474" s="57"/>
      <c r="V474" s="41"/>
    </row>
    <row r="475" spans="1:22">
      <c r="A475" s="34" t="s">
        <v>95</v>
      </c>
      <c r="B475" s="35" t="s">
        <v>57</v>
      </c>
      <c r="C475" s="36">
        <f t="shared" ref="C475:N475" si="301">C$387+C$392+C$397+C$402+C$412+C$417+C$422+C$427+C$432+C$437+C$442+C$452+C$462+C447+C407+C457</f>
        <v>672103</v>
      </c>
      <c r="D475" s="37">
        <f t="shared" si="301"/>
        <v>586377</v>
      </c>
      <c r="E475" s="36">
        <f t="shared" si="301"/>
        <v>766550</v>
      </c>
      <c r="F475" s="37">
        <f t="shared" si="301"/>
        <v>769610</v>
      </c>
      <c r="G475" s="36">
        <f t="shared" si="301"/>
        <v>721395</v>
      </c>
      <c r="H475" s="37">
        <f t="shared" si="301"/>
        <v>869578</v>
      </c>
      <c r="I475" s="36">
        <f t="shared" si="301"/>
        <v>990280</v>
      </c>
      <c r="J475" s="37">
        <f t="shared" si="301"/>
        <v>873208</v>
      </c>
      <c r="K475" s="36">
        <f t="shared" si="301"/>
        <v>816976</v>
      </c>
      <c r="L475" s="37">
        <f t="shared" si="301"/>
        <v>688431</v>
      </c>
      <c r="M475" s="36">
        <f t="shared" si="301"/>
        <v>698348</v>
      </c>
      <c r="N475" s="37">
        <f t="shared" si="301"/>
        <v>695212</v>
      </c>
      <c r="O475" s="38">
        <f>SUM(C475:N475)</f>
        <v>9148068</v>
      </c>
      <c r="Q475" s="33"/>
      <c r="R475" s="47"/>
      <c r="S475" s="47"/>
      <c r="T475" s="68"/>
      <c r="U475" s="47"/>
      <c r="V475" s="41"/>
    </row>
    <row r="476" spans="1:22">
      <c r="A476" s="42"/>
      <c r="B476" s="35" t="s">
        <v>58</v>
      </c>
      <c r="C476" s="133">
        <f t="shared" ref="C476:N476" si="302">C477/C475</f>
        <v>0.20477317840700271</v>
      </c>
      <c r="D476" s="134">
        <f t="shared" si="302"/>
        <v>0.22250541602643575</v>
      </c>
      <c r="E476" s="133">
        <f t="shared" si="302"/>
        <v>0.2055371600026091</v>
      </c>
      <c r="F476" s="134">
        <f t="shared" si="302"/>
        <v>0.1918588373043201</v>
      </c>
      <c r="G476" s="133">
        <f t="shared" si="302"/>
        <v>0.20140176988327646</v>
      </c>
      <c r="H476" s="134">
        <f t="shared" si="302"/>
        <v>0.21082139970320213</v>
      </c>
      <c r="I476" s="133">
        <f t="shared" si="302"/>
        <v>0.19943553685913093</v>
      </c>
      <c r="J476" s="134">
        <f t="shared" si="302"/>
        <v>0.20948854184244911</v>
      </c>
      <c r="K476" s="133">
        <f t="shared" si="302"/>
        <v>0.20325708602347087</v>
      </c>
      <c r="L476" s="134">
        <f t="shared" si="302"/>
        <v>0.21414316016052895</v>
      </c>
      <c r="M476" s="133">
        <f t="shared" si="302"/>
        <v>0.21253316249995308</v>
      </c>
      <c r="N476" s="134">
        <f t="shared" si="302"/>
        <v>0.20892940988249029</v>
      </c>
      <c r="O476" s="135">
        <f>IF(O475=0,0,O477/O475)</f>
        <v>0.20654667012667577</v>
      </c>
      <c r="Q476" s="33"/>
      <c r="R476" s="40"/>
      <c r="S476" s="40"/>
      <c r="T476" s="40"/>
      <c r="U476" s="39"/>
      <c r="V476" s="41"/>
    </row>
    <row r="477" spans="1:22">
      <c r="A477" s="34" t="s">
        <v>94</v>
      </c>
      <c r="B477" s="35" t="s">
        <v>15</v>
      </c>
      <c r="C477" s="144">
        <f t="shared" ref="C477:N477" si="303">C$185+C$389+C$394+C$399+C$404+C$414+C$419+C$424+C$429+C$434+C$439+C444+C$454+C$464+C$466+C279+C449+C409+C459</f>
        <v>137628.66752688173</v>
      </c>
      <c r="D477" s="145">
        <f t="shared" si="303"/>
        <v>130472.05833333332</v>
      </c>
      <c r="E477" s="144">
        <f t="shared" si="303"/>
        <v>157554.51</v>
      </c>
      <c r="F477" s="145">
        <f t="shared" si="303"/>
        <v>147656.4797777778</v>
      </c>
      <c r="G477" s="144">
        <f t="shared" si="303"/>
        <v>145290.22978494622</v>
      </c>
      <c r="H477" s="145">
        <f t="shared" si="303"/>
        <v>183325.6511111111</v>
      </c>
      <c r="I477" s="144">
        <f t="shared" si="303"/>
        <v>197497.02344086018</v>
      </c>
      <c r="J477" s="145">
        <f t="shared" si="303"/>
        <v>182927.07064516129</v>
      </c>
      <c r="K477" s="144">
        <f t="shared" si="303"/>
        <v>166056.16111111114</v>
      </c>
      <c r="L477" s="145">
        <f t="shared" si="303"/>
        <v>147422.78989247311</v>
      </c>
      <c r="M477" s="144">
        <f t="shared" si="303"/>
        <v>148422.10896551723</v>
      </c>
      <c r="N477" s="145">
        <f t="shared" si="303"/>
        <v>145250.23290322584</v>
      </c>
      <c r="O477" s="146">
        <f>SUM(C477:N477)</f>
        <v>1889502.9834923986</v>
      </c>
      <c r="Q477" s="33"/>
      <c r="R477" s="57"/>
      <c r="S477" s="57"/>
      <c r="T477" s="57"/>
      <c r="U477" s="57"/>
      <c r="V477" s="41"/>
    </row>
    <row r="478" spans="1:22" ht="13.5" thickBot="1">
      <c r="A478" s="51"/>
      <c r="B478" s="52" t="s">
        <v>59</v>
      </c>
      <c r="C478" s="53">
        <f t="shared" ref="C478:N478" si="304">C477/C$385</f>
        <v>120.03051377959953</v>
      </c>
      <c r="D478" s="54">
        <f t="shared" si="304"/>
        <v>129.06282138661288</v>
      </c>
      <c r="E478" s="53">
        <f t="shared" si="304"/>
        <v>145.01038651455818</v>
      </c>
      <c r="F478" s="54">
        <f t="shared" si="304"/>
        <v>138.33932616084488</v>
      </c>
      <c r="G478" s="53">
        <f t="shared" si="304"/>
        <v>122.83708473956975</v>
      </c>
      <c r="H478" s="54">
        <f t="shared" si="304"/>
        <v>130.80095715431148</v>
      </c>
      <c r="I478" s="53">
        <f t="shared" si="304"/>
        <v>136.43970824319669</v>
      </c>
      <c r="J478" s="54">
        <f t="shared" si="304"/>
        <v>125.99489251736999</v>
      </c>
      <c r="K478" s="53">
        <f t="shared" si="304"/>
        <v>136.03166099195073</v>
      </c>
      <c r="L478" s="54">
        <f t="shared" si="304"/>
        <v>123.14026790350863</v>
      </c>
      <c r="M478" s="53">
        <f t="shared" si="304"/>
        <v>141.29047237251456</v>
      </c>
      <c r="N478" s="54">
        <f t="shared" si="304"/>
        <v>138.63776601535736</v>
      </c>
      <c r="O478" s="55">
        <f>O$477/O$385</f>
        <v>132.02980630132296</v>
      </c>
      <c r="P478" s="9"/>
      <c r="Q478" s="9"/>
      <c r="R478" s="9"/>
      <c r="S478" s="9"/>
      <c r="T478" s="9"/>
      <c r="U478" s="9"/>
      <c r="V478" s="70"/>
    </row>
    <row r="479" spans="1:22" ht="13.5" thickBot="1">
      <c r="A479" s="148" t="s">
        <v>1</v>
      </c>
      <c r="B479" s="73" t="s">
        <v>1</v>
      </c>
      <c r="C479" s="74" t="s">
        <v>1</v>
      </c>
      <c r="D479" s="75" t="s">
        <v>1</v>
      </c>
      <c r="E479" s="74" t="s">
        <v>1</v>
      </c>
      <c r="F479" s="75" t="s">
        <v>1</v>
      </c>
      <c r="G479" s="74" t="s">
        <v>1</v>
      </c>
      <c r="H479" s="75" t="s">
        <v>1</v>
      </c>
      <c r="I479" s="74" t="s">
        <v>1</v>
      </c>
      <c r="J479" s="75" t="s">
        <v>1</v>
      </c>
      <c r="K479" s="74" t="s">
        <v>1</v>
      </c>
      <c r="L479" s="75" t="s">
        <v>1</v>
      </c>
      <c r="M479" s="74" t="s">
        <v>1</v>
      </c>
      <c r="N479" s="75" t="s">
        <v>1</v>
      </c>
      <c r="O479" s="6" t="s">
        <v>1</v>
      </c>
      <c r="Q479" s="33"/>
      <c r="R479" s="39"/>
      <c r="S479" s="39"/>
      <c r="T479" s="39"/>
      <c r="U479" s="39"/>
      <c r="V479" s="41"/>
    </row>
    <row r="480" spans="1:22" s="3" customFormat="1" ht="15.75">
      <c r="A480" s="149" t="s">
        <v>469</v>
      </c>
      <c r="B480" s="150" t="s">
        <v>97</v>
      </c>
      <c r="C480" s="84">
        <f t="shared" ref="C480:N480" si="305">C95</f>
        <v>3782.29</v>
      </c>
      <c r="D480" s="85">
        <f t="shared" si="305"/>
        <v>3782.29</v>
      </c>
      <c r="E480" s="84">
        <f t="shared" si="305"/>
        <v>3782.29</v>
      </c>
      <c r="F480" s="85">
        <f t="shared" si="305"/>
        <v>0</v>
      </c>
      <c r="G480" s="84">
        <f t="shared" si="305"/>
        <v>0</v>
      </c>
      <c r="H480" s="85">
        <f t="shared" si="305"/>
        <v>0</v>
      </c>
      <c r="I480" s="84">
        <f t="shared" si="305"/>
        <v>0</v>
      </c>
      <c r="J480" s="85">
        <f t="shared" si="305"/>
        <v>0</v>
      </c>
      <c r="K480" s="84">
        <f t="shared" si="305"/>
        <v>0</v>
      </c>
      <c r="L480" s="85">
        <f t="shared" si="305"/>
        <v>0</v>
      </c>
      <c r="M480" s="84">
        <f t="shared" si="305"/>
        <v>0</v>
      </c>
      <c r="N480" s="85">
        <f t="shared" si="305"/>
        <v>0</v>
      </c>
      <c r="O480" s="86">
        <f t="shared" ref="O480:O487" si="306">SUM(C480:N480)</f>
        <v>11346.869999999999</v>
      </c>
      <c r="Q480" s="151"/>
      <c r="R480" s="152"/>
      <c r="S480" s="152"/>
      <c r="T480" s="152"/>
      <c r="U480" s="152"/>
      <c r="V480" s="153"/>
    </row>
    <row r="481" spans="1:22" s="3" customFormat="1" ht="15.75">
      <c r="A481" s="161" t="s">
        <v>467</v>
      </c>
      <c r="B481" s="154" t="s">
        <v>466</v>
      </c>
      <c r="C481" s="155">
        <f t="shared" ref="C481:N481" si="307">C92</f>
        <v>48141.56</v>
      </c>
      <c r="D481" s="156">
        <f t="shared" si="307"/>
        <v>49022.460000000006</v>
      </c>
      <c r="E481" s="155">
        <f t="shared" si="307"/>
        <v>53877.020000000004</v>
      </c>
      <c r="F481" s="156">
        <f t="shared" si="307"/>
        <v>52572.09</v>
      </c>
      <c r="G481" s="155">
        <f t="shared" si="307"/>
        <v>46291.799999999996</v>
      </c>
      <c r="H481" s="156">
        <f t="shared" si="307"/>
        <v>63089.060000000005</v>
      </c>
      <c r="I481" s="155">
        <f t="shared" si="307"/>
        <v>55157.07</v>
      </c>
      <c r="J481" s="156">
        <f t="shared" si="307"/>
        <v>53283.34</v>
      </c>
      <c r="K481" s="155">
        <f t="shared" si="307"/>
        <v>50472.07</v>
      </c>
      <c r="L481" s="156">
        <f t="shared" si="307"/>
        <v>57763.35</v>
      </c>
      <c r="M481" s="155">
        <f t="shared" si="307"/>
        <v>52236.959999999999</v>
      </c>
      <c r="N481" s="156">
        <f t="shared" si="307"/>
        <v>51942.189999999995</v>
      </c>
      <c r="O481" s="157">
        <f t="shared" si="306"/>
        <v>633848.97</v>
      </c>
      <c r="Q481" s="151"/>
      <c r="R481" s="152"/>
      <c r="S481" s="152"/>
      <c r="T481" s="152"/>
      <c r="U481" s="152"/>
      <c r="V481" s="153"/>
    </row>
    <row r="482" spans="1:22" s="3" customFormat="1" ht="15.75">
      <c r="A482" s="161" t="s">
        <v>465</v>
      </c>
      <c r="B482" s="154" t="s">
        <v>468</v>
      </c>
      <c r="C482" s="155">
        <f t="shared" ref="C482:N482" si="308">C189</f>
        <v>53312.049999999996</v>
      </c>
      <c r="D482" s="156">
        <f t="shared" si="308"/>
        <v>47173.49</v>
      </c>
      <c r="E482" s="155">
        <f t="shared" si="308"/>
        <v>59179.15</v>
      </c>
      <c r="F482" s="156">
        <f t="shared" si="308"/>
        <v>56156.62999999999</v>
      </c>
      <c r="G482" s="155">
        <f t="shared" si="308"/>
        <v>59586.210000000006</v>
      </c>
      <c r="H482" s="156">
        <f t="shared" si="308"/>
        <v>74288.500000000015</v>
      </c>
      <c r="I482" s="155">
        <f t="shared" si="308"/>
        <v>80739.149999999994</v>
      </c>
      <c r="J482" s="156">
        <f t="shared" si="308"/>
        <v>64017.39</v>
      </c>
      <c r="K482" s="155">
        <f t="shared" si="308"/>
        <v>61693.97</v>
      </c>
      <c r="L482" s="156">
        <f t="shared" si="308"/>
        <v>54151.8</v>
      </c>
      <c r="M482" s="155">
        <f t="shared" si="308"/>
        <v>52645.03</v>
      </c>
      <c r="N482" s="156">
        <f t="shared" si="308"/>
        <v>54547.539999999994</v>
      </c>
      <c r="O482" s="157">
        <f t="shared" si="306"/>
        <v>717490.91000000015</v>
      </c>
      <c r="Q482" s="151"/>
      <c r="R482" s="152"/>
      <c r="S482" s="152"/>
      <c r="T482" s="152"/>
      <c r="U482" s="152"/>
      <c r="V482" s="153"/>
    </row>
    <row r="483" spans="1:22" ht="15.75">
      <c r="A483" s="83"/>
      <c r="B483" s="154" t="s">
        <v>98</v>
      </c>
      <c r="C483" s="155">
        <f t="shared" ref="C483:N483" si="309">C189+C92</f>
        <v>101453.60999999999</v>
      </c>
      <c r="D483" s="156">
        <f t="shared" si="309"/>
        <v>96195.950000000012</v>
      </c>
      <c r="E483" s="155">
        <f t="shared" si="309"/>
        <v>113056.17000000001</v>
      </c>
      <c r="F483" s="156">
        <f t="shared" si="309"/>
        <v>108728.71999999999</v>
      </c>
      <c r="G483" s="155">
        <f t="shared" si="309"/>
        <v>105878.01000000001</v>
      </c>
      <c r="H483" s="156">
        <f t="shared" si="309"/>
        <v>137377.56000000003</v>
      </c>
      <c r="I483" s="155">
        <f t="shared" si="309"/>
        <v>135896.22</v>
      </c>
      <c r="J483" s="156">
        <f t="shared" si="309"/>
        <v>117300.73</v>
      </c>
      <c r="K483" s="155">
        <f t="shared" si="309"/>
        <v>112166.04000000001</v>
      </c>
      <c r="L483" s="156">
        <f t="shared" si="309"/>
        <v>111915.15</v>
      </c>
      <c r="M483" s="155">
        <f t="shared" si="309"/>
        <v>104881.98999999999</v>
      </c>
      <c r="N483" s="156">
        <f t="shared" si="309"/>
        <v>106489.72999999998</v>
      </c>
      <c r="O483" s="157">
        <f t="shared" si="306"/>
        <v>1351339.88</v>
      </c>
      <c r="P483" s="64"/>
      <c r="Q483" s="33"/>
      <c r="R483" s="56"/>
      <c r="S483" s="80"/>
      <c r="T483" s="57"/>
      <c r="U483" s="57"/>
      <c r="V483" s="41"/>
    </row>
    <row r="484" spans="1:22" s="3" customFormat="1" ht="15.75">
      <c r="A484" s="83" t="s">
        <v>89</v>
      </c>
      <c r="B484" s="154" t="s">
        <v>99</v>
      </c>
      <c r="C484" s="155">
        <f t="shared" ref="C484:N484" si="310">C283</f>
        <v>16786.98</v>
      </c>
      <c r="D484" s="156">
        <f t="shared" si="310"/>
        <v>17257.809999999998</v>
      </c>
      <c r="E484" s="155">
        <f t="shared" si="310"/>
        <v>19214.830000000002</v>
      </c>
      <c r="F484" s="156">
        <f t="shared" si="310"/>
        <v>17087.660000000003</v>
      </c>
      <c r="G484" s="155">
        <f t="shared" si="310"/>
        <v>17289.61</v>
      </c>
      <c r="H484" s="156">
        <f t="shared" si="310"/>
        <v>21340.359999999997</v>
      </c>
      <c r="I484" s="155">
        <f t="shared" si="310"/>
        <v>19619.52</v>
      </c>
      <c r="J484" s="156">
        <f t="shared" si="310"/>
        <v>19958.320000000003</v>
      </c>
      <c r="K484" s="155">
        <f t="shared" si="310"/>
        <v>17978.849999999999</v>
      </c>
      <c r="L484" s="156">
        <f t="shared" si="310"/>
        <v>16894.36</v>
      </c>
      <c r="M484" s="155">
        <f t="shared" si="310"/>
        <v>22099.01</v>
      </c>
      <c r="N484" s="156">
        <f t="shared" si="310"/>
        <v>18411.54</v>
      </c>
      <c r="O484" s="157">
        <f t="shared" si="306"/>
        <v>223938.85</v>
      </c>
      <c r="P484" s="183"/>
      <c r="Q484" s="151"/>
      <c r="R484" s="158"/>
      <c r="S484" s="159"/>
      <c r="T484" s="160"/>
      <c r="U484" s="160"/>
      <c r="V484" s="153"/>
    </row>
    <row r="485" spans="1:22" s="3" customFormat="1" ht="15.75">
      <c r="A485" s="161" t="s">
        <v>470</v>
      </c>
      <c r="B485" s="154" t="s">
        <v>100</v>
      </c>
      <c r="C485" s="155">
        <f t="shared" ref="C485:N485" si="311">C377</f>
        <v>15549.21</v>
      </c>
      <c r="D485" s="156">
        <f t="shared" si="311"/>
        <v>13168.92</v>
      </c>
      <c r="E485" s="155">
        <f t="shared" si="311"/>
        <v>21367.14</v>
      </c>
      <c r="F485" s="156">
        <f t="shared" si="311"/>
        <v>21626.77</v>
      </c>
      <c r="G485" s="155">
        <f t="shared" si="311"/>
        <v>22012.449999999997</v>
      </c>
      <c r="H485" s="156">
        <f t="shared" si="311"/>
        <v>24481.3</v>
      </c>
      <c r="I485" s="155">
        <f t="shared" si="311"/>
        <v>41914.35</v>
      </c>
      <c r="J485" s="156">
        <f t="shared" si="311"/>
        <v>45620.740000000005</v>
      </c>
      <c r="K485" s="155">
        <f t="shared" si="311"/>
        <v>35841.32</v>
      </c>
      <c r="L485" s="156">
        <f t="shared" si="311"/>
        <v>18581.780000000002</v>
      </c>
      <c r="M485" s="155">
        <f t="shared" si="311"/>
        <v>21349.260000000002</v>
      </c>
      <c r="N485" s="156">
        <f t="shared" si="311"/>
        <v>20268.220000000005</v>
      </c>
      <c r="O485" s="157">
        <f t="shared" si="306"/>
        <v>301781.46000000002</v>
      </c>
      <c r="P485" s="183"/>
      <c r="Q485" s="151"/>
      <c r="R485" s="158"/>
      <c r="S485" s="159"/>
      <c r="T485" s="160"/>
      <c r="U485" s="160"/>
      <c r="V485" s="153"/>
    </row>
    <row r="486" spans="1:22" s="3" customFormat="1" ht="15.75">
      <c r="A486" s="161" t="s">
        <v>101</v>
      </c>
      <c r="B486" s="154" t="s">
        <v>102</v>
      </c>
      <c r="C486" s="155">
        <v>636.46</v>
      </c>
      <c r="D486" s="156">
        <v>845.4</v>
      </c>
      <c r="E486" s="155">
        <v>686.21</v>
      </c>
      <c r="F486" s="156">
        <v>1015.3</v>
      </c>
      <c r="G486" s="155">
        <v>1336.95</v>
      </c>
      <c r="H486" s="156">
        <v>462.19</v>
      </c>
      <c r="I486" s="155">
        <v>963.52</v>
      </c>
      <c r="J486" s="156">
        <v>1168.3599999999999</v>
      </c>
      <c r="K486" s="155">
        <v>869.98</v>
      </c>
      <c r="L486" s="156">
        <v>1446.43</v>
      </c>
      <c r="M486" s="155">
        <v>998.78</v>
      </c>
      <c r="N486" s="156">
        <v>771.51</v>
      </c>
      <c r="O486" s="157">
        <f t="shared" si="306"/>
        <v>11201.09</v>
      </c>
      <c r="Q486" s="151"/>
      <c r="R486" s="158"/>
      <c r="S486" s="159"/>
      <c r="T486" s="160"/>
      <c r="U486" s="160"/>
      <c r="V486" s="153"/>
    </row>
    <row r="487" spans="1:22" s="3" customFormat="1" ht="16.5" thickBot="1">
      <c r="A487" s="161" t="s">
        <v>471</v>
      </c>
      <c r="B487" s="154" t="s">
        <v>103</v>
      </c>
      <c r="C487" s="155">
        <v>0</v>
      </c>
      <c r="D487" s="156">
        <v>502.6</v>
      </c>
      <c r="E487" s="155">
        <v>572.41999999999996</v>
      </c>
      <c r="F487" s="156">
        <v>472.28</v>
      </c>
      <c r="G487" s="155">
        <v>0</v>
      </c>
      <c r="H487" s="156">
        <v>787.13</v>
      </c>
      <c r="I487" s="155">
        <v>226.34</v>
      </c>
      <c r="J487" s="156">
        <v>317.51</v>
      </c>
      <c r="K487" s="155">
        <v>91.17</v>
      </c>
      <c r="L487" s="156">
        <v>23.36</v>
      </c>
      <c r="M487" s="155">
        <v>0</v>
      </c>
      <c r="N487" s="156">
        <v>333.95</v>
      </c>
      <c r="O487" s="157">
        <f t="shared" si="306"/>
        <v>3326.7599999999998</v>
      </c>
      <c r="Q487" s="151"/>
      <c r="R487" s="158"/>
      <c r="S487" s="159"/>
      <c r="T487" s="160"/>
      <c r="U487" s="160"/>
      <c r="V487" s="153"/>
    </row>
    <row r="488" spans="1:22" s="169" customFormat="1" ht="16.5" thickBot="1">
      <c r="A488" s="162" t="s">
        <v>104</v>
      </c>
      <c r="B488" s="163" t="s">
        <v>105</v>
      </c>
      <c r="C488" s="84">
        <f t="shared" ref="C488:O488" si="312">SUM(C483:C487)</f>
        <v>134426.25999999998</v>
      </c>
      <c r="D488" s="85">
        <f t="shared" si="312"/>
        <v>127970.68000000001</v>
      </c>
      <c r="E488" s="84">
        <f t="shared" si="312"/>
        <v>154896.77000000002</v>
      </c>
      <c r="F488" s="85">
        <f t="shared" si="312"/>
        <v>148930.72999999998</v>
      </c>
      <c r="G488" s="84">
        <f t="shared" si="312"/>
        <v>146517.02000000002</v>
      </c>
      <c r="H488" s="85">
        <f t="shared" si="312"/>
        <v>184448.54</v>
      </c>
      <c r="I488" s="84">
        <f t="shared" si="312"/>
        <v>198619.94999999998</v>
      </c>
      <c r="J488" s="85">
        <f t="shared" si="312"/>
        <v>184365.65999999997</v>
      </c>
      <c r="K488" s="84">
        <f t="shared" si="312"/>
        <v>166947.36000000004</v>
      </c>
      <c r="L488" s="85">
        <f t="shared" si="312"/>
        <v>148861.07999999999</v>
      </c>
      <c r="M488" s="84">
        <f t="shared" si="312"/>
        <v>149329.03999999998</v>
      </c>
      <c r="N488" s="85">
        <f t="shared" si="312"/>
        <v>146274.95000000001</v>
      </c>
      <c r="O488" s="86">
        <f t="shared" si="312"/>
        <v>1891588.04</v>
      </c>
      <c r="Q488" s="164"/>
      <c r="R488" s="165"/>
      <c r="S488" s="166"/>
      <c r="T488" s="167"/>
      <c r="U488" s="167"/>
      <c r="V488" s="168"/>
    </row>
    <row r="489" spans="1:22" s="178" customFormat="1" ht="16.5" thickBot="1">
      <c r="A489" s="170" t="s">
        <v>104</v>
      </c>
      <c r="B489" s="171" t="s">
        <v>107</v>
      </c>
      <c r="C489" s="172">
        <f t="shared" ref="C489:N489" si="313">SUM(C483:C487)</f>
        <v>134426.25999999998</v>
      </c>
      <c r="D489" s="172">
        <f t="shared" si="313"/>
        <v>127970.68000000001</v>
      </c>
      <c r="E489" s="172">
        <f t="shared" si="313"/>
        <v>154896.77000000002</v>
      </c>
      <c r="F489" s="172">
        <f t="shared" si="313"/>
        <v>148930.72999999998</v>
      </c>
      <c r="G489" s="172">
        <f t="shared" si="313"/>
        <v>146517.02000000002</v>
      </c>
      <c r="H489" s="172">
        <f t="shared" si="313"/>
        <v>184448.54</v>
      </c>
      <c r="I489" s="172">
        <f t="shared" si="313"/>
        <v>198619.94999999998</v>
      </c>
      <c r="J489" s="172">
        <f t="shared" si="313"/>
        <v>184365.65999999997</v>
      </c>
      <c r="K489" s="172">
        <f t="shared" si="313"/>
        <v>166947.36000000004</v>
      </c>
      <c r="L489" s="172">
        <f t="shared" si="313"/>
        <v>148861.07999999999</v>
      </c>
      <c r="M489" s="172">
        <f t="shared" si="313"/>
        <v>149329.03999999998</v>
      </c>
      <c r="N489" s="172">
        <f t="shared" si="313"/>
        <v>146274.95000000001</v>
      </c>
      <c r="O489" s="184">
        <f>SUM(O480:O487)</f>
        <v>3254274.7899999996</v>
      </c>
      <c r="P489" s="174"/>
      <c r="Q489" s="173"/>
      <c r="R489" s="174"/>
      <c r="S489" s="175"/>
      <c r="T489" s="176"/>
      <c r="U489" s="176"/>
      <c r="V489" s="177"/>
    </row>
    <row r="490" spans="1:22" s="3" customFormat="1">
      <c r="A490" s="4"/>
      <c r="C490" s="179">
        <f t="shared" ref="C490:O490" si="314">C481+C480</f>
        <v>51923.85</v>
      </c>
      <c r="D490" s="179">
        <f t="shared" si="314"/>
        <v>52804.750000000007</v>
      </c>
      <c r="E490" s="179">
        <f t="shared" si="314"/>
        <v>57659.310000000005</v>
      </c>
      <c r="F490" s="179">
        <f t="shared" si="314"/>
        <v>52572.09</v>
      </c>
      <c r="G490" s="179">
        <f t="shared" si="314"/>
        <v>46291.799999999996</v>
      </c>
      <c r="H490" s="179">
        <f t="shared" si="314"/>
        <v>63089.060000000005</v>
      </c>
      <c r="I490" s="179">
        <f t="shared" si="314"/>
        <v>55157.07</v>
      </c>
      <c r="J490" s="179">
        <f t="shared" si="314"/>
        <v>53283.34</v>
      </c>
      <c r="K490" s="179">
        <f t="shared" si="314"/>
        <v>50472.07</v>
      </c>
      <c r="L490" s="179">
        <f t="shared" si="314"/>
        <v>57763.35</v>
      </c>
      <c r="M490" s="179">
        <f t="shared" si="314"/>
        <v>52236.959999999999</v>
      </c>
      <c r="N490" s="179">
        <f t="shared" si="314"/>
        <v>51942.189999999995</v>
      </c>
      <c r="O490" s="179">
        <f t="shared" si="314"/>
        <v>645195.84</v>
      </c>
    </row>
    <row r="491" spans="1:22" s="3" customFormat="1">
      <c r="A491" s="4"/>
      <c r="C491" s="179"/>
      <c r="D491" s="179"/>
      <c r="E491" s="179"/>
      <c r="F491" s="179"/>
      <c r="G491" s="179"/>
      <c r="H491" s="179"/>
      <c r="I491" s="179"/>
      <c r="J491" s="179"/>
      <c r="K491" s="179"/>
      <c r="L491" s="179"/>
      <c r="M491" s="179"/>
      <c r="N491" s="179"/>
      <c r="O491" s="179"/>
    </row>
    <row r="492" spans="1:22" s="3" customFormat="1">
      <c r="A492" s="4"/>
      <c r="C492" s="179"/>
      <c r="D492" s="179"/>
      <c r="E492" s="179"/>
      <c r="F492" s="179"/>
      <c r="G492" s="179"/>
      <c r="H492" s="179"/>
      <c r="I492" s="179"/>
      <c r="J492" s="179"/>
      <c r="K492" s="179"/>
      <c r="L492" s="179"/>
      <c r="M492" s="179"/>
      <c r="N492" s="179"/>
      <c r="O492" s="2"/>
    </row>
    <row r="493" spans="1:22" s="3" customFormat="1">
      <c r="A493" s="4"/>
      <c r="C493" s="179"/>
      <c r="D493" s="179"/>
      <c r="E493" s="179"/>
      <c r="F493" s="179"/>
      <c r="G493" s="179"/>
      <c r="H493" s="179"/>
      <c r="I493" s="179"/>
      <c r="J493" s="179"/>
      <c r="K493" s="179"/>
      <c r="L493" s="179"/>
      <c r="M493" s="179"/>
      <c r="N493" s="179"/>
      <c r="O493" s="179"/>
    </row>
    <row r="494" spans="1:22" s="3" customFormat="1">
      <c r="A494" s="4"/>
      <c r="C494" s="2"/>
      <c r="D494" s="2"/>
      <c r="E494" s="2"/>
      <c r="F494" s="2"/>
      <c r="G494" s="2"/>
      <c r="H494" s="2"/>
      <c r="I494" s="2"/>
      <c r="J494" s="2"/>
      <c r="K494" s="2"/>
      <c r="L494" s="2"/>
      <c r="M494" s="2"/>
      <c r="N494" s="2"/>
      <c r="O494" s="179"/>
    </row>
    <row r="495" spans="1:22" s="3" customFormat="1">
      <c r="A495" s="4"/>
      <c r="C495" s="2"/>
      <c r="D495" s="2"/>
      <c r="E495" s="2"/>
      <c r="F495" s="2"/>
      <c r="G495" s="2"/>
      <c r="H495" s="2"/>
      <c r="I495" s="2"/>
      <c r="J495" s="2"/>
      <c r="K495" s="2"/>
      <c r="L495" s="2"/>
      <c r="M495" s="2"/>
      <c r="N495" s="2"/>
      <c r="O495" s="2"/>
    </row>
    <row r="496" spans="1:22" s="3" customFormat="1">
      <c r="A496" s="4"/>
      <c r="C496" s="2"/>
      <c r="D496" s="2"/>
      <c r="E496" s="2"/>
      <c r="F496" s="2"/>
      <c r="G496" s="2"/>
      <c r="H496" s="2"/>
      <c r="I496" s="2"/>
      <c r="J496" s="2"/>
      <c r="K496" s="2"/>
      <c r="L496" s="2"/>
      <c r="M496" s="2"/>
      <c r="N496" s="2"/>
      <c r="O496" s="2"/>
    </row>
    <row r="497" spans="1:15" s="3" customFormat="1">
      <c r="A497" s="4"/>
      <c r="C497" s="2"/>
      <c r="D497" s="2"/>
      <c r="E497" s="2"/>
      <c r="F497" s="2"/>
      <c r="G497" s="2"/>
      <c r="H497" s="2"/>
      <c r="I497" s="2"/>
      <c r="J497" s="2"/>
      <c r="K497" s="2"/>
      <c r="L497" s="2"/>
      <c r="M497" s="2"/>
      <c r="N497" s="2"/>
      <c r="O497" s="2"/>
    </row>
    <row r="498" spans="1:15" s="3" customFormat="1">
      <c r="A498" s="4"/>
      <c r="C498" s="2"/>
      <c r="D498" s="2"/>
      <c r="E498" s="2"/>
      <c r="F498" s="2"/>
      <c r="G498" s="2"/>
      <c r="H498" s="2"/>
      <c r="I498" s="2"/>
      <c r="J498" s="2"/>
      <c r="K498" s="2"/>
      <c r="L498" s="2"/>
      <c r="M498" s="2"/>
      <c r="N498" s="2"/>
      <c r="O498" s="2"/>
    </row>
    <row r="499" spans="1:15" s="3" customFormat="1">
      <c r="A499" s="4"/>
      <c r="C499" s="2"/>
      <c r="D499" s="2"/>
      <c r="E499" s="2"/>
      <c r="F499" s="2"/>
      <c r="G499" s="2"/>
      <c r="H499" s="2"/>
      <c r="I499" s="2"/>
      <c r="J499" s="2"/>
      <c r="K499" s="2"/>
      <c r="L499" s="2"/>
      <c r="M499" s="2"/>
      <c r="N499" s="2"/>
      <c r="O499" s="2"/>
    </row>
    <row r="500" spans="1:15" s="3" customFormat="1">
      <c r="A500" s="4"/>
      <c r="C500" s="2"/>
      <c r="D500" s="2"/>
      <c r="E500" s="2"/>
      <c r="F500" s="2"/>
      <c r="G500" s="2"/>
      <c r="H500" s="2"/>
      <c r="I500" s="2"/>
      <c r="J500" s="2"/>
      <c r="K500" s="2"/>
      <c r="L500" s="2"/>
      <c r="M500" s="2"/>
      <c r="N500" s="2"/>
      <c r="O500" s="2"/>
    </row>
    <row r="501" spans="1:15" s="3" customFormat="1">
      <c r="A501" s="4"/>
      <c r="C501" s="2"/>
      <c r="D501" s="2"/>
      <c r="E501" s="2"/>
      <c r="F501" s="2"/>
      <c r="G501" s="2"/>
      <c r="H501" s="2"/>
      <c r="I501" s="2"/>
      <c r="J501" s="2"/>
      <c r="K501" s="2"/>
      <c r="L501" s="2"/>
      <c r="M501" s="2"/>
      <c r="N501" s="2"/>
      <c r="O501" s="2"/>
    </row>
    <row r="502" spans="1:15" s="3" customFormat="1">
      <c r="A502" s="4"/>
      <c r="C502" s="2"/>
      <c r="D502" s="2"/>
      <c r="E502" s="2"/>
      <c r="F502" s="2"/>
      <c r="G502" s="2"/>
      <c r="H502" s="2"/>
      <c r="I502" s="2"/>
      <c r="J502" s="2"/>
      <c r="K502" s="2"/>
      <c r="L502" s="2"/>
      <c r="M502" s="2"/>
      <c r="N502" s="2"/>
      <c r="O502" s="2"/>
    </row>
    <row r="503" spans="1:15" s="3" customFormat="1">
      <c r="A503" s="4"/>
      <c r="C503" s="2"/>
      <c r="D503" s="2"/>
      <c r="E503" s="2"/>
      <c r="F503" s="2"/>
      <c r="G503" s="2"/>
      <c r="H503" s="2"/>
      <c r="I503" s="2"/>
      <c r="J503" s="2"/>
      <c r="K503" s="2"/>
      <c r="L503" s="2"/>
      <c r="M503" s="2"/>
      <c r="N503" s="2"/>
      <c r="O503" s="2"/>
    </row>
    <row r="504" spans="1:15" s="3" customFormat="1">
      <c r="A504" s="4"/>
      <c r="C504" s="2"/>
      <c r="D504" s="2"/>
      <c r="E504" s="2"/>
      <c r="F504" s="2"/>
      <c r="G504" s="2"/>
      <c r="H504" s="2"/>
      <c r="I504" s="2"/>
      <c r="J504" s="2"/>
      <c r="K504" s="2"/>
      <c r="L504" s="2"/>
      <c r="M504" s="2"/>
      <c r="N504" s="2"/>
      <c r="O504" s="2"/>
    </row>
    <row r="505" spans="1:15" s="3" customFormat="1">
      <c r="A505" s="4"/>
      <c r="C505" s="2"/>
      <c r="D505" s="2"/>
      <c r="E505" s="2"/>
      <c r="F505" s="2"/>
      <c r="G505" s="2"/>
      <c r="H505" s="2"/>
      <c r="I505" s="2"/>
      <c r="J505" s="2"/>
      <c r="K505" s="2"/>
      <c r="L505" s="2"/>
      <c r="M505" s="2"/>
      <c r="N505" s="2"/>
      <c r="O505" s="2"/>
    </row>
    <row r="506" spans="1:15" s="3" customFormat="1">
      <c r="A506" s="4"/>
      <c r="C506" s="2"/>
      <c r="D506" s="2"/>
      <c r="E506" s="2"/>
      <c r="F506" s="2"/>
      <c r="G506" s="2"/>
      <c r="H506" s="2"/>
      <c r="I506" s="2"/>
      <c r="J506" s="2"/>
      <c r="K506" s="2"/>
      <c r="L506" s="2"/>
      <c r="M506" s="2"/>
      <c r="N506" s="2"/>
      <c r="O506" s="2"/>
    </row>
    <row r="507" spans="1:15" s="3" customFormat="1">
      <c r="A507" s="4"/>
      <c r="C507" s="2"/>
      <c r="D507" s="2"/>
      <c r="E507" s="2"/>
      <c r="F507" s="2"/>
      <c r="G507" s="2"/>
      <c r="H507" s="2"/>
      <c r="I507" s="2"/>
      <c r="J507" s="2"/>
      <c r="K507" s="2"/>
      <c r="L507" s="2"/>
      <c r="M507" s="2"/>
      <c r="N507" s="2"/>
      <c r="O507" s="2"/>
    </row>
    <row r="508" spans="1:15" s="3" customFormat="1">
      <c r="A508" s="4"/>
      <c r="C508" s="2"/>
      <c r="D508" s="2"/>
      <c r="E508" s="2"/>
      <c r="F508" s="2"/>
      <c r="G508" s="2"/>
      <c r="H508" s="2"/>
      <c r="I508" s="2"/>
      <c r="J508" s="2"/>
      <c r="K508" s="2"/>
      <c r="L508" s="2"/>
      <c r="M508" s="2"/>
      <c r="N508" s="2"/>
      <c r="O508" s="2"/>
    </row>
    <row r="509" spans="1:15" s="3" customFormat="1">
      <c r="A509" s="4"/>
      <c r="C509" s="2"/>
      <c r="D509" s="2"/>
      <c r="E509" s="2"/>
      <c r="F509" s="2"/>
      <c r="G509" s="2"/>
      <c r="H509" s="2"/>
      <c r="I509" s="2"/>
      <c r="J509" s="2"/>
      <c r="K509" s="2"/>
      <c r="L509" s="2"/>
      <c r="M509" s="2"/>
      <c r="N509" s="2"/>
      <c r="O509" s="2"/>
    </row>
    <row r="510" spans="1:15" s="3" customFormat="1">
      <c r="A510" s="4"/>
      <c r="C510" s="2"/>
      <c r="D510" s="2"/>
      <c r="E510" s="2"/>
      <c r="F510" s="2"/>
      <c r="G510" s="2"/>
      <c r="H510" s="2"/>
      <c r="I510" s="2"/>
      <c r="J510" s="2"/>
      <c r="K510" s="2"/>
      <c r="L510" s="2"/>
      <c r="M510" s="2"/>
      <c r="N510" s="2"/>
      <c r="O510" s="2"/>
    </row>
    <row r="511" spans="1:15" s="3" customFormat="1">
      <c r="A511" s="4"/>
      <c r="C511" s="2"/>
      <c r="D511" s="2"/>
      <c r="E511" s="2"/>
      <c r="F511" s="2"/>
      <c r="G511" s="2"/>
      <c r="H511" s="2"/>
      <c r="I511" s="2"/>
      <c r="J511" s="2"/>
      <c r="K511" s="2"/>
      <c r="L511" s="2"/>
      <c r="M511" s="2"/>
      <c r="N511" s="2"/>
      <c r="O511" s="2"/>
    </row>
    <row r="512" spans="1:15" s="3" customFormat="1">
      <c r="A512" s="4"/>
      <c r="C512" s="2"/>
      <c r="D512" s="2"/>
      <c r="E512" s="2"/>
      <c r="F512" s="2"/>
      <c r="G512" s="2"/>
      <c r="H512" s="2"/>
      <c r="I512" s="2"/>
      <c r="J512" s="2"/>
      <c r="K512" s="2"/>
      <c r="L512" s="2"/>
      <c r="M512" s="2"/>
      <c r="N512" s="2"/>
      <c r="O512" s="2"/>
    </row>
    <row r="513" spans="1:15" s="3" customFormat="1">
      <c r="A513" s="4"/>
      <c r="C513" s="2"/>
      <c r="D513" s="2"/>
      <c r="E513" s="2"/>
      <c r="F513" s="2"/>
      <c r="G513" s="2"/>
      <c r="H513" s="2"/>
      <c r="I513" s="2"/>
      <c r="J513" s="2"/>
      <c r="K513" s="2"/>
      <c r="L513" s="2"/>
      <c r="M513" s="2"/>
      <c r="N513" s="2"/>
      <c r="O513" s="2"/>
    </row>
    <row r="514" spans="1:15" s="3" customFormat="1">
      <c r="A514" s="4"/>
      <c r="C514" s="2"/>
      <c r="D514" s="2"/>
      <c r="E514" s="2"/>
      <c r="F514" s="2"/>
      <c r="G514" s="2"/>
      <c r="H514" s="2"/>
      <c r="I514" s="2"/>
      <c r="J514" s="2"/>
      <c r="K514" s="2"/>
      <c r="L514" s="2"/>
      <c r="M514" s="2"/>
      <c r="N514" s="2"/>
      <c r="O514" s="2"/>
    </row>
    <row r="515" spans="1:15" s="3" customFormat="1">
      <c r="A515" s="4"/>
      <c r="C515" s="2"/>
      <c r="D515" s="2"/>
      <c r="E515" s="2"/>
      <c r="F515" s="2"/>
      <c r="G515" s="2"/>
      <c r="H515" s="2"/>
      <c r="I515" s="2"/>
      <c r="J515" s="2"/>
      <c r="K515" s="2"/>
      <c r="L515" s="2"/>
      <c r="M515" s="2"/>
      <c r="N515" s="2"/>
      <c r="O515" s="2"/>
    </row>
    <row r="516" spans="1:15" s="3" customFormat="1">
      <c r="A516" s="4"/>
      <c r="C516" s="2"/>
      <c r="D516" s="2"/>
      <c r="E516" s="2"/>
      <c r="F516" s="2"/>
      <c r="G516" s="2"/>
      <c r="H516" s="2"/>
      <c r="I516" s="2"/>
      <c r="J516" s="2"/>
      <c r="K516" s="2"/>
      <c r="L516" s="2"/>
      <c r="M516" s="2"/>
      <c r="N516" s="2"/>
      <c r="O516" s="2"/>
    </row>
    <row r="517" spans="1:15" s="3" customFormat="1">
      <c r="A517" s="4"/>
      <c r="C517" s="2"/>
      <c r="D517" s="2"/>
      <c r="E517" s="2"/>
      <c r="F517" s="2"/>
      <c r="G517" s="2"/>
      <c r="H517" s="2"/>
      <c r="I517" s="2"/>
      <c r="J517" s="2"/>
      <c r="K517" s="2"/>
      <c r="L517" s="2"/>
      <c r="M517" s="2"/>
      <c r="N517" s="2"/>
      <c r="O517" s="2"/>
    </row>
    <row r="518" spans="1:15" s="3" customFormat="1">
      <c r="A518" s="4"/>
      <c r="C518" s="2"/>
      <c r="D518" s="2"/>
      <c r="E518" s="2"/>
      <c r="F518" s="2"/>
      <c r="G518" s="2"/>
      <c r="H518" s="2"/>
      <c r="I518" s="2"/>
      <c r="J518" s="2"/>
      <c r="K518" s="2"/>
      <c r="L518" s="2"/>
      <c r="M518" s="2"/>
      <c r="N518" s="2"/>
      <c r="O518" s="2"/>
    </row>
    <row r="519" spans="1:15" s="3" customFormat="1">
      <c r="A519" s="4"/>
      <c r="C519" s="2"/>
      <c r="D519" s="2"/>
      <c r="E519" s="2"/>
      <c r="F519" s="2"/>
      <c r="G519" s="2"/>
      <c r="H519" s="2"/>
      <c r="I519" s="2"/>
      <c r="J519" s="2"/>
      <c r="K519" s="2"/>
      <c r="L519" s="2"/>
      <c r="M519" s="2"/>
      <c r="N519" s="2"/>
      <c r="O519" s="2"/>
    </row>
    <row r="520" spans="1:15" s="3" customFormat="1">
      <c r="A520" s="4"/>
      <c r="C520" s="2"/>
      <c r="D520" s="2"/>
      <c r="E520" s="2"/>
      <c r="F520" s="2"/>
      <c r="G520" s="2"/>
      <c r="H520" s="2"/>
      <c r="I520" s="2"/>
      <c r="J520" s="2"/>
      <c r="K520" s="2"/>
      <c r="L520" s="2"/>
      <c r="M520" s="2"/>
      <c r="N520" s="2"/>
      <c r="O520" s="2"/>
    </row>
    <row r="521" spans="1:15" s="3" customFormat="1">
      <c r="A521" s="4"/>
      <c r="C521" s="2"/>
      <c r="D521" s="2"/>
      <c r="E521" s="2"/>
      <c r="F521" s="2"/>
      <c r="G521" s="2"/>
      <c r="H521" s="2"/>
      <c r="I521" s="2"/>
      <c r="J521" s="2"/>
      <c r="K521" s="2"/>
      <c r="L521" s="2"/>
      <c r="M521" s="2"/>
      <c r="N521" s="2"/>
      <c r="O521" s="2"/>
    </row>
    <row r="522" spans="1:15" s="3" customFormat="1">
      <c r="A522" s="4"/>
      <c r="C522" s="2"/>
      <c r="D522" s="2"/>
      <c r="E522" s="2"/>
      <c r="F522" s="2"/>
      <c r="G522" s="2"/>
      <c r="H522" s="2"/>
      <c r="I522" s="2"/>
      <c r="J522" s="2"/>
      <c r="K522" s="2"/>
      <c r="L522" s="2"/>
      <c r="M522" s="2"/>
      <c r="N522" s="2"/>
      <c r="O522" s="2"/>
    </row>
    <row r="523" spans="1:15" s="3" customFormat="1">
      <c r="A523" s="4"/>
      <c r="C523" s="2"/>
      <c r="D523" s="2"/>
      <c r="E523" s="2"/>
      <c r="F523" s="2"/>
      <c r="G523" s="2"/>
      <c r="H523" s="2"/>
      <c r="I523" s="2"/>
      <c r="J523" s="2"/>
      <c r="K523" s="2"/>
      <c r="L523" s="2"/>
      <c r="M523" s="2"/>
      <c r="N523" s="2"/>
      <c r="O523" s="2"/>
    </row>
    <row r="524" spans="1:15" s="3" customFormat="1">
      <c r="A524" s="4"/>
      <c r="C524" s="2"/>
      <c r="D524" s="2"/>
      <c r="E524" s="2"/>
      <c r="F524" s="2"/>
      <c r="G524" s="2"/>
      <c r="H524" s="2"/>
      <c r="I524" s="2"/>
      <c r="J524" s="2"/>
      <c r="K524" s="2"/>
      <c r="L524" s="2"/>
      <c r="M524" s="2"/>
      <c r="N524" s="2"/>
      <c r="O524" s="2"/>
    </row>
    <row r="525" spans="1:15" s="3" customFormat="1">
      <c r="A525" s="4"/>
      <c r="C525" s="2"/>
      <c r="D525" s="2"/>
      <c r="E525" s="2"/>
      <c r="F525" s="2"/>
      <c r="G525" s="2"/>
      <c r="H525" s="2"/>
      <c r="I525" s="2"/>
      <c r="J525" s="2"/>
      <c r="K525" s="2"/>
      <c r="L525" s="2"/>
      <c r="M525" s="2"/>
      <c r="N525" s="2"/>
      <c r="O525" s="2"/>
    </row>
    <row r="526" spans="1:15" s="3" customFormat="1">
      <c r="A526" s="4"/>
      <c r="C526" s="2"/>
      <c r="D526" s="2"/>
      <c r="E526" s="2"/>
      <c r="F526" s="2"/>
      <c r="G526" s="2"/>
      <c r="H526" s="2"/>
      <c r="I526" s="2"/>
      <c r="J526" s="2"/>
      <c r="K526" s="2"/>
      <c r="L526" s="2"/>
      <c r="M526" s="2"/>
      <c r="N526" s="2"/>
      <c r="O526" s="2"/>
    </row>
    <row r="527" spans="1:15" s="3" customFormat="1">
      <c r="A527" s="4"/>
      <c r="C527" s="2"/>
      <c r="D527" s="2"/>
      <c r="E527" s="2"/>
      <c r="F527" s="2"/>
      <c r="G527" s="2"/>
      <c r="H527" s="2"/>
      <c r="I527" s="2"/>
      <c r="J527" s="2"/>
      <c r="K527" s="2"/>
      <c r="L527" s="2"/>
      <c r="M527" s="2"/>
      <c r="N527" s="2"/>
      <c r="O527" s="2"/>
    </row>
    <row r="528" spans="1:15" s="3" customFormat="1">
      <c r="A528" s="4"/>
      <c r="C528" s="2"/>
      <c r="D528" s="2"/>
      <c r="E528" s="2"/>
      <c r="F528" s="2"/>
      <c r="G528" s="2"/>
      <c r="H528" s="2"/>
      <c r="I528" s="2"/>
      <c r="J528" s="2"/>
      <c r="K528" s="2"/>
      <c r="L528" s="2"/>
      <c r="M528" s="2"/>
      <c r="N528" s="2"/>
      <c r="O528" s="2"/>
    </row>
    <row r="529" spans="1:15" s="3" customFormat="1">
      <c r="A529" s="4"/>
      <c r="C529" s="2"/>
      <c r="D529" s="2"/>
      <c r="E529" s="2"/>
      <c r="F529" s="2"/>
      <c r="G529" s="2"/>
      <c r="H529" s="2"/>
      <c r="I529" s="2"/>
      <c r="J529" s="2"/>
      <c r="K529" s="2"/>
      <c r="L529" s="2"/>
      <c r="M529" s="2"/>
      <c r="N529" s="2"/>
      <c r="O529" s="2"/>
    </row>
    <row r="530" spans="1:15" s="3" customFormat="1">
      <c r="A530" s="4"/>
      <c r="C530" s="2"/>
      <c r="D530" s="2"/>
      <c r="E530" s="2"/>
      <c r="F530" s="2"/>
      <c r="G530" s="2"/>
      <c r="H530" s="2"/>
      <c r="I530" s="2"/>
      <c r="J530" s="2"/>
      <c r="K530" s="2"/>
      <c r="L530" s="2"/>
      <c r="M530" s="2"/>
      <c r="N530" s="2"/>
      <c r="O530" s="2"/>
    </row>
    <row r="531" spans="1:15" s="3" customFormat="1">
      <c r="A531" s="4"/>
      <c r="C531" s="2"/>
      <c r="D531" s="2"/>
      <c r="E531" s="2"/>
      <c r="F531" s="2"/>
      <c r="G531" s="2"/>
      <c r="H531" s="2"/>
      <c r="I531" s="2"/>
      <c r="J531" s="2"/>
      <c r="K531" s="2"/>
      <c r="L531" s="2"/>
      <c r="M531" s="2"/>
      <c r="N531" s="2"/>
      <c r="O531" s="2"/>
    </row>
    <row r="532" spans="1:15" s="3" customFormat="1">
      <c r="A532" s="4"/>
      <c r="C532" s="2"/>
      <c r="D532" s="2"/>
      <c r="E532" s="2"/>
      <c r="F532" s="2"/>
      <c r="G532" s="2"/>
      <c r="H532" s="2"/>
      <c r="I532" s="2"/>
      <c r="J532" s="2"/>
      <c r="K532" s="2"/>
      <c r="L532" s="2"/>
      <c r="M532" s="2"/>
      <c r="N532" s="2"/>
      <c r="O532" s="2"/>
    </row>
    <row r="533" spans="1:15" s="3" customFormat="1">
      <c r="A533" s="4"/>
      <c r="C533" s="2"/>
      <c r="D533" s="2"/>
      <c r="E533" s="2"/>
      <c r="F533" s="2"/>
      <c r="G533" s="2"/>
      <c r="H533" s="2"/>
      <c r="I533" s="2"/>
      <c r="J533" s="2"/>
      <c r="K533" s="2"/>
      <c r="L533" s="2"/>
      <c r="M533" s="2"/>
      <c r="N533" s="2"/>
      <c r="O533" s="2"/>
    </row>
    <row r="534" spans="1:15" s="3" customFormat="1">
      <c r="A534" s="4"/>
      <c r="C534" s="2"/>
      <c r="D534" s="2"/>
      <c r="E534" s="2"/>
      <c r="F534" s="2"/>
      <c r="G534" s="2"/>
      <c r="H534" s="2"/>
      <c r="I534" s="2"/>
      <c r="J534" s="2"/>
      <c r="K534" s="2"/>
      <c r="L534" s="2"/>
      <c r="M534" s="2"/>
      <c r="N534" s="2"/>
      <c r="O534" s="2"/>
    </row>
    <row r="535" spans="1:15" s="3" customFormat="1">
      <c r="A535" s="4"/>
      <c r="C535" s="2"/>
      <c r="D535" s="2"/>
      <c r="E535" s="2"/>
      <c r="F535" s="2"/>
      <c r="G535" s="2"/>
      <c r="H535" s="2"/>
      <c r="I535" s="2"/>
      <c r="J535" s="2"/>
      <c r="K535" s="2"/>
      <c r="L535" s="2"/>
      <c r="M535" s="2"/>
      <c r="N535" s="2"/>
      <c r="O535" s="2"/>
    </row>
    <row r="536" spans="1:15" s="3" customFormat="1">
      <c r="A536" s="4"/>
      <c r="C536" s="2"/>
      <c r="D536" s="2"/>
      <c r="E536" s="2"/>
      <c r="F536" s="2"/>
      <c r="G536" s="2"/>
      <c r="H536" s="2"/>
      <c r="I536" s="2"/>
      <c r="J536" s="2"/>
      <c r="K536" s="2"/>
      <c r="L536" s="2"/>
      <c r="M536" s="2"/>
      <c r="N536" s="2"/>
      <c r="O536" s="2"/>
    </row>
    <row r="537" spans="1:15" s="3" customFormat="1">
      <c r="A537" s="4"/>
      <c r="C537" s="2"/>
      <c r="D537" s="2"/>
      <c r="E537" s="2"/>
      <c r="F537" s="2"/>
      <c r="G537" s="2"/>
      <c r="H537" s="2"/>
      <c r="I537" s="2"/>
      <c r="J537" s="2"/>
      <c r="K537" s="2"/>
      <c r="L537" s="2"/>
      <c r="M537" s="2"/>
      <c r="N537" s="2"/>
      <c r="O537" s="2"/>
    </row>
    <row r="538" spans="1:15" s="3" customFormat="1">
      <c r="A538" s="4"/>
      <c r="C538" s="2"/>
      <c r="D538" s="2"/>
      <c r="E538" s="2"/>
      <c r="F538" s="2"/>
      <c r="G538" s="2"/>
      <c r="H538" s="2"/>
      <c r="I538" s="2"/>
      <c r="J538" s="2"/>
      <c r="K538" s="2"/>
      <c r="L538" s="2"/>
      <c r="M538" s="2"/>
      <c r="N538" s="2"/>
      <c r="O538" s="2"/>
    </row>
    <row r="539" spans="1:15" s="3" customFormat="1">
      <c r="A539" s="4"/>
      <c r="C539" s="2"/>
      <c r="D539" s="2"/>
      <c r="E539" s="2"/>
      <c r="F539" s="2"/>
      <c r="G539" s="2"/>
      <c r="H539" s="2"/>
      <c r="I539" s="2"/>
      <c r="J539" s="2"/>
      <c r="K539" s="2"/>
      <c r="L539" s="2"/>
      <c r="M539" s="2"/>
      <c r="N539" s="2"/>
      <c r="O539" s="2"/>
    </row>
    <row r="540" spans="1:15" s="3" customFormat="1">
      <c r="A540" s="4"/>
      <c r="C540" s="2"/>
      <c r="D540" s="2"/>
      <c r="E540" s="2"/>
      <c r="F540" s="2"/>
      <c r="G540" s="2"/>
      <c r="H540" s="2"/>
      <c r="I540" s="2"/>
      <c r="J540" s="2"/>
      <c r="K540" s="2"/>
      <c r="L540" s="2"/>
      <c r="M540" s="2"/>
      <c r="N540" s="2"/>
      <c r="O540" s="2"/>
    </row>
    <row r="541" spans="1:15" s="3" customFormat="1">
      <c r="A541" s="4"/>
      <c r="C541" s="2"/>
      <c r="D541" s="2"/>
      <c r="E541" s="2"/>
      <c r="F541" s="2"/>
      <c r="G541" s="2"/>
      <c r="H541" s="2"/>
      <c r="I541" s="2"/>
      <c r="J541" s="2"/>
      <c r="K541" s="2"/>
      <c r="L541" s="2"/>
      <c r="M541" s="2"/>
      <c r="N541" s="2"/>
      <c r="O541" s="2"/>
    </row>
    <row r="542" spans="1:15" s="3" customFormat="1">
      <c r="A542" s="4"/>
      <c r="C542" s="2"/>
      <c r="D542" s="2"/>
      <c r="E542" s="2"/>
      <c r="F542" s="2"/>
      <c r="G542" s="2"/>
      <c r="H542" s="2"/>
      <c r="I542" s="2"/>
      <c r="J542" s="2"/>
      <c r="K542" s="2"/>
      <c r="L542" s="2"/>
      <c r="M542" s="2"/>
      <c r="N542" s="2"/>
      <c r="O542" s="2"/>
    </row>
    <row r="543" spans="1:15" s="3" customFormat="1">
      <c r="A543" s="4"/>
      <c r="C543" s="2"/>
      <c r="D543" s="2"/>
      <c r="E543" s="2"/>
      <c r="F543" s="2"/>
      <c r="G543" s="2"/>
      <c r="H543" s="2"/>
      <c r="I543" s="2"/>
      <c r="J543" s="2"/>
      <c r="K543" s="2"/>
      <c r="L543" s="2"/>
      <c r="M543" s="2"/>
      <c r="N543" s="2"/>
      <c r="O543" s="2"/>
    </row>
    <row r="544" spans="1:15" s="3" customFormat="1">
      <c r="A544" s="4"/>
      <c r="C544" s="2"/>
      <c r="D544" s="2"/>
      <c r="E544" s="2"/>
      <c r="F544" s="2"/>
      <c r="G544" s="2"/>
      <c r="H544" s="2"/>
      <c r="I544" s="2"/>
      <c r="J544" s="2"/>
      <c r="K544" s="2"/>
      <c r="L544" s="2"/>
      <c r="M544" s="2"/>
      <c r="N544" s="2"/>
      <c r="O544" s="2"/>
    </row>
    <row r="545" spans="1:15" s="3" customFormat="1">
      <c r="A545" s="4"/>
      <c r="C545" s="2"/>
      <c r="D545" s="2"/>
      <c r="E545" s="2"/>
      <c r="F545" s="2"/>
      <c r="G545" s="2"/>
      <c r="H545" s="2"/>
      <c r="I545" s="2"/>
      <c r="J545" s="2"/>
      <c r="K545" s="2"/>
      <c r="L545" s="2"/>
      <c r="M545" s="2"/>
      <c r="N545" s="2"/>
      <c r="O545" s="2"/>
    </row>
    <row r="546" spans="1:15" s="3" customFormat="1">
      <c r="A546" s="4"/>
      <c r="C546" s="2"/>
      <c r="D546" s="2"/>
      <c r="E546" s="2"/>
      <c r="F546" s="2"/>
      <c r="G546" s="2"/>
      <c r="H546" s="2"/>
      <c r="I546" s="2"/>
      <c r="J546" s="2"/>
      <c r="K546" s="2"/>
      <c r="L546" s="2"/>
      <c r="M546" s="2"/>
      <c r="N546" s="2"/>
      <c r="O546" s="2"/>
    </row>
    <row r="547" spans="1:15" s="3" customFormat="1">
      <c r="A547" s="4"/>
      <c r="C547" s="2"/>
      <c r="D547" s="2"/>
      <c r="E547" s="2"/>
      <c r="F547" s="2"/>
      <c r="G547" s="2"/>
      <c r="H547" s="2"/>
      <c r="I547" s="2"/>
      <c r="J547" s="2"/>
      <c r="K547" s="2"/>
      <c r="L547" s="2"/>
      <c r="M547" s="2"/>
      <c r="N547" s="2"/>
      <c r="O547" s="2"/>
    </row>
    <row r="548" spans="1:15" s="3" customFormat="1">
      <c r="A548" s="4"/>
      <c r="C548" s="2"/>
      <c r="D548" s="2"/>
      <c r="E548" s="2"/>
      <c r="F548" s="2"/>
      <c r="G548" s="2"/>
      <c r="H548" s="2"/>
      <c r="I548" s="2"/>
      <c r="J548" s="2"/>
      <c r="K548" s="2"/>
      <c r="L548" s="2"/>
      <c r="M548" s="2"/>
      <c r="N548" s="2"/>
      <c r="O548" s="2"/>
    </row>
    <row r="549" spans="1:15" s="3" customFormat="1">
      <c r="A549" s="4"/>
      <c r="C549" s="2"/>
      <c r="D549" s="2"/>
      <c r="E549" s="2"/>
      <c r="F549" s="2"/>
      <c r="G549" s="2"/>
      <c r="H549" s="2"/>
      <c r="I549" s="2"/>
      <c r="J549" s="2"/>
      <c r="K549" s="2"/>
      <c r="L549" s="2"/>
      <c r="M549" s="2"/>
      <c r="N549" s="2"/>
      <c r="O549" s="2"/>
    </row>
    <row r="550" spans="1:15" s="3" customFormat="1">
      <c r="A550" s="4"/>
      <c r="C550" s="2"/>
      <c r="D550" s="2"/>
      <c r="E550" s="2"/>
      <c r="F550" s="2"/>
      <c r="G550" s="2"/>
      <c r="H550" s="2"/>
      <c r="I550" s="2"/>
      <c r="J550" s="2"/>
      <c r="K550" s="2"/>
      <c r="L550" s="2"/>
      <c r="M550" s="2"/>
      <c r="N550" s="2"/>
      <c r="O550" s="2"/>
    </row>
    <row r="551" spans="1:15" s="3" customFormat="1">
      <c r="A551" s="4"/>
      <c r="C551" s="2"/>
      <c r="D551" s="2"/>
      <c r="E551" s="2"/>
      <c r="F551" s="2"/>
      <c r="G551" s="2"/>
      <c r="H551" s="2"/>
      <c r="I551" s="2"/>
      <c r="J551" s="2"/>
      <c r="K551" s="2"/>
      <c r="L551" s="2"/>
      <c r="M551" s="2"/>
      <c r="N551" s="2"/>
      <c r="O551" s="2"/>
    </row>
    <row r="552" spans="1:15" s="3" customFormat="1">
      <c r="A552" s="4"/>
      <c r="C552" s="2"/>
      <c r="D552" s="2"/>
      <c r="E552" s="2"/>
      <c r="F552" s="2"/>
      <c r="G552" s="2"/>
      <c r="H552" s="2"/>
      <c r="I552" s="2"/>
      <c r="J552" s="2"/>
      <c r="K552" s="2"/>
      <c r="L552" s="2"/>
      <c r="M552" s="2"/>
      <c r="N552" s="2"/>
      <c r="O552" s="2"/>
    </row>
    <row r="553" spans="1:15" s="3" customFormat="1">
      <c r="A553" s="4"/>
      <c r="C553" s="2"/>
      <c r="D553" s="2"/>
      <c r="E553" s="2"/>
      <c r="F553" s="2"/>
      <c r="G553" s="2"/>
      <c r="H553" s="2"/>
      <c r="I553" s="2"/>
      <c r="J553" s="2"/>
      <c r="K553" s="2"/>
      <c r="L553" s="2"/>
      <c r="M553" s="2"/>
      <c r="N553" s="2"/>
      <c r="O553" s="2"/>
    </row>
    <row r="554" spans="1:15" s="3" customFormat="1">
      <c r="A554" s="4"/>
      <c r="C554" s="2"/>
      <c r="D554" s="2"/>
      <c r="E554" s="2"/>
      <c r="F554" s="2"/>
      <c r="G554" s="2"/>
      <c r="H554" s="2"/>
      <c r="I554" s="2"/>
      <c r="J554" s="2"/>
      <c r="K554" s="2"/>
      <c r="L554" s="2"/>
      <c r="M554" s="2"/>
      <c r="N554" s="2"/>
      <c r="O554" s="2"/>
    </row>
    <row r="555" spans="1:15" s="3" customFormat="1">
      <c r="A555" s="4"/>
      <c r="C555" s="2"/>
      <c r="D555" s="2"/>
      <c r="E555" s="2"/>
      <c r="F555" s="2"/>
      <c r="G555" s="2"/>
      <c r="H555" s="2"/>
      <c r="I555" s="2"/>
      <c r="J555" s="2"/>
      <c r="K555" s="2"/>
      <c r="L555" s="2"/>
      <c r="M555" s="2"/>
      <c r="N555" s="2"/>
      <c r="O555" s="2"/>
    </row>
    <row r="556" spans="1:15" s="3" customFormat="1">
      <c r="A556" s="4"/>
      <c r="C556" s="2"/>
      <c r="D556" s="2"/>
      <c r="E556" s="2"/>
      <c r="F556" s="2"/>
      <c r="G556" s="2"/>
      <c r="H556" s="2"/>
      <c r="I556" s="2"/>
      <c r="J556" s="2"/>
      <c r="K556" s="2"/>
      <c r="L556" s="2"/>
      <c r="M556" s="2"/>
      <c r="N556" s="2"/>
      <c r="O556" s="2"/>
    </row>
    <row r="557" spans="1:15" s="3" customFormat="1">
      <c r="A557" s="4"/>
      <c r="C557" s="2"/>
      <c r="D557" s="2"/>
      <c r="E557" s="2"/>
      <c r="F557" s="2"/>
      <c r="G557" s="2"/>
      <c r="H557" s="2"/>
      <c r="I557" s="2"/>
      <c r="J557" s="2"/>
      <c r="K557" s="2"/>
      <c r="L557" s="2"/>
      <c r="M557" s="2"/>
      <c r="N557" s="2"/>
      <c r="O557" s="2"/>
    </row>
    <row r="558" spans="1:15" s="3" customFormat="1">
      <c r="A558" s="4"/>
      <c r="C558" s="2"/>
      <c r="D558" s="2"/>
      <c r="E558" s="2"/>
      <c r="F558" s="2"/>
      <c r="G558" s="2"/>
      <c r="H558" s="2"/>
      <c r="I558" s="2"/>
      <c r="J558" s="2"/>
      <c r="K558" s="2"/>
      <c r="L558" s="2"/>
      <c r="M558" s="2"/>
      <c r="N558" s="2"/>
      <c r="O558" s="2"/>
    </row>
    <row r="559" spans="1:15" s="3" customFormat="1">
      <c r="A559" s="4"/>
      <c r="C559" s="2"/>
      <c r="D559" s="2"/>
      <c r="E559" s="2"/>
      <c r="F559" s="2"/>
      <c r="G559" s="2"/>
      <c r="H559" s="2"/>
      <c r="I559" s="2"/>
      <c r="J559" s="2"/>
      <c r="K559" s="2"/>
      <c r="L559" s="2"/>
      <c r="M559" s="2"/>
      <c r="N559" s="2"/>
      <c r="O559" s="2"/>
    </row>
    <row r="560" spans="1:15" s="3" customFormat="1">
      <c r="A560" s="4"/>
      <c r="C560" s="2"/>
      <c r="D560" s="2"/>
      <c r="E560" s="2"/>
      <c r="F560" s="2"/>
      <c r="G560" s="2"/>
      <c r="H560" s="2"/>
      <c r="I560" s="2"/>
      <c r="J560" s="2"/>
      <c r="K560" s="2"/>
      <c r="L560" s="2"/>
      <c r="M560" s="2"/>
      <c r="N560" s="2"/>
      <c r="O560" s="2"/>
    </row>
    <row r="561" spans="1:15" s="3" customFormat="1">
      <c r="A561" s="4"/>
      <c r="C561" s="2"/>
      <c r="D561" s="2"/>
      <c r="E561" s="2"/>
      <c r="F561" s="2"/>
      <c r="G561" s="2"/>
      <c r="H561" s="2"/>
      <c r="I561" s="2"/>
      <c r="J561" s="2"/>
      <c r="K561" s="2"/>
      <c r="L561" s="2"/>
      <c r="M561" s="2"/>
      <c r="N561" s="2"/>
      <c r="O561" s="2"/>
    </row>
    <row r="562" spans="1:15" s="3" customFormat="1">
      <c r="A562" s="4"/>
      <c r="C562" s="2"/>
      <c r="D562" s="2"/>
      <c r="E562" s="2"/>
      <c r="F562" s="2"/>
      <c r="G562" s="2"/>
      <c r="H562" s="2"/>
      <c r="I562" s="2"/>
      <c r="J562" s="2"/>
      <c r="K562" s="2"/>
      <c r="L562" s="2"/>
      <c r="M562" s="2"/>
      <c r="N562" s="2"/>
      <c r="O562" s="2"/>
    </row>
    <row r="563" spans="1:15" s="3" customFormat="1">
      <c r="A563" s="4"/>
      <c r="C563" s="2"/>
      <c r="D563" s="2"/>
      <c r="E563" s="2"/>
      <c r="F563" s="2"/>
      <c r="G563" s="2"/>
      <c r="H563" s="2"/>
      <c r="I563" s="2"/>
      <c r="J563" s="2"/>
      <c r="K563" s="2"/>
      <c r="L563" s="2"/>
      <c r="M563" s="2"/>
      <c r="N563" s="2"/>
      <c r="O563" s="2"/>
    </row>
    <row r="564" spans="1:15" s="3" customFormat="1">
      <c r="A564" s="4"/>
      <c r="C564" s="2"/>
      <c r="D564" s="2"/>
      <c r="E564" s="2"/>
      <c r="F564" s="2"/>
      <c r="G564" s="2"/>
      <c r="H564" s="2"/>
      <c r="I564" s="2"/>
      <c r="J564" s="2"/>
      <c r="K564" s="2"/>
      <c r="L564" s="2"/>
      <c r="M564" s="2"/>
      <c r="N564" s="2"/>
      <c r="O564" s="2"/>
    </row>
    <row r="565" spans="1:15" s="3" customFormat="1">
      <c r="A565" s="4"/>
      <c r="C565" s="2"/>
      <c r="D565" s="2"/>
      <c r="E565" s="2"/>
      <c r="F565" s="2"/>
      <c r="G565" s="2"/>
      <c r="H565" s="2"/>
      <c r="I565" s="2"/>
      <c r="J565" s="2"/>
      <c r="K565" s="2"/>
      <c r="L565" s="2"/>
      <c r="M565" s="2"/>
      <c r="N565" s="2"/>
      <c r="O565" s="2"/>
    </row>
    <row r="566" spans="1:15" s="3" customFormat="1">
      <c r="A566" s="4"/>
      <c r="C566" s="2"/>
      <c r="D566" s="2"/>
      <c r="E566" s="2"/>
      <c r="F566" s="2"/>
      <c r="G566" s="2"/>
      <c r="H566" s="2"/>
      <c r="I566" s="2"/>
      <c r="J566" s="2"/>
      <c r="K566" s="2"/>
      <c r="L566" s="2"/>
      <c r="M566" s="2"/>
      <c r="N566" s="2"/>
      <c r="O566" s="2"/>
    </row>
    <row r="567" spans="1:15" s="3" customFormat="1">
      <c r="A567" s="4"/>
      <c r="C567" s="2"/>
      <c r="D567" s="2"/>
      <c r="E567" s="2"/>
      <c r="F567" s="2"/>
      <c r="G567" s="2"/>
      <c r="H567" s="2"/>
      <c r="I567" s="2"/>
      <c r="J567" s="2"/>
      <c r="K567" s="2"/>
      <c r="L567" s="2"/>
      <c r="M567" s="2"/>
      <c r="N567" s="2"/>
      <c r="O567" s="2"/>
    </row>
    <row r="568" spans="1:15" s="3" customFormat="1">
      <c r="A568" s="4"/>
      <c r="C568" s="2"/>
      <c r="D568" s="2"/>
      <c r="E568" s="2"/>
      <c r="F568" s="2"/>
      <c r="G568" s="2"/>
      <c r="H568" s="2"/>
      <c r="I568" s="2"/>
      <c r="J568" s="2"/>
      <c r="K568" s="2"/>
      <c r="L568" s="2"/>
      <c r="M568" s="2"/>
      <c r="N568" s="2"/>
      <c r="O568" s="2"/>
    </row>
    <row r="569" spans="1:15" s="3" customFormat="1">
      <c r="A569" s="4"/>
      <c r="C569" s="2"/>
      <c r="D569" s="2"/>
      <c r="E569" s="2"/>
      <c r="F569" s="2"/>
      <c r="G569" s="2"/>
      <c r="H569" s="2"/>
      <c r="I569" s="2"/>
      <c r="J569" s="2"/>
      <c r="K569" s="2"/>
      <c r="L569" s="2"/>
      <c r="M569" s="2"/>
      <c r="N569" s="2"/>
      <c r="O569" s="2"/>
    </row>
    <row r="570" spans="1:15" s="3" customFormat="1">
      <c r="A570" s="4"/>
      <c r="C570" s="2"/>
      <c r="D570" s="2"/>
      <c r="E570" s="2"/>
      <c r="F570" s="2"/>
      <c r="G570" s="2"/>
      <c r="H570" s="2"/>
      <c r="I570" s="2"/>
      <c r="J570" s="2"/>
      <c r="K570" s="2"/>
      <c r="L570" s="2"/>
      <c r="M570" s="2"/>
      <c r="N570" s="2"/>
      <c r="O570" s="2"/>
    </row>
    <row r="571" spans="1:15" s="3" customFormat="1">
      <c r="A571" s="4"/>
      <c r="C571" s="2"/>
      <c r="D571" s="2"/>
      <c r="E571" s="2"/>
      <c r="F571" s="2"/>
      <c r="G571" s="2"/>
      <c r="H571" s="2"/>
      <c r="I571" s="2"/>
      <c r="J571" s="2"/>
      <c r="K571" s="2"/>
      <c r="L571" s="2"/>
      <c r="M571" s="2"/>
      <c r="N571" s="2"/>
      <c r="O571" s="2"/>
    </row>
    <row r="572" spans="1:15" s="3" customFormat="1">
      <c r="A572" s="4"/>
      <c r="C572" s="2"/>
      <c r="D572" s="2"/>
      <c r="E572" s="2"/>
      <c r="F572" s="2"/>
      <c r="G572" s="2"/>
      <c r="H572" s="2"/>
      <c r="I572" s="2"/>
      <c r="J572" s="2"/>
      <c r="K572" s="2"/>
      <c r="L572" s="2"/>
      <c r="M572" s="2"/>
      <c r="N572" s="2"/>
      <c r="O572" s="2"/>
    </row>
    <row r="573" spans="1:15" s="3" customFormat="1">
      <c r="A573" s="4"/>
      <c r="C573" s="2"/>
      <c r="D573" s="2"/>
      <c r="E573" s="2"/>
      <c r="F573" s="2"/>
      <c r="G573" s="2"/>
      <c r="H573" s="2"/>
      <c r="I573" s="2"/>
      <c r="J573" s="2"/>
      <c r="K573" s="2"/>
      <c r="L573" s="2"/>
      <c r="M573" s="2"/>
      <c r="N573" s="2"/>
      <c r="O573" s="2"/>
    </row>
    <row r="574" spans="1:15" s="3" customFormat="1">
      <c r="A574" s="4"/>
      <c r="C574" s="2"/>
      <c r="D574" s="2"/>
      <c r="E574" s="2"/>
      <c r="F574" s="2"/>
      <c r="G574" s="2"/>
      <c r="H574" s="2"/>
      <c r="I574" s="2"/>
      <c r="J574" s="2"/>
      <c r="K574" s="2"/>
      <c r="L574" s="2"/>
      <c r="M574" s="2"/>
      <c r="N574" s="2"/>
      <c r="O574" s="2"/>
    </row>
    <row r="575" spans="1:15" s="3" customFormat="1">
      <c r="A575" s="4"/>
      <c r="C575" s="2"/>
      <c r="D575" s="2"/>
      <c r="E575" s="2"/>
      <c r="F575" s="2"/>
      <c r="G575" s="2"/>
      <c r="H575" s="2"/>
      <c r="I575" s="2"/>
      <c r="J575" s="2"/>
      <c r="K575" s="2"/>
      <c r="L575" s="2"/>
      <c r="M575" s="2"/>
      <c r="N575" s="2"/>
      <c r="O575" s="2"/>
    </row>
    <row r="576" spans="1:15" s="3" customFormat="1">
      <c r="A576" s="4"/>
      <c r="C576" s="2"/>
      <c r="D576" s="2"/>
      <c r="E576" s="2"/>
      <c r="F576" s="2"/>
      <c r="G576" s="2"/>
      <c r="H576" s="2"/>
      <c r="I576" s="2"/>
      <c r="J576" s="2"/>
      <c r="K576" s="2"/>
      <c r="L576" s="2"/>
      <c r="M576" s="2"/>
      <c r="N576" s="2"/>
      <c r="O576" s="2"/>
    </row>
    <row r="577" spans="1:15" s="3" customFormat="1">
      <c r="A577" s="4"/>
      <c r="C577" s="2"/>
      <c r="D577" s="2"/>
      <c r="E577" s="2"/>
      <c r="F577" s="2"/>
      <c r="G577" s="2"/>
      <c r="H577" s="2"/>
      <c r="I577" s="2"/>
      <c r="J577" s="2"/>
      <c r="K577" s="2"/>
      <c r="L577" s="2"/>
      <c r="M577" s="2"/>
      <c r="N577" s="2"/>
      <c r="O577" s="2"/>
    </row>
    <row r="578" spans="1:15" s="3" customFormat="1">
      <c r="A578" s="4"/>
      <c r="C578" s="2"/>
      <c r="D578" s="2"/>
      <c r="E578" s="2"/>
      <c r="F578" s="2"/>
      <c r="G578" s="2"/>
      <c r="H578" s="2"/>
      <c r="I578" s="2"/>
      <c r="J578" s="2"/>
      <c r="K578" s="2"/>
      <c r="L578" s="2"/>
      <c r="M578" s="2"/>
      <c r="N578" s="2"/>
      <c r="O578" s="2"/>
    </row>
    <row r="579" spans="1:15" s="3" customFormat="1">
      <c r="A579" s="4"/>
      <c r="C579" s="2"/>
      <c r="D579" s="2"/>
      <c r="E579" s="2"/>
      <c r="F579" s="2"/>
      <c r="G579" s="2"/>
      <c r="H579" s="2"/>
      <c r="I579" s="2"/>
      <c r="J579" s="2"/>
      <c r="K579" s="2"/>
      <c r="L579" s="2"/>
      <c r="M579" s="2"/>
      <c r="N579" s="2"/>
      <c r="O579" s="2"/>
    </row>
    <row r="580" spans="1:15" s="3" customFormat="1">
      <c r="A580" s="4"/>
      <c r="C580" s="2"/>
      <c r="D580" s="2"/>
      <c r="E580" s="2"/>
      <c r="F580" s="2"/>
      <c r="G580" s="2"/>
      <c r="H580" s="2"/>
      <c r="I580" s="2"/>
      <c r="J580" s="2"/>
      <c r="K580" s="2"/>
      <c r="L580" s="2"/>
      <c r="M580" s="2"/>
      <c r="N580" s="2"/>
      <c r="O580" s="2"/>
    </row>
    <row r="581" spans="1:15" s="3" customFormat="1">
      <c r="A581" s="4"/>
      <c r="C581" s="2"/>
      <c r="D581" s="2"/>
      <c r="E581" s="2"/>
      <c r="F581" s="2"/>
      <c r="G581" s="2"/>
      <c r="H581" s="2"/>
      <c r="I581" s="2"/>
      <c r="J581" s="2"/>
      <c r="K581" s="2"/>
      <c r="L581" s="2"/>
      <c r="M581" s="2"/>
      <c r="N581" s="2"/>
      <c r="O581" s="2"/>
    </row>
    <row r="582" spans="1:15" s="3" customFormat="1">
      <c r="A582" s="4"/>
      <c r="C582" s="2"/>
      <c r="D582" s="2"/>
      <c r="E582" s="2"/>
      <c r="F582" s="2"/>
      <c r="G582" s="2"/>
      <c r="H582" s="2"/>
      <c r="I582" s="2"/>
      <c r="J582" s="2"/>
      <c r="K582" s="2"/>
      <c r="L582" s="2"/>
      <c r="M582" s="2"/>
      <c r="N582" s="2"/>
      <c r="O582" s="2"/>
    </row>
    <row r="583" spans="1:15" s="3" customFormat="1">
      <c r="A583" s="4"/>
      <c r="C583" s="2"/>
      <c r="D583" s="2"/>
      <c r="E583" s="2"/>
      <c r="F583" s="2"/>
      <c r="G583" s="2"/>
      <c r="H583" s="2"/>
      <c r="I583" s="2"/>
      <c r="J583" s="2"/>
      <c r="K583" s="2"/>
      <c r="L583" s="2"/>
      <c r="M583" s="2"/>
      <c r="N583" s="2"/>
      <c r="O583" s="2"/>
    </row>
    <row r="584" spans="1:15" s="3" customFormat="1">
      <c r="A584" s="4"/>
      <c r="C584" s="2"/>
      <c r="D584" s="2"/>
      <c r="E584" s="2"/>
      <c r="F584" s="2"/>
      <c r="G584" s="2"/>
      <c r="H584" s="2"/>
      <c r="I584" s="2"/>
      <c r="J584" s="2"/>
      <c r="K584" s="2"/>
      <c r="L584" s="2"/>
      <c r="M584" s="2"/>
      <c r="N584" s="2"/>
      <c r="O584" s="2"/>
    </row>
    <row r="585" spans="1:15" s="3" customFormat="1">
      <c r="A585" s="4"/>
      <c r="C585" s="2"/>
      <c r="D585" s="2"/>
      <c r="E585" s="2"/>
      <c r="F585" s="2"/>
      <c r="G585" s="2"/>
      <c r="H585" s="2"/>
      <c r="I585" s="2"/>
      <c r="J585" s="2"/>
      <c r="K585" s="2"/>
      <c r="L585" s="2"/>
      <c r="M585" s="2"/>
      <c r="N585" s="2"/>
      <c r="O585" s="2"/>
    </row>
    <row r="586" spans="1:15" s="3" customFormat="1">
      <c r="A586" s="4"/>
      <c r="C586" s="2"/>
      <c r="D586" s="2"/>
      <c r="E586" s="2"/>
      <c r="F586" s="2"/>
      <c r="G586" s="2"/>
      <c r="H586" s="2"/>
      <c r="I586" s="2"/>
      <c r="J586" s="2"/>
      <c r="K586" s="2"/>
      <c r="L586" s="2"/>
      <c r="M586" s="2"/>
      <c r="N586" s="2"/>
      <c r="O586" s="2"/>
    </row>
    <row r="587" spans="1:15" s="3" customFormat="1">
      <c r="A587" s="4"/>
      <c r="C587" s="2"/>
      <c r="D587" s="2"/>
      <c r="E587" s="2"/>
      <c r="F587" s="2"/>
      <c r="G587" s="2"/>
      <c r="H587" s="2"/>
      <c r="I587" s="2"/>
      <c r="J587" s="2"/>
      <c r="K587" s="2"/>
      <c r="L587" s="2"/>
      <c r="M587" s="2"/>
      <c r="N587" s="2"/>
      <c r="O587" s="2"/>
    </row>
    <row r="588" spans="1:15" s="3" customFormat="1">
      <c r="A588" s="4"/>
      <c r="C588" s="2"/>
      <c r="D588" s="2"/>
      <c r="E588" s="2"/>
      <c r="F588" s="2"/>
      <c r="G588" s="2"/>
      <c r="H588" s="2"/>
      <c r="I588" s="2"/>
      <c r="J588" s="2"/>
      <c r="K588" s="2"/>
      <c r="L588" s="2"/>
      <c r="M588" s="2"/>
      <c r="N588" s="2"/>
      <c r="O588" s="2"/>
    </row>
    <row r="589" spans="1:15" s="3" customFormat="1">
      <c r="A589" s="4"/>
      <c r="C589" s="2"/>
      <c r="D589" s="2"/>
      <c r="E589" s="2"/>
      <c r="F589" s="2"/>
      <c r="G589" s="2"/>
      <c r="H589" s="2"/>
      <c r="I589" s="2"/>
      <c r="J589" s="2"/>
      <c r="K589" s="2"/>
      <c r="L589" s="2"/>
      <c r="M589" s="2"/>
      <c r="N589" s="2"/>
      <c r="O589" s="2"/>
    </row>
    <row r="590" spans="1:15" s="3" customFormat="1">
      <c r="A590" s="4"/>
      <c r="C590" s="2"/>
      <c r="D590" s="2"/>
      <c r="E590" s="2"/>
      <c r="F590" s="2"/>
      <c r="G590" s="2"/>
      <c r="H590" s="2"/>
      <c r="I590" s="2"/>
      <c r="J590" s="2"/>
      <c r="K590" s="2"/>
      <c r="L590" s="2"/>
      <c r="M590" s="2"/>
      <c r="N590" s="2"/>
      <c r="O590" s="2"/>
    </row>
    <row r="591" spans="1:15" s="3" customFormat="1">
      <c r="A591" s="4"/>
      <c r="C591" s="2"/>
      <c r="D591" s="2"/>
      <c r="E591" s="2"/>
      <c r="F591" s="2"/>
      <c r="G591" s="2"/>
      <c r="H591" s="2"/>
      <c r="I591" s="2"/>
      <c r="J591" s="2"/>
      <c r="K591" s="2"/>
      <c r="L591" s="2"/>
      <c r="M591" s="2"/>
      <c r="N591" s="2"/>
      <c r="O591" s="2"/>
    </row>
    <row r="592" spans="1:15" s="3" customFormat="1">
      <c r="A592" s="4"/>
      <c r="C592" s="2"/>
      <c r="D592" s="2"/>
      <c r="E592" s="2"/>
      <c r="F592" s="2"/>
      <c r="G592" s="2"/>
      <c r="H592" s="2"/>
      <c r="I592" s="2"/>
      <c r="J592" s="2"/>
      <c r="K592" s="2"/>
      <c r="L592" s="2"/>
      <c r="M592" s="2"/>
      <c r="N592" s="2"/>
      <c r="O592" s="2"/>
    </row>
    <row r="593" spans="1:15" s="3" customFormat="1">
      <c r="A593" s="4"/>
      <c r="C593" s="2"/>
      <c r="D593" s="2"/>
      <c r="E593" s="2"/>
      <c r="F593" s="2"/>
      <c r="G593" s="2"/>
      <c r="H593" s="2"/>
      <c r="I593" s="2"/>
      <c r="J593" s="2"/>
      <c r="K593" s="2"/>
      <c r="L593" s="2"/>
      <c r="M593" s="2"/>
      <c r="N593" s="2"/>
      <c r="O593" s="2"/>
    </row>
    <row r="594" spans="1:15" s="3" customFormat="1">
      <c r="A594" s="4"/>
      <c r="C594" s="2"/>
      <c r="D594" s="2"/>
      <c r="E594" s="2"/>
      <c r="F594" s="2"/>
      <c r="G594" s="2"/>
      <c r="H594" s="2"/>
      <c r="I594" s="2"/>
      <c r="J594" s="2"/>
      <c r="K594" s="2"/>
      <c r="L594" s="2"/>
      <c r="M594" s="2"/>
      <c r="N594" s="2"/>
      <c r="O594" s="2"/>
    </row>
    <row r="595" spans="1:15" s="3" customFormat="1">
      <c r="A595" s="4"/>
      <c r="C595" s="2"/>
      <c r="D595" s="2"/>
      <c r="E595" s="2"/>
      <c r="F595" s="2"/>
      <c r="G595" s="2"/>
      <c r="H595" s="2"/>
      <c r="I595" s="2"/>
      <c r="J595" s="2"/>
      <c r="K595" s="2"/>
      <c r="L595" s="2"/>
      <c r="M595" s="2"/>
      <c r="N595" s="2"/>
      <c r="O595" s="2"/>
    </row>
    <row r="596" spans="1:15" s="3" customFormat="1">
      <c r="A596" s="4"/>
      <c r="C596" s="2"/>
      <c r="D596" s="2"/>
      <c r="E596" s="2"/>
      <c r="F596" s="2"/>
      <c r="G596" s="2"/>
      <c r="H596" s="2"/>
      <c r="I596" s="2"/>
      <c r="J596" s="2"/>
      <c r="K596" s="2"/>
      <c r="L596" s="2"/>
      <c r="M596" s="2"/>
      <c r="N596" s="2"/>
      <c r="O596" s="2"/>
    </row>
    <row r="597" spans="1:15" s="3" customFormat="1">
      <c r="A597" s="4"/>
      <c r="C597" s="2"/>
      <c r="D597" s="2"/>
      <c r="E597" s="2"/>
      <c r="F597" s="2"/>
      <c r="G597" s="2"/>
      <c r="H597" s="2"/>
      <c r="I597" s="2"/>
      <c r="J597" s="2"/>
      <c r="K597" s="2"/>
      <c r="L597" s="2"/>
      <c r="M597" s="2"/>
      <c r="N597" s="2"/>
      <c r="O597" s="2"/>
    </row>
    <row r="598" spans="1:15" s="3" customFormat="1">
      <c r="A598" s="4"/>
      <c r="C598" s="2"/>
      <c r="D598" s="2"/>
      <c r="E598" s="2"/>
      <c r="F598" s="2"/>
      <c r="G598" s="2"/>
      <c r="H598" s="2"/>
      <c r="I598" s="2"/>
      <c r="J598" s="2"/>
      <c r="K598" s="2"/>
      <c r="L598" s="2"/>
      <c r="M598" s="2"/>
      <c r="N598" s="2"/>
      <c r="O598" s="2"/>
    </row>
    <row r="599" spans="1:15" s="3" customFormat="1">
      <c r="A599" s="4"/>
      <c r="C599" s="2"/>
      <c r="D599" s="2"/>
      <c r="E599" s="2"/>
      <c r="F599" s="2"/>
      <c r="G599" s="2"/>
      <c r="H599" s="2"/>
      <c r="I599" s="2"/>
      <c r="J599" s="2"/>
      <c r="K599" s="2"/>
      <c r="L599" s="2"/>
      <c r="M599" s="2"/>
      <c r="N599" s="2"/>
      <c r="O599" s="2"/>
    </row>
    <row r="600" spans="1:15" s="3" customFormat="1">
      <c r="A600" s="4"/>
      <c r="C600" s="2"/>
      <c r="D600" s="2"/>
      <c r="E600" s="2"/>
      <c r="F600" s="2"/>
      <c r="G600" s="2"/>
      <c r="H600" s="2"/>
      <c r="I600" s="2"/>
      <c r="J600" s="2"/>
      <c r="K600" s="2"/>
      <c r="L600" s="2"/>
      <c r="M600" s="2"/>
      <c r="N600" s="2"/>
      <c r="O600" s="2"/>
    </row>
    <row r="601" spans="1:15" s="3" customFormat="1">
      <c r="A601" s="4"/>
      <c r="C601" s="2"/>
      <c r="D601" s="2"/>
      <c r="E601" s="2"/>
      <c r="F601" s="2"/>
      <c r="G601" s="2"/>
      <c r="H601" s="2"/>
      <c r="I601" s="2"/>
      <c r="J601" s="2"/>
      <c r="K601" s="2"/>
      <c r="L601" s="2"/>
      <c r="M601" s="2"/>
      <c r="N601" s="2"/>
      <c r="O601" s="2"/>
    </row>
    <row r="602" spans="1:15" s="3" customFormat="1">
      <c r="A602" s="4"/>
      <c r="C602" s="2"/>
      <c r="D602" s="2"/>
      <c r="E602" s="2"/>
      <c r="F602" s="2"/>
      <c r="G602" s="2"/>
      <c r="H602" s="2"/>
      <c r="I602" s="2"/>
      <c r="J602" s="2"/>
      <c r="K602" s="2"/>
      <c r="L602" s="2"/>
      <c r="M602" s="2"/>
      <c r="N602" s="2"/>
      <c r="O602" s="2"/>
    </row>
    <row r="603" spans="1:15" s="3" customFormat="1">
      <c r="A603" s="4"/>
      <c r="C603" s="2"/>
      <c r="D603" s="2"/>
      <c r="E603" s="2"/>
      <c r="F603" s="2"/>
      <c r="G603" s="2"/>
      <c r="H603" s="2"/>
      <c r="I603" s="2"/>
      <c r="J603" s="2"/>
      <c r="K603" s="2"/>
      <c r="L603" s="2"/>
      <c r="M603" s="2"/>
      <c r="N603" s="2"/>
      <c r="O603" s="2"/>
    </row>
    <row r="604" spans="1:15" s="3" customFormat="1">
      <c r="A604" s="4"/>
      <c r="C604" s="2"/>
      <c r="D604" s="2"/>
      <c r="E604" s="2"/>
      <c r="F604" s="2"/>
      <c r="G604" s="2"/>
      <c r="H604" s="2"/>
      <c r="I604" s="2"/>
      <c r="J604" s="2"/>
      <c r="K604" s="2"/>
      <c r="L604" s="2"/>
      <c r="M604" s="2"/>
      <c r="N604" s="2"/>
      <c r="O604" s="2"/>
    </row>
    <row r="605" spans="1:15" s="3" customFormat="1">
      <c r="A605" s="4"/>
      <c r="C605" s="2"/>
      <c r="D605" s="2"/>
      <c r="E605" s="2"/>
      <c r="F605" s="2"/>
      <c r="G605" s="2"/>
      <c r="H605" s="2"/>
      <c r="I605" s="2"/>
      <c r="J605" s="2"/>
      <c r="K605" s="2"/>
      <c r="L605" s="2"/>
      <c r="M605" s="2"/>
      <c r="N605" s="2"/>
      <c r="O605" s="2"/>
    </row>
    <row r="606" spans="1:15" s="3" customFormat="1">
      <c r="A606" s="4"/>
      <c r="C606" s="2"/>
      <c r="D606" s="2"/>
      <c r="E606" s="2"/>
      <c r="F606" s="2"/>
      <c r="G606" s="2"/>
      <c r="H606" s="2"/>
      <c r="I606" s="2"/>
      <c r="J606" s="2"/>
      <c r="K606" s="2"/>
      <c r="L606" s="2"/>
      <c r="M606" s="2"/>
      <c r="N606" s="2"/>
      <c r="O606" s="2"/>
    </row>
    <row r="607" spans="1:15" s="3" customFormat="1">
      <c r="A607" s="4"/>
      <c r="C607" s="2"/>
      <c r="D607" s="2"/>
      <c r="E607" s="2"/>
      <c r="F607" s="2"/>
      <c r="G607" s="2"/>
      <c r="H607" s="2"/>
      <c r="I607" s="2"/>
      <c r="J607" s="2"/>
      <c r="K607" s="2"/>
      <c r="L607" s="2"/>
      <c r="M607" s="2"/>
      <c r="N607" s="2"/>
      <c r="O607" s="2"/>
    </row>
    <row r="608" spans="1:15" s="3" customFormat="1">
      <c r="A608" s="4"/>
      <c r="C608" s="2"/>
      <c r="D608" s="2"/>
      <c r="E608" s="2"/>
      <c r="F608" s="2"/>
      <c r="G608" s="2"/>
      <c r="H608" s="2"/>
      <c r="I608" s="2"/>
      <c r="J608" s="2"/>
      <c r="K608" s="2"/>
      <c r="L608" s="2"/>
      <c r="M608" s="2"/>
      <c r="N608" s="2"/>
      <c r="O608" s="2"/>
    </row>
    <row r="609" spans="1:15" s="3" customFormat="1">
      <c r="A609" s="4"/>
      <c r="C609" s="2"/>
      <c r="D609" s="2"/>
      <c r="E609" s="2"/>
      <c r="F609" s="2"/>
      <c r="G609" s="2"/>
      <c r="H609" s="2"/>
      <c r="I609" s="2"/>
      <c r="J609" s="2"/>
      <c r="K609" s="2"/>
      <c r="L609" s="2"/>
      <c r="M609" s="2"/>
      <c r="N609" s="2"/>
      <c r="O609" s="2"/>
    </row>
    <row r="610" spans="1:15" s="3" customFormat="1">
      <c r="A610" s="4"/>
      <c r="C610" s="2"/>
      <c r="D610" s="2"/>
      <c r="E610" s="2"/>
      <c r="F610" s="2"/>
      <c r="G610" s="2"/>
      <c r="H610" s="2"/>
      <c r="I610" s="2"/>
      <c r="J610" s="2"/>
      <c r="K610" s="2"/>
      <c r="L610" s="2"/>
      <c r="M610" s="2"/>
      <c r="N610" s="2"/>
      <c r="O610" s="2"/>
    </row>
    <row r="611" spans="1:15" s="3" customFormat="1">
      <c r="A611" s="4"/>
      <c r="C611" s="2"/>
      <c r="D611" s="2"/>
      <c r="E611" s="2"/>
      <c r="F611" s="2"/>
      <c r="G611" s="2"/>
      <c r="H611" s="2"/>
      <c r="I611" s="2"/>
      <c r="J611" s="2"/>
      <c r="K611" s="2"/>
      <c r="L611" s="2"/>
      <c r="M611" s="2"/>
      <c r="N611" s="2"/>
      <c r="O611" s="2"/>
    </row>
    <row r="612" spans="1:15" s="3" customFormat="1">
      <c r="A612" s="4"/>
      <c r="C612" s="2"/>
      <c r="D612" s="2"/>
      <c r="E612" s="2"/>
      <c r="F612" s="2"/>
      <c r="G612" s="2"/>
      <c r="H612" s="2"/>
      <c r="I612" s="2"/>
      <c r="J612" s="2"/>
      <c r="K612" s="2"/>
      <c r="L612" s="2"/>
      <c r="M612" s="2"/>
      <c r="N612" s="2"/>
      <c r="O612" s="2"/>
    </row>
    <row r="613" spans="1:15" s="3" customFormat="1">
      <c r="A613" s="4"/>
      <c r="C613" s="2"/>
      <c r="D613" s="2"/>
      <c r="E613" s="2"/>
      <c r="F613" s="2"/>
      <c r="G613" s="2"/>
      <c r="H613" s="2"/>
      <c r="I613" s="2"/>
      <c r="J613" s="2"/>
      <c r="K613" s="2"/>
      <c r="L613" s="2"/>
      <c r="M613" s="2"/>
      <c r="N613" s="2"/>
      <c r="O613" s="2"/>
    </row>
    <row r="614" spans="1:15" s="3" customFormat="1">
      <c r="A614" s="4"/>
      <c r="C614" s="2"/>
      <c r="D614" s="2"/>
      <c r="E614" s="2"/>
      <c r="F614" s="2"/>
      <c r="G614" s="2"/>
      <c r="H614" s="2"/>
      <c r="I614" s="2"/>
      <c r="J614" s="2"/>
      <c r="K614" s="2"/>
      <c r="L614" s="2"/>
      <c r="M614" s="2"/>
      <c r="N614" s="2"/>
      <c r="O614" s="2"/>
    </row>
    <row r="615" spans="1:15" s="3" customFormat="1">
      <c r="A615" s="4"/>
      <c r="C615" s="2"/>
      <c r="D615" s="2"/>
      <c r="E615" s="2"/>
      <c r="F615" s="2"/>
      <c r="G615" s="2"/>
      <c r="H615" s="2"/>
      <c r="I615" s="2"/>
      <c r="J615" s="2"/>
      <c r="K615" s="2"/>
      <c r="L615" s="2"/>
      <c r="M615" s="2"/>
      <c r="N615" s="2"/>
      <c r="O615" s="2"/>
    </row>
    <row r="616" spans="1:15" s="3" customFormat="1">
      <c r="A616" s="4"/>
      <c r="C616" s="2"/>
      <c r="D616" s="2"/>
      <c r="E616" s="2"/>
      <c r="F616" s="2"/>
      <c r="G616" s="2"/>
      <c r="H616" s="2"/>
      <c r="I616" s="2"/>
      <c r="J616" s="2"/>
      <c r="K616" s="2"/>
      <c r="L616" s="2"/>
      <c r="M616" s="2"/>
      <c r="N616" s="2"/>
      <c r="O616" s="2"/>
    </row>
    <row r="617" spans="1:15" s="3" customFormat="1">
      <c r="A617" s="4"/>
      <c r="C617" s="2"/>
      <c r="D617" s="2"/>
      <c r="E617" s="2"/>
      <c r="F617" s="2"/>
      <c r="G617" s="2"/>
      <c r="H617" s="2"/>
      <c r="I617" s="2"/>
      <c r="J617" s="2"/>
      <c r="K617" s="2"/>
      <c r="L617" s="2"/>
      <c r="M617" s="2"/>
      <c r="N617" s="2"/>
      <c r="O617" s="2"/>
    </row>
    <row r="618" spans="1:15" s="3" customFormat="1">
      <c r="A618" s="4"/>
      <c r="C618" s="2"/>
      <c r="D618" s="2"/>
      <c r="E618" s="2"/>
      <c r="F618" s="2"/>
      <c r="G618" s="2"/>
      <c r="H618" s="2"/>
      <c r="I618" s="2"/>
      <c r="J618" s="2"/>
      <c r="K618" s="2"/>
      <c r="L618" s="2"/>
      <c r="M618" s="2"/>
      <c r="N618" s="2"/>
      <c r="O618" s="2"/>
    </row>
    <row r="619" spans="1:15" s="3" customFormat="1">
      <c r="A619" s="4"/>
      <c r="C619" s="2"/>
      <c r="D619" s="2"/>
      <c r="E619" s="2"/>
      <c r="F619" s="2"/>
      <c r="G619" s="2"/>
      <c r="H619" s="2"/>
      <c r="I619" s="2"/>
      <c r="J619" s="2"/>
      <c r="K619" s="2"/>
      <c r="L619" s="2"/>
      <c r="M619" s="2"/>
      <c r="N619" s="2"/>
      <c r="O619" s="2"/>
    </row>
    <row r="620" spans="1:15" s="3" customFormat="1">
      <c r="A620" s="4"/>
      <c r="C620" s="2"/>
      <c r="D620" s="2"/>
      <c r="E620" s="2"/>
      <c r="F620" s="2"/>
      <c r="G620" s="2"/>
      <c r="H620" s="2"/>
      <c r="I620" s="2"/>
      <c r="J620" s="2"/>
      <c r="K620" s="2"/>
      <c r="L620" s="2"/>
      <c r="M620" s="2"/>
      <c r="N620" s="2"/>
      <c r="O620" s="2"/>
    </row>
    <row r="621" spans="1:15" s="3" customFormat="1">
      <c r="A621" s="4"/>
      <c r="C621" s="2"/>
      <c r="D621" s="2"/>
      <c r="E621" s="2"/>
      <c r="F621" s="2"/>
      <c r="G621" s="2"/>
      <c r="H621" s="2"/>
      <c r="I621" s="2"/>
      <c r="J621" s="2"/>
      <c r="K621" s="2"/>
      <c r="L621" s="2"/>
      <c r="M621" s="2"/>
      <c r="N621" s="2"/>
      <c r="O621" s="2"/>
    </row>
    <row r="622" spans="1:15" s="3" customFormat="1">
      <c r="A622" s="4"/>
      <c r="C622" s="2"/>
      <c r="D622" s="2"/>
      <c r="E622" s="2"/>
      <c r="F622" s="2"/>
      <c r="G622" s="2"/>
      <c r="H622" s="2"/>
      <c r="I622" s="2"/>
      <c r="J622" s="2"/>
      <c r="K622" s="2"/>
      <c r="L622" s="2"/>
      <c r="M622" s="2"/>
      <c r="N622" s="2"/>
      <c r="O622" s="2"/>
    </row>
    <row r="623" spans="1:15" s="3" customFormat="1">
      <c r="A623" s="4"/>
      <c r="C623" s="2"/>
      <c r="D623" s="2"/>
      <c r="E623" s="2"/>
      <c r="F623" s="2"/>
      <c r="G623" s="2"/>
      <c r="H623" s="2"/>
      <c r="I623" s="2"/>
      <c r="J623" s="2"/>
      <c r="K623" s="2"/>
      <c r="L623" s="2"/>
      <c r="M623" s="2"/>
      <c r="N623" s="2"/>
      <c r="O623" s="2"/>
    </row>
    <row r="624" spans="1:15" s="3" customFormat="1">
      <c r="A624" s="4"/>
      <c r="C624" s="2"/>
      <c r="D624" s="2"/>
      <c r="E624" s="2"/>
      <c r="F624" s="2"/>
      <c r="G624" s="2"/>
      <c r="H624" s="2"/>
      <c r="I624" s="2"/>
      <c r="J624" s="2"/>
      <c r="K624" s="2"/>
      <c r="L624" s="2"/>
      <c r="M624" s="2"/>
      <c r="N624" s="2"/>
      <c r="O624" s="2"/>
    </row>
    <row r="625" spans="1:15" s="3" customFormat="1">
      <c r="A625" s="4"/>
      <c r="C625" s="2"/>
      <c r="D625" s="2"/>
      <c r="E625" s="2"/>
      <c r="F625" s="2"/>
      <c r="G625" s="2"/>
      <c r="H625" s="2"/>
      <c r="I625" s="2"/>
      <c r="J625" s="2"/>
      <c r="K625" s="2"/>
      <c r="L625" s="2"/>
      <c r="M625" s="2"/>
      <c r="N625" s="2"/>
      <c r="O625" s="2"/>
    </row>
    <row r="626" spans="1:15" s="3" customFormat="1">
      <c r="A626" s="4"/>
      <c r="C626" s="2"/>
      <c r="D626" s="2"/>
      <c r="E626" s="2"/>
      <c r="F626" s="2"/>
      <c r="G626" s="2"/>
      <c r="H626" s="2"/>
      <c r="I626" s="2"/>
      <c r="J626" s="2"/>
      <c r="K626" s="2"/>
      <c r="L626" s="2"/>
      <c r="M626" s="2"/>
      <c r="N626" s="2"/>
      <c r="O626" s="2"/>
    </row>
    <row r="627" spans="1:15" s="3" customFormat="1">
      <c r="A627" s="4"/>
      <c r="C627" s="2"/>
      <c r="D627" s="2"/>
      <c r="E627" s="2"/>
      <c r="F627" s="2"/>
      <c r="G627" s="2"/>
      <c r="H627" s="2"/>
      <c r="I627" s="2"/>
      <c r="J627" s="2"/>
      <c r="K627" s="2"/>
      <c r="L627" s="2"/>
      <c r="M627" s="2"/>
      <c r="N627" s="2"/>
      <c r="O627" s="2"/>
    </row>
    <row r="628" spans="1:15" s="3" customFormat="1">
      <c r="A628" s="4"/>
      <c r="C628" s="2"/>
      <c r="D628" s="2"/>
      <c r="E628" s="2"/>
      <c r="F628" s="2"/>
      <c r="G628" s="2"/>
      <c r="H628" s="2"/>
      <c r="I628" s="2"/>
      <c r="J628" s="2"/>
      <c r="K628" s="2"/>
      <c r="L628" s="2"/>
      <c r="M628" s="2"/>
      <c r="N628" s="2"/>
      <c r="O628" s="2"/>
    </row>
    <row r="629" spans="1:15" s="3" customFormat="1">
      <c r="A629" s="4"/>
      <c r="C629" s="2"/>
      <c r="D629" s="2"/>
      <c r="E629" s="2"/>
      <c r="F629" s="2"/>
      <c r="G629" s="2"/>
      <c r="H629" s="2"/>
      <c r="I629" s="2"/>
      <c r="J629" s="2"/>
      <c r="K629" s="2"/>
      <c r="L629" s="2"/>
      <c r="M629" s="2"/>
      <c r="N629" s="2"/>
      <c r="O629" s="2"/>
    </row>
    <row r="630" spans="1:15" s="3" customFormat="1">
      <c r="A630" s="4"/>
      <c r="C630" s="2"/>
      <c r="D630" s="2"/>
      <c r="E630" s="2"/>
      <c r="F630" s="2"/>
      <c r="G630" s="2"/>
      <c r="H630" s="2"/>
      <c r="I630" s="2"/>
      <c r="J630" s="2"/>
      <c r="K630" s="2"/>
      <c r="L630" s="2"/>
      <c r="M630" s="2"/>
      <c r="N630" s="2"/>
      <c r="O630" s="2"/>
    </row>
    <row r="631" spans="1:15" s="3" customFormat="1">
      <c r="A631" s="4"/>
      <c r="C631" s="2"/>
      <c r="D631" s="2"/>
      <c r="E631" s="2"/>
      <c r="F631" s="2"/>
      <c r="G631" s="2"/>
      <c r="H631" s="2"/>
      <c r="I631" s="2"/>
      <c r="J631" s="2"/>
      <c r="K631" s="2"/>
      <c r="L631" s="2"/>
      <c r="M631" s="2"/>
      <c r="N631" s="2"/>
      <c r="O631" s="2"/>
    </row>
    <row r="632" spans="1:15" s="3" customFormat="1">
      <c r="A632" s="4"/>
      <c r="C632" s="2"/>
      <c r="D632" s="2"/>
      <c r="E632" s="2"/>
      <c r="F632" s="2"/>
      <c r="G632" s="2"/>
      <c r="H632" s="2"/>
      <c r="I632" s="2"/>
      <c r="J632" s="2"/>
      <c r="K632" s="2"/>
      <c r="L632" s="2"/>
      <c r="M632" s="2"/>
      <c r="N632" s="2"/>
      <c r="O632" s="2"/>
    </row>
    <row r="633" spans="1:15" s="3" customFormat="1">
      <c r="A633" s="4"/>
      <c r="C633" s="2"/>
      <c r="D633" s="2"/>
      <c r="E633" s="2"/>
      <c r="F633" s="2"/>
      <c r="G633" s="2"/>
      <c r="H633" s="2"/>
      <c r="I633" s="2"/>
      <c r="J633" s="2"/>
      <c r="K633" s="2"/>
      <c r="L633" s="2"/>
      <c r="M633" s="2"/>
      <c r="N633" s="2"/>
      <c r="O633" s="2"/>
    </row>
    <row r="634" spans="1:15" s="3" customFormat="1">
      <c r="A634" s="4"/>
      <c r="C634" s="2"/>
      <c r="D634" s="2"/>
      <c r="E634" s="2"/>
      <c r="F634" s="2"/>
      <c r="G634" s="2"/>
      <c r="H634" s="2"/>
      <c r="I634" s="2"/>
      <c r="J634" s="2"/>
      <c r="K634" s="2"/>
      <c r="L634" s="2"/>
      <c r="M634" s="2"/>
      <c r="N634" s="2"/>
      <c r="O634" s="2"/>
    </row>
    <row r="635" spans="1:15" s="3" customFormat="1">
      <c r="A635" s="4"/>
      <c r="C635" s="2"/>
      <c r="D635" s="2"/>
      <c r="E635" s="2"/>
      <c r="F635" s="2"/>
      <c r="G635" s="2"/>
      <c r="H635" s="2"/>
      <c r="I635" s="2"/>
      <c r="J635" s="2"/>
      <c r="K635" s="2"/>
      <c r="L635" s="2"/>
      <c r="M635" s="2"/>
      <c r="N635" s="2"/>
      <c r="O635" s="2"/>
    </row>
    <row r="636" spans="1:15" s="3" customFormat="1">
      <c r="A636" s="4"/>
      <c r="C636" s="2"/>
      <c r="D636" s="2"/>
      <c r="E636" s="2"/>
      <c r="F636" s="2"/>
      <c r="G636" s="2"/>
      <c r="H636" s="2"/>
      <c r="I636" s="2"/>
      <c r="J636" s="2"/>
      <c r="K636" s="2"/>
      <c r="L636" s="2"/>
      <c r="M636" s="2"/>
      <c r="N636" s="2"/>
      <c r="O636" s="2"/>
    </row>
    <row r="637" spans="1:15" s="3" customFormat="1">
      <c r="A637" s="4"/>
      <c r="C637" s="2"/>
      <c r="D637" s="2"/>
      <c r="E637" s="2"/>
      <c r="F637" s="2"/>
      <c r="G637" s="2"/>
      <c r="H637" s="2"/>
      <c r="I637" s="2"/>
      <c r="J637" s="2"/>
      <c r="K637" s="2"/>
      <c r="L637" s="2"/>
      <c r="M637" s="2"/>
      <c r="N637" s="2"/>
      <c r="O637" s="2"/>
    </row>
    <row r="638" spans="1:15" s="3" customFormat="1">
      <c r="A638" s="4"/>
      <c r="C638" s="2"/>
      <c r="D638" s="2"/>
      <c r="E638" s="2"/>
      <c r="F638" s="2"/>
      <c r="G638" s="2"/>
      <c r="H638" s="2"/>
      <c r="I638" s="2"/>
      <c r="J638" s="2"/>
      <c r="K638" s="2"/>
      <c r="L638" s="2"/>
      <c r="M638" s="2"/>
      <c r="N638" s="2"/>
      <c r="O638" s="2"/>
    </row>
    <row r="639" spans="1:15" s="3" customFormat="1">
      <c r="A639" s="4"/>
      <c r="C639" s="2"/>
      <c r="D639" s="2"/>
      <c r="E639" s="2"/>
      <c r="F639" s="2"/>
      <c r="G639" s="2"/>
      <c r="H639" s="2"/>
      <c r="I639" s="2"/>
      <c r="J639" s="2"/>
      <c r="K639" s="2"/>
      <c r="L639" s="2"/>
      <c r="M639" s="2"/>
      <c r="N639" s="2"/>
      <c r="O639" s="2"/>
    </row>
    <row r="640" spans="1:15" s="3" customFormat="1">
      <c r="A640" s="4"/>
      <c r="C640" s="2"/>
      <c r="D640" s="2"/>
      <c r="E640" s="2"/>
      <c r="F640" s="2"/>
      <c r="G640" s="2"/>
      <c r="H640" s="2"/>
      <c r="I640" s="2"/>
      <c r="J640" s="2"/>
      <c r="K640" s="2"/>
      <c r="L640" s="2"/>
      <c r="M640" s="2"/>
      <c r="N640" s="2"/>
      <c r="O640" s="2"/>
    </row>
    <row r="641" spans="1:15" s="3" customFormat="1">
      <c r="A641" s="4"/>
      <c r="C641" s="2"/>
      <c r="D641" s="2"/>
      <c r="E641" s="2"/>
      <c r="F641" s="2"/>
      <c r="G641" s="2"/>
      <c r="H641" s="2"/>
      <c r="I641" s="2"/>
      <c r="J641" s="2"/>
      <c r="K641" s="2"/>
      <c r="L641" s="2"/>
      <c r="M641" s="2"/>
      <c r="N641" s="2"/>
      <c r="O641" s="2"/>
    </row>
    <row r="642" spans="1:15" s="3" customFormat="1">
      <c r="A642" s="4"/>
      <c r="C642" s="2"/>
      <c r="D642" s="2"/>
      <c r="E642" s="2"/>
      <c r="F642" s="2"/>
      <c r="G642" s="2"/>
      <c r="H642" s="2"/>
      <c r="I642" s="2"/>
      <c r="J642" s="2"/>
      <c r="K642" s="2"/>
      <c r="L642" s="2"/>
      <c r="M642" s="2"/>
      <c r="N642" s="2"/>
      <c r="O642" s="2"/>
    </row>
    <row r="643" spans="1:15" s="3" customFormat="1">
      <c r="A643" s="4"/>
      <c r="C643" s="2"/>
      <c r="D643" s="2"/>
      <c r="E643" s="2"/>
      <c r="F643" s="2"/>
      <c r="G643" s="2"/>
      <c r="H643" s="2"/>
      <c r="I643" s="2"/>
      <c r="J643" s="2"/>
      <c r="K643" s="2"/>
      <c r="L643" s="2"/>
      <c r="M643" s="2"/>
      <c r="N643" s="2"/>
      <c r="O643" s="2"/>
    </row>
    <row r="644" spans="1:15" s="3" customFormat="1">
      <c r="A644" s="4"/>
      <c r="C644" s="2"/>
      <c r="D644" s="2"/>
      <c r="E644" s="2"/>
      <c r="F644" s="2"/>
      <c r="G644" s="2"/>
      <c r="H644" s="2"/>
      <c r="I644" s="2"/>
      <c r="J644" s="2"/>
      <c r="K644" s="2"/>
      <c r="L644" s="2"/>
      <c r="M644" s="2"/>
      <c r="N644" s="2"/>
      <c r="O644" s="2"/>
    </row>
    <row r="645" spans="1:15" s="3" customFormat="1">
      <c r="A645" s="4"/>
      <c r="C645" s="2"/>
      <c r="D645" s="2"/>
      <c r="E645" s="2"/>
      <c r="F645" s="2"/>
      <c r="G645" s="2"/>
      <c r="H645" s="2"/>
      <c r="I645" s="2"/>
      <c r="J645" s="2"/>
      <c r="K645" s="2"/>
      <c r="L645" s="2"/>
      <c r="M645" s="2"/>
      <c r="N645" s="2"/>
      <c r="O645" s="2"/>
    </row>
    <row r="646" spans="1:15" s="3" customFormat="1">
      <c r="A646" s="4"/>
      <c r="C646" s="2"/>
      <c r="D646" s="2"/>
      <c r="E646" s="2"/>
      <c r="F646" s="2"/>
      <c r="G646" s="2"/>
      <c r="H646" s="2"/>
      <c r="I646" s="2"/>
      <c r="J646" s="2"/>
      <c r="K646" s="2"/>
      <c r="L646" s="2"/>
      <c r="M646" s="2"/>
      <c r="N646" s="2"/>
      <c r="O646" s="2"/>
    </row>
    <row r="647" spans="1:15" s="3" customFormat="1">
      <c r="A647" s="4"/>
      <c r="C647" s="2"/>
      <c r="D647" s="2"/>
      <c r="E647" s="2"/>
      <c r="F647" s="2"/>
      <c r="G647" s="2"/>
      <c r="H647" s="2"/>
      <c r="I647" s="2"/>
      <c r="J647" s="2"/>
      <c r="K647" s="2"/>
      <c r="L647" s="2"/>
      <c r="M647" s="2"/>
      <c r="N647" s="2"/>
      <c r="O647" s="2"/>
    </row>
    <row r="648" spans="1:15" s="3" customFormat="1">
      <c r="A648" s="4"/>
      <c r="C648" s="2"/>
      <c r="D648" s="2"/>
      <c r="E648" s="2"/>
      <c r="F648" s="2"/>
      <c r="G648" s="2"/>
      <c r="H648" s="2"/>
      <c r="I648" s="2"/>
      <c r="J648" s="2"/>
      <c r="K648" s="2"/>
      <c r="L648" s="2"/>
      <c r="M648" s="2"/>
      <c r="N648" s="2"/>
      <c r="O648" s="2"/>
    </row>
    <row r="649" spans="1:15" s="3" customFormat="1">
      <c r="A649" s="4"/>
      <c r="C649" s="2"/>
      <c r="D649" s="2"/>
      <c r="E649" s="2"/>
      <c r="F649" s="2"/>
      <c r="G649" s="2"/>
      <c r="H649" s="2"/>
      <c r="I649" s="2"/>
      <c r="J649" s="2"/>
      <c r="K649" s="2"/>
      <c r="L649" s="2"/>
      <c r="M649" s="2"/>
      <c r="N649" s="2"/>
      <c r="O649" s="2"/>
    </row>
    <row r="650" spans="1:15" s="3" customFormat="1">
      <c r="A650" s="4"/>
      <c r="C650" s="2"/>
      <c r="D650" s="2"/>
      <c r="E650" s="2"/>
      <c r="F650" s="2"/>
      <c r="G650" s="2"/>
      <c r="H650" s="2"/>
      <c r="I650" s="2"/>
      <c r="J650" s="2"/>
      <c r="K650" s="2"/>
      <c r="L650" s="2"/>
      <c r="M650" s="2"/>
      <c r="N650" s="2"/>
      <c r="O650" s="2"/>
    </row>
    <row r="651" spans="1:15" s="3" customFormat="1">
      <c r="A651" s="4"/>
      <c r="C651" s="2"/>
      <c r="D651" s="2"/>
      <c r="E651" s="2"/>
      <c r="F651" s="2"/>
      <c r="G651" s="2"/>
      <c r="H651" s="2"/>
      <c r="I651" s="2"/>
      <c r="J651" s="2"/>
      <c r="K651" s="2"/>
      <c r="L651" s="2"/>
      <c r="M651" s="2"/>
      <c r="N651" s="2"/>
      <c r="O651" s="2"/>
    </row>
    <row r="652" spans="1:15" s="3" customFormat="1">
      <c r="A652" s="4"/>
      <c r="C652" s="2"/>
      <c r="D652" s="2"/>
      <c r="E652" s="2"/>
      <c r="F652" s="2"/>
      <c r="G652" s="2"/>
      <c r="H652" s="2"/>
      <c r="I652" s="2"/>
      <c r="J652" s="2"/>
      <c r="K652" s="2"/>
      <c r="L652" s="2"/>
      <c r="M652" s="2"/>
      <c r="N652" s="2"/>
      <c r="O652" s="2"/>
    </row>
    <row r="653" spans="1:15" s="3" customFormat="1">
      <c r="A653" s="4"/>
      <c r="C653" s="2"/>
      <c r="D653" s="2"/>
      <c r="E653" s="2"/>
      <c r="F653" s="2"/>
      <c r="G653" s="2"/>
      <c r="H653" s="2"/>
      <c r="I653" s="2"/>
      <c r="J653" s="2"/>
      <c r="K653" s="2"/>
      <c r="L653" s="2"/>
      <c r="M653" s="2"/>
      <c r="N653" s="2"/>
      <c r="O653" s="2"/>
    </row>
    <row r="654" spans="1:15" s="3" customFormat="1">
      <c r="A654" s="4"/>
      <c r="C654" s="2"/>
      <c r="D654" s="2"/>
      <c r="E654" s="2"/>
      <c r="F654" s="2"/>
      <c r="G654" s="2"/>
      <c r="H654" s="2"/>
      <c r="I654" s="2"/>
      <c r="J654" s="2"/>
      <c r="K654" s="2"/>
      <c r="L654" s="2"/>
      <c r="M654" s="2"/>
      <c r="N654" s="2"/>
      <c r="O654" s="2"/>
    </row>
    <row r="655" spans="1:15" s="3" customFormat="1">
      <c r="A655" s="4"/>
      <c r="C655" s="2"/>
      <c r="D655" s="2"/>
      <c r="E655" s="2"/>
      <c r="F655" s="2"/>
      <c r="G655" s="2"/>
      <c r="H655" s="2"/>
      <c r="I655" s="2"/>
      <c r="J655" s="2"/>
      <c r="K655" s="2"/>
      <c r="L655" s="2"/>
      <c r="M655" s="2"/>
      <c r="N655" s="2"/>
      <c r="O655" s="2"/>
    </row>
    <row r="656" spans="1:15" s="3" customFormat="1">
      <c r="A656" s="4"/>
      <c r="C656" s="2"/>
      <c r="D656" s="2"/>
      <c r="E656" s="2"/>
      <c r="F656" s="2"/>
      <c r="G656" s="2"/>
      <c r="H656" s="2"/>
      <c r="I656" s="2"/>
      <c r="J656" s="2"/>
      <c r="K656" s="2"/>
      <c r="L656" s="2"/>
      <c r="M656" s="2"/>
      <c r="N656" s="2"/>
      <c r="O656" s="2"/>
    </row>
    <row r="657" spans="1:15" s="3" customFormat="1">
      <c r="A657" s="4"/>
      <c r="C657" s="2"/>
      <c r="D657" s="2"/>
      <c r="E657" s="2"/>
      <c r="F657" s="2"/>
      <c r="G657" s="2"/>
      <c r="H657" s="2"/>
      <c r="I657" s="2"/>
      <c r="J657" s="2"/>
      <c r="K657" s="2"/>
      <c r="L657" s="2"/>
      <c r="M657" s="2"/>
      <c r="N657" s="2"/>
      <c r="O657" s="2"/>
    </row>
    <row r="658" spans="1:15" s="3" customFormat="1">
      <c r="A658" s="4"/>
      <c r="C658" s="2"/>
      <c r="D658" s="2"/>
      <c r="E658" s="2"/>
      <c r="F658" s="2"/>
      <c r="G658" s="2"/>
      <c r="H658" s="2"/>
      <c r="I658" s="2"/>
      <c r="J658" s="2"/>
      <c r="K658" s="2"/>
      <c r="L658" s="2"/>
      <c r="M658" s="2"/>
      <c r="N658" s="2"/>
      <c r="O658" s="2"/>
    </row>
    <row r="659" spans="1:15" s="3" customFormat="1">
      <c r="A659" s="4"/>
      <c r="C659" s="2"/>
      <c r="D659" s="2"/>
      <c r="E659" s="2"/>
      <c r="F659" s="2"/>
      <c r="G659" s="2"/>
      <c r="H659" s="2"/>
      <c r="I659" s="2"/>
      <c r="J659" s="2"/>
      <c r="K659" s="2"/>
      <c r="L659" s="2"/>
      <c r="M659" s="2"/>
      <c r="N659" s="2"/>
      <c r="O659" s="2"/>
    </row>
    <row r="660" spans="1:15" s="3" customFormat="1">
      <c r="A660" s="4"/>
      <c r="C660" s="2"/>
      <c r="D660" s="2"/>
      <c r="E660" s="2"/>
      <c r="F660" s="2"/>
      <c r="G660" s="2"/>
      <c r="H660" s="2"/>
      <c r="I660" s="2"/>
      <c r="J660" s="2"/>
      <c r="K660" s="2"/>
      <c r="L660" s="2"/>
      <c r="M660" s="2"/>
      <c r="N660" s="2"/>
      <c r="O660" s="2"/>
    </row>
    <row r="661" spans="1:15" s="3" customFormat="1">
      <c r="A661" s="4"/>
      <c r="C661" s="2"/>
      <c r="D661" s="2"/>
      <c r="E661" s="2"/>
      <c r="F661" s="2"/>
      <c r="G661" s="2"/>
      <c r="H661" s="2"/>
      <c r="I661" s="2"/>
      <c r="J661" s="2"/>
      <c r="K661" s="2"/>
      <c r="L661" s="2"/>
      <c r="M661" s="2"/>
      <c r="N661" s="2"/>
      <c r="O661" s="2"/>
    </row>
    <row r="662" spans="1:15" s="3" customFormat="1">
      <c r="A662" s="4"/>
      <c r="C662" s="2"/>
      <c r="D662" s="2"/>
      <c r="E662" s="2"/>
      <c r="F662" s="2"/>
      <c r="G662" s="2"/>
      <c r="H662" s="2"/>
      <c r="I662" s="2"/>
      <c r="J662" s="2"/>
      <c r="K662" s="2"/>
      <c r="L662" s="2"/>
      <c r="M662" s="2"/>
      <c r="N662" s="2"/>
      <c r="O662" s="2"/>
    </row>
    <row r="663" spans="1:15" s="3" customFormat="1">
      <c r="A663" s="4"/>
      <c r="C663" s="2"/>
      <c r="D663" s="2"/>
      <c r="E663" s="2"/>
      <c r="F663" s="2"/>
      <c r="G663" s="2"/>
      <c r="H663" s="2"/>
      <c r="I663" s="2"/>
      <c r="J663" s="2"/>
      <c r="K663" s="2"/>
      <c r="L663" s="2"/>
      <c r="M663" s="2"/>
      <c r="N663" s="2"/>
      <c r="O663" s="2"/>
    </row>
    <row r="664" spans="1:15" s="3" customFormat="1">
      <c r="A664" s="4"/>
      <c r="C664" s="2"/>
      <c r="D664" s="2"/>
      <c r="E664" s="2"/>
      <c r="F664" s="2"/>
      <c r="G664" s="2"/>
      <c r="H664" s="2"/>
      <c r="I664" s="2"/>
      <c r="J664" s="2"/>
      <c r="K664" s="2"/>
      <c r="L664" s="2"/>
      <c r="M664" s="2"/>
      <c r="N664" s="2"/>
      <c r="O664" s="2"/>
    </row>
    <row r="665" spans="1:15" s="3" customFormat="1">
      <c r="A665" s="4"/>
      <c r="C665" s="2"/>
      <c r="D665" s="2"/>
      <c r="E665" s="2"/>
      <c r="F665" s="2"/>
      <c r="G665" s="2"/>
      <c r="H665" s="2"/>
      <c r="I665" s="2"/>
      <c r="J665" s="2"/>
      <c r="K665" s="2"/>
      <c r="L665" s="2"/>
      <c r="M665" s="2"/>
      <c r="N665" s="2"/>
      <c r="O665" s="2"/>
    </row>
    <row r="666" spans="1:15" s="3" customFormat="1">
      <c r="A666" s="4"/>
      <c r="C666" s="2"/>
      <c r="D666" s="2"/>
      <c r="E666" s="2"/>
      <c r="F666" s="2"/>
      <c r="G666" s="2"/>
      <c r="H666" s="2"/>
      <c r="I666" s="2"/>
      <c r="J666" s="2"/>
      <c r="K666" s="2"/>
      <c r="L666" s="2"/>
      <c r="M666" s="2"/>
      <c r="N666" s="2"/>
      <c r="O666" s="2"/>
    </row>
    <row r="667" spans="1:15" s="3" customFormat="1">
      <c r="A667" s="4"/>
      <c r="C667" s="2"/>
      <c r="D667" s="2"/>
      <c r="E667" s="2"/>
      <c r="F667" s="2"/>
      <c r="G667" s="2"/>
      <c r="H667" s="2"/>
      <c r="I667" s="2"/>
      <c r="J667" s="2"/>
      <c r="K667" s="2"/>
      <c r="L667" s="2"/>
      <c r="M667" s="2"/>
      <c r="N667" s="2"/>
      <c r="O667" s="2"/>
    </row>
    <row r="668" spans="1:15" s="3" customFormat="1">
      <c r="A668" s="4"/>
      <c r="C668" s="2"/>
      <c r="D668" s="2"/>
      <c r="E668" s="2"/>
      <c r="F668" s="2"/>
      <c r="G668" s="2"/>
      <c r="H668" s="2"/>
      <c r="I668" s="2"/>
      <c r="J668" s="2"/>
      <c r="K668" s="2"/>
      <c r="L668" s="2"/>
      <c r="M668" s="2"/>
      <c r="N668" s="2"/>
      <c r="O668" s="2"/>
    </row>
    <row r="669" spans="1:15" s="3" customFormat="1">
      <c r="A669" s="4"/>
      <c r="C669" s="2"/>
      <c r="D669" s="2"/>
      <c r="E669" s="2"/>
      <c r="F669" s="2"/>
      <c r="G669" s="2"/>
      <c r="H669" s="2"/>
      <c r="I669" s="2"/>
      <c r="J669" s="2"/>
      <c r="K669" s="2"/>
      <c r="L669" s="2"/>
      <c r="M669" s="2"/>
      <c r="N669" s="2"/>
      <c r="O669" s="2"/>
    </row>
    <row r="670" spans="1:15" s="3" customFormat="1">
      <c r="A670" s="4"/>
      <c r="C670" s="2"/>
      <c r="D670" s="2"/>
      <c r="E670" s="2"/>
      <c r="F670" s="2"/>
      <c r="G670" s="2"/>
      <c r="H670" s="2"/>
      <c r="I670" s="2"/>
      <c r="J670" s="2"/>
      <c r="K670" s="2"/>
      <c r="L670" s="2"/>
      <c r="M670" s="2"/>
      <c r="N670" s="2"/>
      <c r="O670" s="2"/>
    </row>
    <row r="671" spans="1:15" s="3" customFormat="1">
      <c r="A671" s="4"/>
      <c r="C671" s="2"/>
      <c r="D671" s="2"/>
      <c r="E671" s="2"/>
      <c r="F671" s="2"/>
      <c r="G671" s="2"/>
      <c r="H671" s="2"/>
      <c r="I671" s="2"/>
      <c r="J671" s="2"/>
      <c r="K671" s="2"/>
      <c r="L671" s="2"/>
      <c r="M671" s="2"/>
      <c r="N671" s="2"/>
      <c r="O671" s="2"/>
    </row>
    <row r="672" spans="1:15" s="3" customFormat="1">
      <c r="A672" s="4"/>
      <c r="C672" s="2"/>
      <c r="D672" s="2"/>
      <c r="E672" s="2"/>
      <c r="F672" s="2"/>
      <c r="G672" s="2"/>
      <c r="H672" s="2"/>
      <c r="I672" s="2"/>
      <c r="J672" s="2"/>
      <c r="K672" s="2"/>
      <c r="L672" s="2"/>
      <c r="M672" s="2"/>
      <c r="N672" s="2"/>
      <c r="O672" s="2"/>
    </row>
    <row r="673" spans="1:15" s="3" customFormat="1">
      <c r="A673" s="4"/>
      <c r="C673" s="2"/>
      <c r="D673" s="2"/>
      <c r="E673" s="2"/>
      <c r="F673" s="2"/>
      <c r="G673" s="2"/>
      <c r="H673" s="2"/>
      <c r="I673" s="2"/>
      <c r="J673" s="2"/>
      <c r="K673" s="2"/>
      <c r="L673" s="2"/>
      <c r="M673" s="2"/>
      <c r="N673" s="2"/>
      <c r="O673" s="2"/>
    </row>
    <row r="674" spans="1:15" s="3" customFormat="1">
      <c r="A674" s="4"/>
      <c r="C674" s="2"/>
      <c r="D674" s="2"/>
      <c r="E674" s="2"/>
      <c r="F674" s="2"/>
      <c r="G674" s="2"/>
      <c r="H674" s="2"/>
      <c r="I674" s="2"/>
      <c r="J674" s="2"/>
      <c r="K674" s="2"/>
      <c r="L674" s="2"/>
      <c r="M674" s="2"/>
      <c r="N674" s="2"/>
      <c r="O674" s="2"/>
    </row>
    <row r="675" spans="1:15" s="3" customFormat="1">
      <c r="A675" s="4"/>
      <c r="C675" s="2"/>
      <c r="D675" s="2"/>
      <c r="E675" s="2"/>
      <c r="F675" s="2"/>
      <c r="G675" s="2"/>
      <c r="H675" s="2"/>
      <c r="I675" s="2"/>
      <c r="J675" s="2"/>
      <c r="K675" s="2"/>
      <c r="L675" s="2"/>
      <c r="M675" s="2"/>
      <c r="N675" s="2"/>
      <c r="O675" s="2"/>
    </row>
    <row r="676" spans="1:15" s="3" customFormat="1">
      <c r="A676" s="4"/>
      <c r="C676" s="2"/>
      <c r="D676" s="2"/>
      <c r="E676" s="2"/>
      <c r="F676" s="2"/>
      <c r="G676" s="2"/>
      <c r="H676" s="2"/>
      <c r="I676" s="2"/>
      <c r="J676" s="2"/>
      <c r="K676" s="2"/>
      <c r="L676" s="2"/>
      <c r="M676" s="2"/>
      <c r="N676" s="2"/>
      <c r="O676" s="2"/>
    </row>
    <row r="677" spans="1:15" s="3" customFormat="1">
      <c r="A677" s="4"/>
      <c r="C677" s="2"/>
      <c r="D677" s="2"/>
      <c r="E677" s="2"/>
      <c r="F677" s="2"/>
      <c r="G677" s="2"/>
      <c r="H677" s="2"/>
      <c r="I677" s="2"/>
      <c r="J677" s="2"/>
      <c r="K677" s="2"/>
      <c r="L677" s="2"/>
      <c r="M677" s="2"/>
      <c r="N677" s="2"/>
      <c r="O677" s="2"/>
    </row>
    <row r="678" spans="1:15" s="3" customFormat="1">
      <c r="A678" s="4"/>
      <c r="C678" s="2"/>
      <c r="D678" s="2"/>
      <c r="E678" s="2"/>
      <c r="F678" s="2"/>
      <c r="G678" s="2"/>
      <c r="H678" s="2"/>
      <c r="I678" s="2"/>
      <c r="J678" s="2"/>
      <c r="K678" s="2"/>
      <c r="L678" s="2"/>
      <c r="M678" s="2"/>
      <c r="N678" s="2"/>
      <c r="O678" s="2"/>
    </row>
    <row r="679" spans="1:15" s="3" customFormat="1">
      <c r="A679" s="4"/>
      <c r="C679" s="2"/>
      <c r="D679" s="2"/>
      <c r="E679" s="2"/>
      <c r="F679" s="2"/>
      <c r="G679" s="2"/>
      <c r="H679" s="2"/>
      <c r="I679" s="2"/>
      <c r="J679" s="2"/>
      <c r="K679" s="2"/>
      <c r="L679" s="2"/>
      <c r="M679" s="2"/>
      <c r="N679" s="2"/>
      <c r="O679" s="2"/>
    </row>
    <row r="680" spans="1:15" s="3" customFormat="1">
      <c r="A680" s="4"/>
      <c r="C680" s="2"/>
      <c r="D680" s="2"/>
      <c r="E680" s="2"/>
      <c r="F680" s="2"/>
      <c r="G680" s="2"/>
      <c r="H680" s="2"/>
      <c r="I680" s="2"/>
      <c r="J680" s="2"/>
      <c r="K680" s="2"/>
      <c r="L680" s="2"/>
      <c r="M680" s="2"/>
      <c r="N680" s="2"/>
      <c r="O680" s="2"/>
    </row>
    <row r="681" spans="1:15" s="3" customFormat="1">
      <c r="A681" s="4"/>
      <c r="C681" s="2"/>
      <c r="D681" s="2"/>
      <c r="E681" s="2"/>
      <c r="F681" s="2"/>
      <c r="G681" s="2"/>
      <c r="H681" s="2"/>
      <c r="I681" s="2"/>
      <c r="J681" s="2"/>
      <c r="K681" s="2"/>
      <c r="L681" s="2"/>
      <c r="M681" s="2"/>
      <c r="N681" s="2"/>
      <c r="O681" s="2"/>
    </row>
    <row r="682" spans="1:15" s="3" customFormat="1">
      <c r="A682" s="4"/>
      <c r="C682" s="2"/>
      <c r="D682" s="2"/>
      <c r="E682" s="2"/>
      <c r="F682" s="2"/>
      <c r="G682" s="2"/>
      <c r="H682" s="2"/>
      <c r="I682" s="2"/>
      <c r="J682" s="2"/>
      <c r="K682" s="2"/>
      <c r="L682" s="2"/>
      <c r="M682" s="2"/>
      <c r="N682" s="2"/>
      <c r="O682" s="2"/>
    </row>
    <row r="683" spans="1:15" s="3" customFormat="1">
      <c r="A683" s="4"/>
      <c r="C683" s="2"/>
      <c r="D683" s="2"/>
      <c r="E683" s="2"/>
      <c r="F683" s="2"/>
      <c r="G683" s="2"/>
      <c r="H683" s="2"/>
      <c r="I683" s="2"/>
      <c r="J683" s="2"/>
      <c r="K683" s="2"/>
      <c r="L683" s="2"/>
      <c r="M683" s="2"/>
      <c r="N683" s="2"/>
      <c r="O683" s="2"/>
    </row>
    <row r="684" spans="1:15" s="3" customFormat="1">
      <c r="A684" s="4"/>
      <c r="C684" s="2"/>
      <c r="D684" s="2"/>
      <c r="E684" s="2"/>
      <c r="F684" s="2"/>
      <c r="G684" s="2"/>
      <c r="H684" s="2"/>
      <c r="I684" s="2"/>
      <c r="J684" s="2"/>
      <c r="K684" s="2"/>
      <c r="L684" s="2"/>
      <c r="M684" s="2"/>
      <c r="N684" s="2"/>
      <c r="O684" s="2"/>
    </row>
    <row r="685" spans="1:15" s="3" customFormat="1">
      <c r="A685" s="4"/>
      <c r="C685" s="2"/>
      <c r="D685" s="2"/>
      <c r="E685" s="2"/>
      <c r="F685" s="2"/>
      <c r="G685" s="2"/>
      <c r="H685" s="2"/>
      <c r="I685" s="2"/>
      <c r="J685" s="2"/>
      <c r="K685" s="2"/>
      <c r="L685" s="2"/>
      <c r="M685" s="2"/>
      <c r="N685" s="2"/>
      <c r="O685" s="2"/>
    </row>
    <row r="686" spans="1:15" s="3" customFormat="1">
      <c r="A686" s="4"/>
      <c r="C686" s="2"/>
      <c r="D686" s="2"/>
      <c r="E686" s="2"/>
      <c r="F686" s="2"/>
      <c r="G686" s="2"/>
      <c r="H686" s="2"/>
      <c r="I686" s="2"/>
      <c r="J686" s="2"/>
      <c r="K686" s="2"/>
      <c r="L686" s="2"/>
      <c r="M686" s="2"/>
      <c r="N686" s="2"/>
      <c r="O686" s="2"/>
    </row>
    <row r="687" spans="1:15" s="3" customFormat="1">
      <c r="A687" s="4"/>
      <c r="C687" s="2"/>
      <c r="D687" s="2"/>
      <c r="E687" s="2"/>
      <c r="F687" s="2"/>
      <c r="G687" s="2"/>
      <c r="H687" s="2"/>
      <c r="I687" s="2"/>
      <c r="J687" s="2"/>
      <c r="K687" s="2"/>
      <c r="L687" s="2"/>
      <c r="M687" s="2"/>
      <c r="N687" s="2"/>
      <c r="O687" s="2"/>
    </row>
    <row r="688" spans="1:15" s="3" customFormat="1">
      <c r="A688" s="4"/>
      <c r="C688" s="2"/>
      <c r="D688" s="2"/>
      <c r="E688" s="2"/>
      <c r="F688" s="2"/>
      <c r="G688" s="2"/>
      <c r="H688" s="2"/>
      <c r="I688" s="2"/>
      <c r="J688" s="2"/>
      <c r="K688" s="2"/>
      <c r="L688" s="2"/>
      <c r="M688" s="2"/>
      <c r="N688" s="2"/>
      <c r="O688" s="2"/>
    </row>
    <row r="689" spans="1:15" s="3" customFormat="1">
      <c r="A689" s="4"/>
      <c r="C689" s="2"/>
      <c r="D689" s="2"/>
      <c r="E689" s="2"/>
      <c r="F689" s="2"/>
      <c r="G689" s="2"/>
      <c r="H689" s="2"/>
      <c r="I689" s="2"/>
      <c r="J689" s="2"/>
      <c r="K689" s="2"/>
      <c r="L689" s="2"/>
      <c r="M689" s="2"/>
      <c r="N689" s="2"/>
      <c r="O689" s="2"/>
    </row>
    <row r="690" spans="1:15" s="3" customFormat="1">
      <c r="A690" s="4"/>
      <c r="C690" s="2"/>
      <c r="D690" s="2"/>
      <c r="E690" s="2"/>
      <c r="F690" s="2"/>
      <c r="G690" s="2"/>
      <c r="H690" s="2"/>
      <c r="I690" s="2"/>
      <c r="J690" s="2"/>
      <c r="K690" s="2"/>
      <c r="L690" s="2"/>
      <c r="M690" s="2"/>
      <c r="N690" s="2"/>
      <c r="O690" s="2"/>
    </row>
    <row r="691" spans="1:15" s="3" customFormat="1">
      <c r="A691" s="4"/>
      <c r="C691" s="2"/>
      <c r="D691" s="2"/>
      <c r="E691" s="2"/>
      <c r="F691" s="2"/>
      <c r="G691" s="2"/>
      <c r="H691" s="2"/>
      <c r="I691" s="2"/>
      <c r="J691" s="2"/>
      <c r="K691" s="2"/>
      <c r="L691" s="2"/>
      <c r="M691" s="2"/>
      <c r="N691" s="2"/>
      <c r="O691" s="2"/>
    </row>
    <row r="692" spans="1:15" s="3" customFormat="1">
      <c r="A692" s="4"/>
      <c r="C692" s="2"/>
      <c r="D692" s="2"/>
      <c r="E692" s="2"/>
      <c r="F692" s="2"/>
      <c r="G692" s="2"/>
      <c r="H692" s="2"/>
      <c r="I692" s="2"/>
      <c r="J692" s="2"/>
      <c r="K692" s="2"/>
      <c r="L692" s="2"/>
      <c r="M692" s="2"/>
      <c r="N692" s="2"/>
      <c r="O692" s="2"/>
    </row>
    <row r="693" spans="1:15" s="3" customFormat="1">
      <c r="A693" s="4"/>
      <c r="C693" s="2"/>
      <c r="D693" s="2"/>
      <c r="E693" s="2"/>
      <c r="F693" s="2"/>
      <c r="G693" s="2"/>
      <c r="H693" s="2"/>
      <c r="I693" s="2"/>
      <c r="J693" s="2"/>
      <c r="K693" s="2"/>
      <c r="L693" s="2"/>
      <c r="M693" s="2"/>
      <c r="N693" s="2"/>
      <c r="O693" s="2"/>
    </row>
    <row r="694" spans="1:15" s="3" customFormat="1">
      <c r="A694" s="4"/>
      <c r="C694" s="2"/>
      <c r="D694" s="2"/>
      <c r="E694" s="2"/>
      <c r="F694" s="2"/>
      <c r="G694" s="2"/>
      <c r="H694" s="2"/>
      <c r="I694" s="2"/>
      <c r="J694" s="2"/>
      <c r="K694" s="2"/>
      <c r="L694" s="2"/>
      <c r="M694" s="2"/>
      <c r="N694" s="2"/>
      <c r="O694" s="2"/>
    </row>
    <row r="695" spans="1:15" s="3" customFormat="1">
      <c r="A695" s="4"/>
      <c r="C695" s="2"/>
      <c r="D695" s="2"/>
      <c r="E695" s="2"/>
      <c r="F695" s="2"/>
      <c r="G695" s="2"/>
      <c r="H695" s="2"/>
      <c r="I695" s="2"/>
      <c r="J695" s="2"/>
      <c r="K695" s="2"/>
      <c r="L695" s="2"/>
      <c r="M695" s="2"/>
      <c r="N695" s="2"/>
      <c r="O695" s="2"/>
    </row>
    <row r="696" spans="1:15" s="3" customFormat="1">
      <c r="A696" s="4"/>
      <c r="C696" s="2"/>
      <c r="D696" s="2"/>
      <c r="E696" s="2"/>
      <c r="F696" s="2"/>
      <c r="G696" s="2"/>
      <c r="H696" s="2"/>
      <c r="I696" s="2"/>
      <c r="J696" s="2"/>
      <c r="K696" s="2"/>
      <c r="L696" s="2"/>
      <c r="M696" s="2"/>
      <c r="N696" s="2"/>
      <c r="O696" s="2"/>
    </row>
    <row r="697" spans="1:15" s="3" customFormat="1">
      <c r="A697" s="4"/>
      <c r="C697" s="2"/>
      <c r="D697" s="2"/>
      <c r="E697" s="2"/>
      <c r="F697" s="2"/>
      <c r="G697" s="2"/>
      <c r="H697" s="2"/>
      <c r="I697" s="2"/>
      <c r="J697" s="2"/>
      <c r="K697" s="2"/>
      <c r="L697" s="2"/>
      <c r="M697" s="2"/>
      <c r="N697" s="2"/>
      <c r="O697" s="2"/>
    </row>
    <row r="698" spans="1:15" s="3" customFormat="1">
      <c r="A698" s="4"/>
      <c r="C698" s="2"/>
      <c r="D698" s="2"/>
      <c r="E698" s="2"/>
      <c r="F698" s="2"/>
      <c r="G698" s="2"/>
      <c r="H698" s="2"/>
      <c r="I698" s="2"/>
      <c r="J698" s="2"/>
      <c r="K698" s="2"/>
      <c r="L698" s="2"/>
      <c r="M698" s="2"/>
      <c r="N698" s="2"/>
      <c r="O698" s="2"/>
    </row>
    <row r="699" spans="1:15" s="3" customFormat="1">
      <c r="A699" s="4"/>
      <c r="C699" s="2"/>
      <c r="D699" s="2"/>
      <c r="E699" s="2"/>
      <c r="F699" s="2"/>
      <c r="G699" s="2"/>
      <c r="H699" s="2"/>
      <c r="I699" s="2"/>
      <c r="J699" s="2"/>
      <c r="K699" s="2"/>
      <c r="L699" s="2"/>
      <c r="M699" s="2"/>
      <c r="N699" s="2"/>
      <c r="O699" s="2"/>
    </row>
    <row r="700" spans="1:15" s="3" customFormat="1">
      <c r="A700" s="4"/>
      <c r="C700" s="2"/>
      <c r="D700" s="2"/>
      <c r="E700" s="2"/>
      <c r="F700" s="2"/>
      <c r="G700" s="2"/>
      <c r="H700" s="2"/>
      <c r="I700" s="2"/>
      <c r="J700" s="2"/>
      <c r="K700" s="2"/>
      <c r="L700" s="2"/>
      <c r="M700" s="2"/>
      <c r="N700" s="2"/>
      <c r="O700" s="2"/>
    </row>
    <row r="701" spans="1:15" s="3" customFormat="1">
      <c r="A701" s="4"/>
      <c r="C701" s="2"/>
      <c r="D701" s="2"/>
      <c r="E701" s="2"/>
      <c r="F701" s="2"/>
      <c r="G701" s="2"/>
      <c r="H701" s="2"/>
      <c r="I701" s="2"/>
      <c r="J701" s="2"/>
      <c r="K701" s="2"/>
      <c r="L701" s="2"/>
      <c r="M701" s="2"/>
      <c r="N701" s="2"/>
      <c r="O701" s="2"/>
    </row>
    <row r="702" spans="1:15" s="3" customFormat="1">
      <c r="A702" s="4"/>
      <c r="C702" s="2"/>
      <c r="D702" s="2"/>
      <c r="E702" s="2"/>
      <c r="F702" s="2"/>
      <c r="G702" s="2"/>
      <c r="H702" s="2"/>
      <c r="I702" s="2"/>
      <c r="J702" s="2"/>
      <c r="K702" s="2"/>
      <c r="L702" s="2"/>
      <c r="M702" s="2"/>
      <c r="N702" s="2"/>
      <c r="O702" s="2"/>
    </row>
    <row r="703" spans="1:15" s="3" customFormat="1">
      <c r="A703" s="4"/>
      <c r="C703" s="2"/>
      <c r="D703" s="2"/>
      <c r="E703" s="2"/>
      <c r="F703" s="2"/>
      <c r="G703" s="2"/>
      <c r="H703" s="2"/>
      <c r="I703" s="2"/>
      <c r="J703" s="2"/>
      <c r="K703" s="2"/>
      <c r="L703" s="2"/>
      <c r="M703" s="2"/>
      <c r="N703" s="2"/>
      <c r="O703" s="2"/>
    </row>
    <row r="704" spans="1:15" s="3" customFormat="1">
      <c r="A704" s="4"/>
      <c r="C704" s="2"/>
      <c r="D704" s="2"/>
      <c r="E704" s="2"/>
      <c r="F704" s="2"/>
      <c r="G704" s="2"/>
      <c r="H704" s="2"/>
      <c r="I704" s="2"/>
      <c r="J704" s="2"/>
      <c r="K704" s="2"/>
      <c r="L704" s="2"/>
      <c r="M704" s="2"/>
      <c r="N704" s="2"/>
      <c r="O704" s="2"/>
    </row>
    <row r="705" spans="1:15" s="3" customFormat="1">
      <c r="A705" s="4"/>
      <c r="C705" s="2"/>
      <c r="D705" s="2"/>
      <c r="E705" s="2"/>
      <c r="F705" s="2"/>
      <c r="G705" s="2"/>
      <c r="H705" s="2"/>
      <c r="I705" s="2"/>
      <c r="J705" s="2"/>
      <c r="K705" s="2"/>
      <c r="L705" s="2"/>
      <c r="M705" s="2"/>
      <c r="N705" s="2"/>
      <c r="O705" s="2"/>
    </row>
    <row r="706" spans="1:15" s="3" customFormat="1">
      <c r="A706" s="4"/>
      <c r="C706" s="2"/>
      <c r="D706" s="2"/>
      <c r="E706" s="2"/>
      <c r="F706" s="2"/>
      <c r="G706" s="2"/>
      <c r="H706" s="2"/>
      <c r="I706" s="2"/>
      <c r="J706" s="2"/>
      <c r="K706" s="2"/>
      <c r="L706" s="2"/>
      <c r="M706" s="2"/>
      <c r="N706" s="2"/>
      <c r="O706" s="2"/>
    </row>
    <row r="707" spans="1:15" s="3" customFormat="1">
      <c r="A707" s="4"/>
      <c r="C707" s="2"/>
      <c r="D707" s="2"/>
      <c r="E707" s="2"/>
      <c r="F707" s="2"/>
      <c r="G707" s="2"/>
      <c r="H707" s="2"/>
      <c r="I707" s="2"/>
      <c r="J707" s="2"/>
      <c r="K707" s="2"/>
      <c r="L707" s="2"/>
      <c r="M707" s="2"/>
      <c r="N707" s="2"/>
      <c r="O707" s="2"/>
    </row>
    <row r="708" spans="1:15" s="3" customFormat="1">
      <c r="A708" s="4"/>
      <c r="C708" s="2"/>
      <c r="D708" s="2"/>
      <c r="E708" s="2"/>
      <c r="F708" s="2"/>
      <c r="G708" s="2"/>
      <c r="H708" s="2"/>
      <c r="I708" s="2"/>
      <c r="J708" s="2"/>
      <c r="K708" s="2"/>
      <c r="L708" s="2"/>
      <c r="M708" s="2"/>
      <c r="N708" s="2"/>
      <c r="O708" s="2"/>
    </row>
    <row r="709" spans="1:15" s="3" customFormat="1">
      <c r="A709" s="4"/>
      <c r="C709" s="2"/>
      <c r="D709" s="2"/>
      <c r="E709" s="2"/>
      <c r="F709" s="2"/>
      <c r="G709" s="2"/>
      <c r="H709" s="2"/>
      <c r="I709" s="2"/>
      <c r="J709" s="2"/>
      <c r="K709" s="2"/>
      <c r="L709" s="2"/>
      <c r="M709" s="2"/>
      <c r="N709" s="2"/>
      <c r="O709" s="2"/>
    </row>
    <row r="710" spans="1:15" s="3" customFormat="1">
      <c r="A710" s="4"/>
      <c r="C710" s="2"/>
      <c r="D710" s="2"/>
      <c r="E710" s="2"/>
      <c r="F710" s="2"/>
      <c r="G710" s="2"/>
      <c r="H710" s="2"/>
      <c r="I710" s="2"/>
      <c r="J710" s="2"/>
      <c r="K710" s="2"/>
      <c r="L710" s="2"/>
      <c r="M710" s="2"/>
      <c r="N710" s="2"/>
      <c r="O710" s="2"/>
    </row>
    <row r="711" spans="1:15" s="3" customFormat="1">
      <c r="A711" s="4"/>
      <c r="C711" s="2"/>
      <c r="D711" s="2"/>
      <c r="E711" s="2"/>
      <c r="F711" s="2"/>
      <c r="G711" s="2"/>
      <c r="H711" s="2"/>
      <c r="I711" s="2"/>
      <c r="J711" s="2"/>
      <c r="K711" s="2"/>
      <c r="L711" s="2"/>
      <c r="M711" s="2"/>
      <c r="N711" s="2"/>
      <c r="O711" s="2"/>
    </row>
    <row r="712" spans="1:15" s="3" customFormat="1">
      <c r="A712" s="4"/>
      <c r="C712" s="2"/>
      <c r="D712" s="2"/>
      <c r="E712" s="2"/>
      <c r="F712" s="2"/>
      <c r="G712" s="2"/>
      <c r="H712" s="2"/>
      <c r="I712" s="2"/>
      <c r="J712" s="2"/>
      <c r="K712" s="2"/>
      <c r="L712" s="2"/>
      <c r="M712" s="2"/>
      <c r="N712" s="2"/>
      <c r="O712" s="2"/>
    </row>
    <row r="713" spans="1:15" s="3" customFormat="1">
      <c r="A713" s="4"/>
      <c r="C713" s="2"/>
      <c r="D713" s="2"/>
      <c r="E713" s="2"/>
      <c r="F713" s="2"/>
      <c r="G713" s="2"/>
      <c r="H713" s="2"/>
      <c r="I713" s="2"/>
      <c r="J713" s="2"/>
      <c r="K713" s="2"/>
      <c r="L713" s="2"/>
      <c r="M713" s="2"/>
      <c r="N713" s="2"/>
      <c r="O713" s="2"/>
    </row>
    <row r="714" spans="1:15" s="3" customFormat="1">
      <c r="A714" s="4"/>
      <c r="C714" s="2"/>
      <c r="D714" s="2"/>
      <c r="E714" s="2"/>
      <c r="F714" s="2"/>
      <c r="G714" s="2"/>
      <c r="H714" s="2"/>
      <c r="I714" s="2"/>
      <c r="J714" s="2"/>
      <c r="K714" s="2"/>
      <c r="L714" s="2"/>
      <c r="M714" s="2"/>
      <c r="N714" s="2"/>
      <c r="O714" s="2"/>
    </row>
    <row r="715" spans="1:15" s="3" customFormat="1">
      <c r="A715" s="4"/>
      <c r="C715" s="2"/>
      <c r="D715" s="2"/>
      <c r="E715" s="2"/>
      <c r="F715" s="2"/>
      <c r="G715" s="2"/>
      <c r="H715" s="2"/>
      <c r="I715" s="2"/>
      <c r="J715" s="2"/>
      <c r="K715" s="2"/>
      <c r="L715" s="2"/>
      <c r="M715" s="2"/>
      <c r="N715" s="2"/>
      <c r="O715" s="2"/>
    </row>
    <row r="716" spans="1:15" s="3" customFormat="1">
      <c r="A716" s="4"/>
      <c r="C716" s="2"/>
      <c r="D716" s="2"/>
      <c r="E716" s="2"/>
      <c r="F716" s="2"/>
      <c r="G716" s="2"/>
      <c r="H716" s="2"/>
      <c r="I716" s="2"/>
      <c r="J716" s="2"/>
      <c r="K716" s="2"/>
      <c r="L716" s="2"/>
      <c r="M716" s="2"/>
      <c r="N716" s="2"/>
      <c r="O716" s="2"/>
    </row>
    <row r="717" spans="1:15" s="3" customFormat="1">
      <c r="A717" s="4"/>
      <c r="C717" s="2"/>
      <c r="D717" s="2"/>
      <c r="E717" s="2"/>
      <c r="F717" s="2"/>
      <c r="G717" s="2"/>
      <c r="H717" s="2"/>
      <c r="I717" s="2"/>
      <c r="J717" s="2"/>
      <c r="K717" s="2"/>
      <c r="L717" s="2"/>
      <c r="M717" s="2"/>
      <c r="N717" s="2"/>
      <c r="O717" s="2"/>
    </row>
    <row r="718" spans="1:15" s="3" customFormat="1">
      <c r="A718" s="4"/>
      <c r="C718" s="2"/>
      <c r="D718" s="2"/>
      <c r="E718" s="2"/>
      <c r="F718" s="2"/>
      <c r="G718" s="2"/>
      <c r="H718" s="2"/>
      <c r="I718" s="2"/>
      <c r="J718" s="2"/>
      <c r="K718" s="2"/>
      <c r="L718" s="2"/>
      <c r="M718" s="2"/>
      <c r="N718" s="2"/>
      <c r="O718" s="2"/>
    </row>
    <row r="719" spans="1:15" s="3" customFormat="1">
      <c r="A719" s="4"/>
      <c r="C719" s="2"/>
      <c r="D719" s="2"/>
      <c r="E719" s="2"/>
      <c r="F719" s="2"/>
      <c r="G719" s="2"/>
      <c r="H719" s="2"/>
      <c r="I719" s="2"/>
      <c r="J719" s="2"/>
      <c r="K719" s="2"/>
      <c r="L719" s="2"/>
      <c r="M719" s="2"/>
      <c r="N719" s="2"/>
      <c r="O719" s="2"/>
    </row>
    <row r="720" spans="1:15" s="3" customFormat="1">
      <c r="A720" s="4"/>
      <c r="C720" s="2"/>
      <c r="D720" s="2"/>
      <c r="E720" s="2"/>
      <c r="F720" s="2"/>
      <c r="G720" s="2"/>
      <c r="H720" s="2"/>
      <c r="I720" s="2"/>
      <c r="J720" s="2"/>
      <c r="K720" s="2"/>
      <c r="L720" s="2"/>
      <c r="M720" s="2"/>
      <c r="N720" s="2"/>
      <c r="O720" s="2"/>
    </row>
    <row r="721" spans="1:15" s="3" customFormat="1">
      <c r="A721" s="4"/>
      <c r="C721" s="2"/>
      <c r="D721" s="2"/>
      <c r="E721" s="2"/>
      <c r="F721" s="2"/>
      <c r="G721" s="2"/>
      <c r="H721" s="2"/>
      <c r="I721" s="2"/>
      <c r="J721" s="2"/>
      <c r="K721" s="2"/>
      <c r="L721" s="2"/>
      <c r="M721" s="2"/>
      <c r="N721" s="2"/>
      <c r="O721" s="2"/>
    </row>
    <row r="722" spans="1:15" s="3" customFormat="1">
      <c r="A722" s="4"/>
      <c r="C722" s="2"/>
      <c r="D722" s="2"/>
      <c r="E722" s="2"/>
      <c r="F722" s="2"/>
      <c r="G722" s="2"/>
      <c r="H722" s="2"/>
      <c r="I722" s="2"/>
      <c r="J722" s="2"/>
      <c r="K722" s="2"/>
      <c r="L722" s="2"/>
      <c r="M722" s="2"/>
      <c r="N722" s="2"/>
      <c r="O722" s="2"/>
    </row>
    <row r="723" spans="1:15" s="3" customFormat="1">
      <c r="A723" s="4"/>
      <c r="C723" s="2"/>
      <c r="D723" s="2"/>
      <c r="E723" s="2"/>
      <c r="F723" s="2"/>
      <c r="G723" s="2"/>
      <c r="H723" s="2"/>
      <c r="I723" s="2"/>
      <c r="J723" s="2"/>
      <c r="K723" s="2"/>
      <c r="L723" s="2"/>
      <c r="M723" s="2"/>
      <c r="N723" s="2"/>
      <c r="O723" s="2"/>
    </row>
    <row r="724" spans="1:15" s="3" customFormat="1">
      <c r="A724" s="4"/>
      <c r="C724" s="2"/>
      <c r="D724" s="2"/>
      <c r="E724" s="2"/>
      <c r="F724" s="2"/>
      <c r="G724" s="2"/>
      <c r="H724" s="2"/>
      <c r="I724" s="2"/>
      <c r="J724" s="2"/>
      <c r="K724" s="2"/>
      <c r="L724" s="2"/>
      <c r="M724" s="2"/>
      <c r="N724" s="2"/>
      <c r="O724" s="2"/>
    </row>
    <row r="725" spans="1:15" s="3" customFormat="1">
      <c r="A725" s="4"/>
      <c r="C725" s="2"/>
      <c r="D725" s="2"/>
      <c r="E725" s="2"/>
      <c r="F725" s="2"/>
      <c r="G725" s="2"/>
      <c r="H725" s="2"/>
      <c r="I725" s="2"/>
      <c r="J725" s="2"/>
      <c r="K725" s="2"/>
      <c r="L725" s="2"/>
      <c r="M725" s="2"/>
      <c r="N725" s="2"/>
      <c r="O725" s="2"/>
    </row>
    <row r="726" spans="1:15" s="3" customFormat="1">
      <c r="A726" s="4"/>
      <c r="C726" s="2"/>
      <c r="D726" s="2"/>
      <c r="E726" s="2"/>
      <c r="F726" s="2"/>
      <c r="G726" s="2"/>
      <c r="H726" s="2"/>
      <c r="I726" s="2"/>
      <c r="J726" s="2"/>
      <c r="K726" s="2"/>
      <c r="L726" s="2"/>
      <c r="M726" s="2"/>
      <c r="N726" s="2"/>
      <c r="O726" s="2"/>
    </row>
    <row r="727" spans="1:15" s="3" customFormat="1">
      <c r="A727" s="4"/>
      <c r="C727" s="2"/>
      <c r="D727" s="2"/>
      <c r="E727" s="2"/>
      <c r="F727" s="2"/>
      <c r="G727" s="2"/>
      <c r="H727" s="2"/>
      <c r="I727" s="2"/>
      <c r="J727" s="2"/>
      <c r="K727" s="2"/>
      <c r="L727" s="2"/>
      <c r="M727" s="2"/>
      <c r="N727" s="2"/>
      <c r="O727" s="2"/>
    </row>
    <row r="728" spans="1:15" s="3" customFormat="1">
      <c r="A728" s="4"/>
      <c r="C728" s="2"/>
      <c r="D728" s="2"/>
      <c r="E728" s="2"/>
      <c r="F728" s="2"/>
      <c r="G728" s="2"/>
      <c r="H728" s="2"/>
      <c r="I728" s="2"/>
      <c r="J728" s="2"/>
      <c r="K728" s="2"/>
      <c r="L728" s="2"/>
      <c r="M728" s="2"/>
      <c r="N728" s="2"/>
      <c r="O728" s="2"/>
    </row>
    <row r="729" spans="1:15" s="3" customFormat="1">
      <c r="A729" s="4"/>
      <c r="C729" s="2"/>
      <c r="D729" s="2"/>
      <c r="E729" s="2"/>
      <c r="F729" s="2"/>
      <c r="G729" s="2"/>
      <c r="H729" s="2"/>
      <c r="I729" s="2"/>
      <c r="J729" s="2"/>
      <c r="K729" s="2"/>
      <c r="L729" s="2"/>
      <c r="M729" s="2"/>
      <c r="N729" s="2"/>
      <c r="O729" s="2"/>
    </row>
    <row r="730" spans="1:15" s="3" customFormat="1">
      <c r="A730" s="4"/>
      <c r="C730" s="2"/>
      <c r="D730" s="2"/>
      <c r="E730" s="2"/>
      <c r="F730" s="2"/>
      <c r="G730" s="2"/>
      <c r="H730" s="2"/>
      <c r="I730" s="2"/>
      <c r="J730" s="2"/>
      <c r="K730" s="2"/>
      <c r="L730" s="2"/>
      <c r="M730" s="2"/>
      <c r="N730" s="2"/>
      <c r="O730" s="2"/>
    </row>
    <row r="731" spans="1:15" s="3" customFormat="1">
      <c r="A731" s="4"/>
      <c r="C731" s="2"/>
      <c r="D731" s="2"/>
      <c r="E731" s="2"/>
      <c r="F731" s="2"/>
      <c r="G731" s="2"/>
      <c r="H731" s="2"/>
      <c r="I731" s="2"/>
      <c r="J731" s="2"/>
      <c r="K731" s="2"/>
      <c r="L731" s="2"/>
      <c r="M731" s="2"/>
      <c r="N731" s="2"/>
      <c r="O731" s="2"/>
    </row>
    <row r="732" spans="1:15" s="3" customFormat="1">
      <c r="A732" s="4"/>
      <c r="C732" s="2"/>
      <c r="D732" s="2"/>
      <c r="E732" s="2"/>
      <c r="F732" s="2"/>
      <c r="G732" s="2"/>
      <c r="H732" s="2"/>
      <c r="I732" s="2"/>
      <c r="J732" s="2"/>
      <c r="K732" s="2"/>
      <c r="L732" s="2"/>
      <c r="M732" s="2"/>
      <c r="N732" s="2"/>
      <c r="O732" s="2"/>
    </row>
    <row r="733" spans="1:15" s="3" customFormat="1">
      <c r="A733" s="4"/>
      <c r="C733" s="2"/>
      <c r="D733" s="2"/>
      <c r="E733" s="2"/>
      <c r="F733" s="2"/>
      <c r="G733" s="2"/>
      <c r="H733" s="2"/>
      <c r="I733" s="2"/>
      <c r="J733" s="2"/>
      <c r="K733" s="2"/>
      <c r="L733" s="2"/>
      <c r="M733" s="2"/>
      <c r="N733" s="2"/>
      <c r="O733" s="2"/>
    </row>
    <row r="734" spans="1:15" s="3" customFormat="1">
      <c r="A734" s="4"/>
      <c r="C734" s="2"/>
      <c r="D734" s="2"/>
      <c r="E734" s="2"/>
      <c r="F734" s="2"/>
      <c r="G734" s="2"/>
      <c r="H734" s="2"/>
      <c r="I734" s="2"/>
      <c r="J734" s="2"/>
      <c r="K734" s="2"/>
      <c r="L734" s="2"/>
      <c r="M734" s="2"/>
      <c r="N734" s="2"/>
      <c r="O734" s="2"/>
    </row>
    <row r="735" spans="1:15" s="3" customFormat="1">
      <c r="A735" s="4"/>
      <c r="C735" s="2"/>
      <c r="D735" s="2"/>
      <c r="E735" s="2"/>
      <c r="F735" s="2"/>
      <c r="G735" s="2"/>
      <c r="H735" s="2"/>
      <c r="I735" s="2"/>
      <c r="J735" s="2"/>
      <c r="K735" s="2"/>
      <c r="L735" s="2"/>
      <c r="M735" s="2"/>
      <c r="N735" s="2"/>
      <c r="O735" s="2"/>
    </row>
    <row r="736" spans="1:15" s="3" customFormat="1">
      <c r="A736" s="4"/>
      <c r="C736" s="2"/>
      <c r="D736" s="2"/>
      <c r="E736" s="2"/>
      <c r="F736" s="2"/>
      <c r="G736" s="2"/>
      <c r="H736" s="2"/>
      <c r="I736" s="2"/>
      <c r="J736" s="2"/>
      <c r="K736" s="2"/>
      <c r="L736" s="2"/>
      <c r="M736" s="2"/>
      <c r="N736" s="2"/>
      <c r="O736" s="2"/>
    </row>
    <row r="737" spans="1:15" s="3" customFormat="1">
      <c r="A737" s="4"/>
      <c r="C737" s="2"/>
      <c r="D737" s="2"/>
      <c r="E737" s="2"/>
      <c r="F737" s="2"/>
      <c r="G737" s="2"/>
      <c r="H737" s="2"/>
      <c r="I737" s="2"/>
      <c r="J737" s="2"/>
      <c r="K737" s="2"/>
      <c r="L737" s="2"/>
      <c r="M737" s="2"/>
      <c r="N737" s="2"/>
      <c r="O737" s="2"/>
    </row>
    <row r="738" spans="1:15" s="3" customFormat="1">
      <c r="A738" s="4"/>
      <c r="C738" s="2"/>
      <c r="D738" s="2"/>
      <c r="E738" s="2"/>
      <c r="F738" s="2"/>
      <c r="G738" s="2"/>
      <c r="H738" s="2"/>
      <c r="I738" s="2"/>
      <c r="J738" s="2"/>
      <c r="K738" s="2"/>
      <c r="L738" s="2"/>
      <c r="M738" s="2"/>
      <c r="N738" s="2"/>
      <c r="O738" s="2"/>
    </row>
    <row r="739" spans="1:15" s="3" customFormat="1">
      <c r="A739" s="4"/>
      <c r="C739" s="2"/>
      <c r="D739" s="2"/>
      <c r="E739" s="2"/>
      <c r="F739" s="2"/>
      <c r="G739" s="2"/>
      <c r="H739" s="2"/>
      <c r="I739" s="2"/>
      <c r="J739" s="2"/>
      <c r="K739" s="2"/>
      <c r="L739" s="2"/>
      <c r="M739" s="2"/>
      <c r="N739" s="2"/>
      <c r="O739" s="2"/>
    </row>
    <row r="740" spans="1:15" s="3" customFormat="1">
      <c r="A740" s="4"/>
      <c r="C740" s="2"/>
      <c r="D740" s="2"/>
      <c r="E740" s="2"/>
      <c r="F740" s="2"/>
      <c r="G740" s="2"/>
      <c r="H740" s="2"/>
      <c r="I740" s="2"/>
      <c r="J740" s="2"/>
      <c r="K740" s="2"/>
      <c r="L740" s="2"/>
      <c r="M740" s="2"/>
      <c r="N740" s="2"/>
      <c r="O740" s="2"/>
    </row>
    <row r="741" spans="1:15" s="3" customFormat="1">
      <c r="A741" s="4"/>
      <c r="C741" s="2"/>
      <c r="D741" s="2"/>
      <c r="E741" s="2"/>
      <c r="F741" s="2"/>
      <c r="G741" s="2"/>
      <c r="H741" s="2"/>
      <c r="I741" s="2"/>
      <c r="J741" s="2"/>
      <c r="K741" s="2"/>
      <c r="L741" s="2"/>
      <c r="M741" s="2"/>
      <c r="N741" s="2"/>
      <c r="O741" s="2"/>
    </row>
    <row r="742" spans="1:15" s="3" customFormat="1">
      <c r="A742" s="4"/>
      <c r="C742" s="2"/>
      <c r="D742" s="2"/>
      <c r="E742" s="2"/>
      <c r="F742" s="2"/>
      <c r="G742" s="2"/>
      <c r="H742" s="2"/>
      <c r="I742" s="2"/>
      <c r="J742" s="2"/>
      <c r="K742" s="2"/>
      <c r="L742" s="2"/>
      <c r="M742" s="2"/>
      <c r="N742" s="2"/>
      <c r="O742" s="2"/>
    </row>
    <row r="743" spans="1:15" s="3" customFormat="1">
      <c r="A743" s="4"/>
      <c r="C743" s="2"/>
      <c r="D743" s="2"/>
      <c r="E743" s="2"/>
      <c r="F743" s="2"/>
      <c r="G743" s="2"/>
      <c r="H743" s="2"/>
      <c r="I743" s="2"/>
      <c r="J743" s="2"/>
      <c r="K743" s="2"/>
      <c r="L743" s="2"/>
      <c r="M743" s="2"/>
      <c r="N743" s="2"/>
      <c r="O743" s="2"/>
    </row>
    <row r="744" spans="1:15" s="3" customFormat="1">
      <c r="A744" s="4"/>
      <c r="C744" s="2"/>
      <c r="D744" s="2"/>
      <c r="E744" s="2"/>
      <c r="F744" s="2"/>
      <c r="G744" s="2"/>
      <c r="H744" s="2"/>
      <c r="I744" s="2"/>
      <c r="J744" s="2"/>
      <c r="K744" s="2"/>
      <c r="L744" s="2"/>
      <c r="M744" s="2"/>
      <c r="N744" s="2"/>
      <c r="O744" s="2"/>
    </row>
    <row r="745" spans="1:15" s="3" customFormat="1">
      <c r="A745" s="4"/>
      <c r="C745" s="2"/>
      <c r="D745" s="2"/>
      <c r="E745" s="2"/>
      <c r="F745" s="2"/>
      <c r="G745" s="2"/>
      <c r="H745" s="2"/>
      <c r="I745" s="2"/>
      <c r="J745" s="2"/>
      <c r="K745" s="2"/>
      <c r="L745" s="2"/>
      <c r="M745" s="2"/>
      <c r="N745" s="2"/>
      <c r="O745" s="2"/>
    </row>
    <row r="746" spans="1:15" s="3" customFormat="1">
      <c r="A746" s="4"/>
      <c r="C746" s="2"/>
      <c r="D746" s="2"/>
      <c r="E746" s="2"/>
      <c r="F746" s="2"/>
      <c r="G746" s="2"/>
      <c r="H746" s="2"/>
      <c r="I746" s="2"/>
      <c r="J746" s="2"/>
      <c r="K746" s="2"/>
      <c r="L746" s="2"/>
      <c r="M746" s="2"/>
      <c r="N746" s="2"/>
      <c r="O746" s="2"/>
    </row>
    <row r="747" spans="1:15" s="3" customFormat="1">
      <c r="A747" s="4"/>
      <c r="C747" s="2"/>
      <c r="D747" s="2"/>
      <c r="E747" s="2"/>
      <c r="F747" s="2"/>
      <c r="G747" s="2"/>
      <c r="H747" s="2"/>
      <c r="I747" s="2"/>
      <c r="J747" s="2"/>
      <c r="K747" s="2"/>
      <c r="L747" s="2"/>
      <c r="M747" s="2"/>
      <c r="N747" s="2"/>
      <c r="O747" s="2"/>
    </row>
    <row r="748" spans="1:15" s="3" customFormat="1">
      <c r="A748" s="4"/>
      <c r="C748" s="2"/>
      <c r="D748" s="2"/>
      <c r="E748" s="2"/>
      <c r="F748" s="2"/>
      <c r="G748" s="2"/>
      <c r="H748" s="2"/>
      <c r="I748" s="2"/>
      <c r="J748" s="2"/>
      <c r="K748" s="2"/>
      <c r="L748" s="2"/>
      <c r="M748" s="2"/>
      <c r="N748" s="2"/>
      <c r="O748" s="2"/>
    </row>
    <row r="749" spans="1:15" s="3" customFormat="1">
      <c r="A749" s="4"/>
      <c r="C749" s="2"/>
      <c r="D749" s="2"/>
      <c r="E749" s="2"/>
      <c r="F749" s="2"/>
      <c r="G749" s="2"/>
      <c r="H749" s="2"/>
      <c r="I749" s="2"/>
      <c r="J749" s="2"/>
      <c r="K749" s="2"/>
      <c r="L749" s="2"/>
      <c r="M749" s="2"/>
      <c r="N749" s="2"/>
      <c r="O749" s="2"/>
    </row>
    <row r="750" spans="1:15" s="3" customFormat="1">
      <c r="A750" s="4"/>
      <c r="C750" s="2"/>
      <c r="D750" s="2"/>
      <c r="E750" s="2"/>
      <c r="F750" s="2"/>
      <c r="G750" s="2"/>
      <c r="H750" s="2"/>
      <c r="I750" s="2"/>
      <c r="J750" s="2"/>
      <c r="K750" s="2"/>
      <c r="L750" s="2"/>
      <c r="M750" s="2"/>
      <c r="N750" s="2"/>
      <c r="O750" s="2"/>
    </row>
    <row r="751" spans="1:15" s="3" customFormat="1">
      <c r="A751" s="4"/>
      <c r="C751" s="2"/>
      <c r="D751" s="2"/>
      <c r="E751" s="2"/>
      <c r="F751" s="2"/>
      <c r="G751" s="2"/>
      <c r="H751" s="2"/>
      <c r="I751" s="2"/>
      <c r="J751" s="2"/>
      <c r="K751" s="2"/>
      <c r="L751" s="2"/>
      <c r="M751" s="2"/>
      <c r="N751" s="2"/>
      <c r="O751" s="2"/>
    </row>
    <row r="752" spans="1:15" s="3" customFormat="1">
      <c r="A752" s="4"/>
      <c r="C752" s="2"/>
      <c r="D752" s="2"/>
      <c r="E752" s="2"/>
      <c r="F752" s="2"/>
      <c r="G752" s="2"/>
      <c r="H752" s="2"/>
      <c r="I752" s="2"/>
      <c r="J752" s="2"/>
      <c r="K752" s="2"/>
      <c r="L752" s="2"/>
      <c r="M752" s="2"/>
      <c r="N752" s="2"/>
      <c r="O752" s="2"/>
    </row>
    <row r="753" spans="1:15" s="3" customFormat="1">
      <c r="A753" s="4"/>
      <c r="C753" s="2"/>
      <c r="D753" s="2"/>
      <c r="E753" s="2"/>
      <c r="F753" s="2"/>
      <c r="G753" s="2"/>
      <c r="H753" s="2"/>
      <c r="I753" s="2"/>
      <c r="J753" s="2"/>
      <c r="K753" s="2"/>
      <c r="L753" s="2"/>
      <c r="M753" s="2"/>
      <c r="N753" s="2"/>
      <c r="O753" s="2"/>
    </row>
    <row r="754" spans="1:15" s="3" customFormat="1">
      <c r="A754" s="4"/>
      <c r="C754" s="2"/>
      <c r="D754" s="2"/>
      <c r="E754" s="2"/>
      <c r="F754" s="2"/>
      <c r="G754" s="2"/>
      <c r="H754" s="2"/>
      <c r="I754" s="2"/>
      <c r="J754" s="2"/>
      <c r="K754" s="2"/>
      <c r="L754" s="2"/>
      <c r="M754" s="2"/>
      <c r="N754" s="2"/>
      <c r="O754" s="2"/>
    </row>
    <row r="755" spans="1:15" s="3" customFormat="1">
      <c r="A755" s="4"/>
      <c r="C755" s="2"/>
      <c r="D755" s="2"/>
      <c r="E755" s="2"/>
      <c r="F755" s="2"/>
      <c r="G755" s="2"/>
      <c r="H755" s="2"/>
      <c r="I755" s="2"/>
      <c r="J755" s="2"/>
      <c r="K755" s="2"/>
      <c r="L755" s="2"/>
      <c r="M755" s="2"/>
      <c r="N755" s="2"/>
      <c r="O755" s="2"/>
    </row>
    <row r="756" spans="1:15" s="3" customFormat="1">
      <c r="A756" s="4"/>
      <c r="C756" s="2"/>
      <c r="D756" s="2"/>
      <c r="E756" s="2"/>
      <c r="F756" s="2"/>
      <c r="G756" s="2"/>
      <c r="H756" s="2"/>
      <c r="I756" s="2"/>
      <c r="J756" s="2"/>
      <c r="K756" s="2"/>
      <c r="L756" s="2"/>
      <c r="M756" s="2"/>
      <c r="N756" s="2"/>
      <c r="O756" s="2"/>
    </row>
    <row r="757" spans="1:15" s="3" customFormat="1">
      <c r="A757" s="4"/>
      <c r="C757" s="2"/>
      <c r="D757" s="2"/>
      <c r="E757" s="2"/>
      <c r="F757" s="2"/>
      <c r="G757" s="2"/>
      <c r="H757" s="2"/>
      <c r="I757" s="2"/>
      <c r="J757" s="2"/>
      <c r="K757" s="2"/>
      <c r="L757" s="2"/>
      <c r="M757" s="2"/>
      <c r="N757" s="2"/>
      <c r="O757" s="2"/>
    </row>
    <row r="758" spans="1:15" s="3" customFormat="1">
      <c r="A758" s="4"/>
      <c r="C758" s="2"/>
      <c r="D758" s="2"/>
      <c r="E758" s="2"/>
      <c r="F758" s="2"/>
      <c r="G758" s="2"/>
      <c r="H758" s="2"/>
      <c r="I758" s="2"/>
      <c r="J758" s="2"/>
      <c r="K758" s="2"/>
      <c r="L758" s="2"/>
      <c r="M758" s="2"/>
      <c r="N758" s="2"/>
      <c r="O758" s="2"/>
    </row>
    <row r="759" spans="1:15" s="3" customFormat="1">
      <c r="A759" s="4"/>
      <c r="C759" s="2"/>
      <c r="D759" s="2"/>
      <c r="E759" s="2"/>
      <c r="F759" s="2"/>
      <c r="G759" s="2"/>
      <c r="H759" s="2"/>
      <c r="I759" s="2"/>
      <c r="J759" s="2"/>
      <c r="K759" s="2"/>
      <c r="L759" s="2"/>
      <c r="M759" s="2"/>
      <c r="N759" s="2"/>
      <c r="O759" s="2"/>
    </row>
    <row r="760" spans="1:15" s="3" customFormat="1">
      <c r="A760" s="4"/>
      <c r="C760" s="2"/>
      <c r="D760" s="2"/>
      <c r="E760" s="2"/>
      <c r="F760" s="2"/>
      <c r="G760" s="2"/>
      <c r="H760" s="2"/>
      <c r="I760" s="2"/>
      <c r="J760" s="2"/>
      <c r="K760" s="2"/>
      <c r="L760" s="2"/>
      <c r="M760" s="2"/>
      <c r="N760" s="2"/>
      <c r="O760" s="2"/>
    </row>
    <row r="761" spans="1:15" s="3" customFormat="1">
      <c r="A761" s="4"/>
      <c r="C761" s="2"/>
      <c r="D761" s="2"/>
      <c r="E761" s="2"/>
      <c r="F761" s="2"/>
      <c r="G761" s="2"/>
      <c r="H761" s="2"/>
      <c r="I761" s="2"/>
      <c r="J761" s="2"/>
      <c r="K761" s="2"/>
      <c r="L761" s="2"/>
      <c r="M761" s="2"/>
      <c r="N761" s="2"/>
      <c r="O761" s="2"/>
    </row>
    <row r="762" spans="1:15" s="3" customFormat="1">
      <c r="A762" s="4"/>
      <c r="C762" s="2"/>
      <c r="D762" s="2"/>
      <c r="E762" s="2"/>
      <c r="F762" s="2"/>
      <c r="G762" s="2"/>
      <c r="H762" s="2"/>
      <c r="I762" s="2"/>
      <c r="J762" s="2"/>
      <c r="K762" s="2"/>
      <c r="L762" s="2"/>
      <c r="M762" s="2"/>
      <c r="N762" s="2"/>
      <c r="O762" s="2"/>
    </row>
    <row r="763" spans="1:15" s="3" customFormat="1">
      <c r="A763" s="4"/>
      <c r="C763" s="2"/>
      <c r="D763" s="2"/>
      <c r="E763" s="2"/>
      <c r="F763" s="2"/>
      <c r="G763" s="2"/>
      <c r="H763" s="2"/>
      <c r="I763" s="2"/>
      <c r="J763" s="2"/>
      <c r="K763" s="2"/>
      <c r="L763" s="2"/>
      <c r="M763" s="2"/>
      <c r="N763" s="2"/>
      <c r="O763" s="2"/>
    </row>
    <row r="764" spans="1:15" s="3" customFormat="1">
      <c r="A764" s="4"/>
      <c r="C764" s="2"/>
      <c r="D764" s="2"/>
      <c r="E764" s="2"/>
      <c r="F764" s="2"/>
      <c r="G764" s="2"/>
      <c r="H764" s="2"/>
      <c r="I764" s="2"/>
      <c r="J764" s="2"/>
      <c r="K764" s="2"/>
      <c r="L764" s="2"/>
      <c r="M764" s="2"/>
      <c r="N764" s="2"/>
      <c r="O764" s="2"/>
    </row>
    <row r="765" spans="1:15" s="3" customFormat="1">
      <c r="A765" s="4"/>
      <c r="C765" s="2"/>
      <c r="D765" s="2"/>
      <c r="E765" s="2"/>
      <c r="F765" s="2"/>
      <c r="G765" s="2"/>
      <c r="H765" s="2"/>
      <c r="I765" s="2"/>
      <c r="J765" s="2"/>
      <c r="K765" s="2"/>
      <c r="L765" s="2"/>
      <c r="M765" s="2"/>
      <c r="N765" s="2"/>
      <c r="O765" s="2"/>
    </row>
    <row r="766" spans="1:15" s="3" customFormat="1">
      <c r="A766" s="4"/>
      <c r="C766" s="2"/>
      <c r="D766" s="2"/>
      <c r="E766" s="2"/>
      <c r="F766" s="2"/>
      <c r="G766" s="2"/>
      <c r="H766" s="2"/>
      <c r="I766" s="2"/>
      <c r="J766" s="2"/>
      <c r="K766" s="2"/>
      <c r="L766" s="2"/>
      <c r="M766" s="2"/>
      <c r="N766" s="2"/>
      <c r="O766" s="2"/>
    </row>
    <row r="767" spans="1:15" s="3" customFormat="1">
      <c r="A767" s="4"/>
      <c r="C767" s="2"/>
      <c r="D767" s="2"/>
      <c r="E767" s="2"/>
      <c r="F767" s="2"/>
      <c r="G767" s="2"/>
      <c r="H767" s="2"/>
      <c r="I767" s="2"/>
      <c r="J767" s="2"/>
      <c r="K767" s="2"/>
      <c r="L767" s="2"/>
      <c r="M767" s="2"/>
      <c r="N767" s="2"/>
      <c r="O767" s="2"/>
    </row>
    <row r="768" spans="1:15" s="3" customFormat="1">
      <c r="A768" s="4"/>
      <c r="C768" s="2"/>
      <c r="D768" s="2"/>
      <c r="E768" s="2"/>
      <c r="F768" s="2"/>
      <c r="G768" s="2"/>
      <c r="H768" s="2"/>
      <c r="I768" s="2"/>
      <c r="J768" s="2"/>
      <c r="K768" s="2"/>
      <c r="L768" s="2"/>
      <c r="M768" s="2"/>
      <c r="N768" s="2"/>
      <c r="O768" s="2"/>
    </row>
    <row r="769" spans="1:15" s="3" customFormat="1">
      <c r="A769" s="4"/>
      <c r="C769" s="2"/>
      <c r="D769" s="2"/>
      <c r="E769" s="2"/>
      <c r="F769" s="2"/>
      <c r="G769" s="2"/>
      <c r="H769" s="2"/>
      <c r="I769" s="2"/>
      <c r="J769" s="2"/>
      <c r="K769" s="2"/>
      <c r="L769" s="2"/>
      <c r="M769" s="2"/>
      <c r="N769" s="2"/>
      <c r="O769" s="2"/>
    </row>
    <row r="770" spans="1:15" s="3" customFormat="1">
      <c r="A770" s="4"/>
      <c r="C770" s="2"/>
      <c r="D770" s="2"/>
      <c r="E770" s="2"/>
      <c r="F770" s="2"/>
      <c r="G770" s="2"/>
      <c r="H770" s="2"/>
      <c r="I770" s="2"/>
      <c r="J770" s="2"/>
      <c r="K770" s="2"/>
      <c r="L770" s="2"/>
      <c r="M770" s="2"/>
      <c r="N770" s="2"/>
      <c r="O770" s="2"/>
    </row>
    <row r="771" spans="1:15" s="3" customFormat="1">
      <c r="A771" s="4"/>
      <c r="C771" s="2"/>
      <c r="D771" s="2"/>
      <c r="E771" s="2"/>
      <c r="F771" s="2"/>
      <c r="G771" s="2"/>
      <c r="H771" s="2"/>
      <c r="I771" s="2"/>
      <c r="J771" s="2"/>
      <c r="K771" s="2"/>
      <c r="L771" s="2"/>
      <c r="M771" s="2"/>
      <c r="N771" s="2"/>
      <c r="O771" s="2"/>
    </row>
    <row r="772" spans="1:15" s="3" customFormat="1">
      <c r="A772" s="4"/>
      <c r="C772" s="2"/>
      <c r="D772" s="2"/>
      <c r="E772" s="2"/>
      <c r="F772" s="2"/>
      <c r="G772" s="2"/>
      <c r="H772" s="2"/>
      <c r="I772" s="2"/>
      <c r="J772" s="2"/>
      <c r="K772" s="2"/>
      <c r="L772" s="2"/>
      <c r="M772" s="2"/>
      <c r="N772" s="2"/>
      <c r="O772" s="2"/>
    </row>
    <row r="773" spans="1:15" s="3" customFormat="1">
      <c r="A773" s="4"/>
      <c r="C773" s="2"/>
      <c r="D773" s="2"/>
      <c r="E773" s="2"/>
      <c r="F773" s="2"/>
      <c r="G773" s="2"/>
      <c r="H773" s="2"/>
      <c r="I773" s="2"/>
      <c r="J773" s="2"/>
      <c r="K773" s="2"/>
      <c r="L773" s="2"/>
      <c r="M773" s="2"/>
      <c r="N773" s="2"/>
      <c r="O773" s="2"/>
    </row>
    <row r="774" spans="1:15" s="3" customFormat="1">
      <c r="A774" s="4"/>
      <c r="C774" s="2"/>
      <c r="D774" s="2"/>
      <c r="E774" s="2"/>
      <c r="F774" s="2"/>
      <c r="G774" s="2"/>
      <c r="H774" s="2"/>
      <c r="I774" s="2"/>
      <c r="J774" s="2"/>
      <c r="K774" s="2"/>
      <c r="L774" s="2"/>
      <c r="M774" s="2"/>
      <c r="N774" s="2"/>
      <c r="O774" s="2"/>
    </row>
    <row r="775" spans="1:15" s="3" customFormat="1">
      <c r="A775" s="4"/>
      <c r="C775" s="2"/>
      <c r="D775" s="2"/>
      <c r="E775" s="2"/>
      <c r="F775" s="2"/>
      <c r="G775" s="2"/>
      <c r="H775" s="2"/>
      <c r="I775" s="2"/>
      <c r="J775" s="2"/>
      <c r="K775" s="2"/>
      <c r="L775" s="2"/>
      <c r="M775" s="2"/>
      <c r="N775" s="2"/>
      <c r="O775" s="2"/>
    </row>
    <row r="776" spans="1:15" s="3" customFormat="1">
      <c r="A776" s="4"/>
      <c r="C776" s="2"/>
      <c r="D776" s="2"/>
      <c r="E776" s="2"/>
      <c r="F776" s="2"/>
      <c r="G776" s="2"/>
      <c r="H776" s="2"/>
      <c r="I776" s="2"/>
      <c r="J776" s="2"/>
      <c r="K776" s="2"/>
      <c r="L776" s="2"/>
      <c r="M776" s="2"/>
      <c r="N776" s="2"/>
      <c r="O776" s="2"/>
    </row>
    <row r="777" spans="1:15" s="3" customFormat="1">
      <c r="A777" s="4"/>
      <c r="C777" s="2"/>
      <c r="D777" s="2"/>
      <c r="E777" s="2"/>
      <c r="F777" s="2"/>
      <c r="G777" s="2"/>
      <c r="H777" s="2"/>
      <c r="I777" s="2"/>
      <c r="J777" s="2"/>
      <c r="K777" s="2"/>
      <c r="L777" s="2"/>
      <c r="M777" s="2"/>
      <c r="N777" s="2"/>
      <c r="O777" s="2"/>
    </row>
    <row r="778" spans="1:15" s="3" customFormat="1">
      <c r="A778" s="4"/>
      <c r="C778" s="2"/>
      <c r="D778" s="2"/>
      <c r="E778" s="2"/>
      <c r="F778" s="2"/>
      <c r="G778" s="2"/>
      <c r="H778" s="2"/>
      <c r="I778" s="2"/>
      <c r="J778" s="2"/>
      <c r="K778" s="2"/>
      <c r="L778" s="2"/>
      <c r="M778" s="2"/>
      <c r="N778" s="2"/>
      <c r="O778" s="2"/>
    </row>
    <row r="779" spans="1:15" s="3" customFormat="1">
      <c r="A779" s="4"/>
      <c r="C779" s="2"/>
      <c r="D779" s="2"/>
      <c r="E779" s="2"/>
      <c r="F779" s="2"/>
      <c r="G779" s="2"/>
      <c r="H779" s="2"/>
      <c r="I779" s="2"/>
      <c r="J779" s="2"/>
      <c r="K779" s="2"/>
      <c r="L779" s="2"/>
      <c r="M779" s="2"/>
      <c r="N779" s="2"/>
      <c r="O779" s="2"/>
    </row>
    <row r="780" spans="1:15" s="3" customFormat="1">
      <c r="A780" s="4"/>
      <c r="C780" s="2"/>
      <c r="D780" s="2"/>
      <c r="E780" s="2"/>
      <c r="F780" s="2"/>
      <c r="G780" s="2"/>
      <c r="H780" s="2"/>
      <c r="I780" s="2"/>
      <c r="J780" s="2"/>
      <c r="K780" s="2"/>
      <c r="L780" s="2"/>
      <c r="M780" s="2"/>
      <c r="N780" s="2"/>
      <c r="O780" s="2"/>
    </row>
    <row r="781" spans="1:15" s="3" customFormat="1">
      <c r="A781" s="4"/>
      <c r="C781" s="2"/>
      <c r="D781" s="2"/>
      <c r="E781" s="2"/>
      <c r="F781" s="2"/>
      <c r="G781" s="2"/>
      <c r="H781" s="2"/>
      <c r="I781" s="2"/>
      <c r="J781" s="2"/>
      <c r="K781" s="2"/>
      <c r="L781" s="2"/>
      <c r="M781" s="2"/>
      <c r="N781" s="2"/>
      <c r="O781" s="2"/>
    </row>
    <row r="782" spans="1:15" s="3" customFormat="1">
      <c r="A782" s="4"/>
      <c r="C782" s="2"/>
      <c r="D782" s="2"/>
      <c r="E782" s="2"/>
      <c r="F782" s="2"/>
      <c r="G782" s="2"/>
      <c r="H782" s="2"/>
      <c r="I782" s="2"/>
      <c r="J782" s="2"/>
      <c r="K782" s="2"/>
      <c r="L782" s="2"/>
      <c r="M782" s="2"/>
      <c r="N782" s="2"/>
      <c r="O782" s="2"/>
    </row>
    <row r="783" spans="1:15" s="3" customFormat="1">
      <c r="A783" s="4"/>
      <c r="C783" s="2"/>
      <c r="D783" s="2"/>
      <c r="E783" s="2"/>
      <c r="F783" s="2"/>
      <c r="G783" s="2"/>
      <c r="H783" s="2"/>
      <c r="I783" s="2"/>
      <c r="J783" s="2"/>
      <c r="K783" s="2"/>
      <c r="L783" s="2"/>
      <c r="M783" s="2"/>
      <c r="N783" s="2"/>
      <c r="O783" s="2"/>
    </row>
    <row r="784" spans="1:15" s="3" customFormat="1">
      <c r="A784" s="4"/>
      <c r="C784" s="2"/>
      <c r="D784" s="2"/>
      <c r="E784" s="2"/>
      <c r="F784" s="2"/>
      <c r="G784" s="2"/>
      <c r="H784" s="2"/>
      <c r="I784" s="2"/>
      <c r="J784" s="2"/>
      <c r="K784" s="2"/>
      <c r="L784" s="2"/>
      <c r="M784" s="2"/>
      <c r="N784" s="2"/>
      <c r="O784" s="2"/>
    </row>
    <row r="785" spans="1:15" s="3" customFormat="1">
      <c r="A785" s="4"/>
      <c r="C785" s="2"/>
      <c r="D785" s="2"/>
      <c r="E785" s="2"/>
      <c r="F785" s="2"/>
      <c r="G785" s="2"/>
      <c r="H785" s="2"/>
      <c r="I785" s="2"/>
      <c r="J785" s="2"/>
      <c r="K785" s="2"/>
      <c r="L785" s="2"/>
      <c r="M785" s="2"/>
      <c r="N785" s="2"/>
      <c r="O785" s="2"/>
    </row>
    <row r="786" spans="1:15" s="3" customFormat="1">
      <c r="A786" s="4"/>
      <c r="C786" s="2"/>
      <c r="D786" s="2"/>
      <c r="E786" s="2"/>
      <c r="F786" s="2"/>
      <c r="G786" s="2"/>
      <c r="H786" s="2"/>
      <c r="I786" s="2"/>
      <c r="J786" s="2"/>
      <c r="K786" s="2"/>
      <c r="L786" s="2"/>
      <c r="M786" s="2"/>
      <c r="N786" s="2"/>
      <c r="O786" s="2"/>
    </row>
    <row r="787" spans="1:15" s="3" customFormat="1">
      <c r="A787" s="4"/>
      <c r="C787" s="2"/>
      <c r="D787" s="2"/>
      <c r="E787" s="2"/>
      <c r="F787" s="2"/>
      <c r="G787" s="2"/>
      <c r="H787" s="2"/>
      <c r="I787" s="2"/>
      <c r="J787" s="2"/>
      <c r="K787" s="2"/>
      <c r="L787" s="2"/>
      <c r="M787" s="2"/>
      <c r="N787" s="2"/>
      <c r="O787" s="2"/>
    </row>
    <row r="788" spans="1:15" s="3" customFormat="1">
      <c r="A788" s="4"/>
      <c r="C788" s="2"/>
      <c r="D788" s="2"/>
      <c r="E788" s="2"/>
      <c r="F788" s="2"/>
      <c r="G788" s="2"/>
      <c r="H788" s="2"/>
      <c r="I788" s="2"/>
      <c r="J788" s="2"/>
      <c r="K788" s="2"/>
      <c r="L788" s="2"/>
      <c r="M788" s="2"/>
      <c r="N788" s="2"/>
      <c r="O788" s="2"/>
    </row>
    <row r="789" spans="1:15" s="3" customFormat="1">
      <c r="A789" s="4"/>
      <c r="C789" s="2"/>
      <c r="D789" s="2"/>
      <c r="E789" s="2"/>
      <c r="F789" s="2"/>
      <c r="G789" s="2"/>
      <c r="H789" s="2"/>
      <c r="I789" s="2"/>
      <c r="J789" s="2"/>
      <c r="K789" s="2"/>
      <c r="L789" s="2"/>
      <c r="M789" s="2"/>
      <c r="N789" s="2"/>
      <c r="O789" s="2"/>
    </row>
    <row r="790" spans="1:15" s="3" customFormat="1">
      <c r="A790" s="4"/>
      <c r="C790" s="2"/>
      <c r="D790" s="2"/>
      <c r="E790" s="2"/>
      <c r="F790" s="2"/>
      <c r="G790" s="2"/>
      <c r="H790" s="2"/>
      <c r="I790" s="2"/>
      <c r="J790" s="2"/>
      <c r="K790" s="2"/>
      <c r="L790" s="2"/>
      <c r="M790" s="2"/>
      <c r="N790" s="2"/>
      <c r="O790" s="2"/>
    </row>
    <row r="791" spans="1:15" s="3" customFormat="1">
      <c r="A791" s="4"/>
      <c r="C791" s="2"/>
      <c r="D791" s="2"/>
      <c r="E791" s="2"/>
      <c r="F791" s="2"/>
      <c r="G791" s="2"/>
      <c r="H791" s="2"/>
      <c r="I791" s="2"/>
      <c r="J791" s="2"/>
      <c r="K791" s="2"/>
      <c r="L791" s="2"/>
      <c r="M791" s="2"/>
      <c r="N791" s="2"/>
      <c r="O791" s="2"/>
    </row>
    <row r="792" spans="1:15" s="3" customFormat="1">
      <c r="A792" s="4"/>
      <c r="C792" s="2"/>
      <c r="D792" s="2"/>
      <c r="E792" s="2"/>
      <c r="F792" s="2"/>
      <c r="G792" s="2"/>
      <c r="H792" s="2"/>
      <c r="I792" s="2"/>
      <c r="J792" s="2"/>
      <c r="K792" s="2"/>
      <c r="L792" s="2"/>
      <c r="M792" s="2"/>
      <c r="N792" s="2"/>
      <c r="O792" s="2"/>
    </row>
    <row r="793" spans="1:15" s="3" customFormat="1">
      <c r="A793" s="4"/>
      <c r="C793" s="2"/>
      <c r="D793" s="2"/>
      <c r="E793" s="2"/>
      <c r="F793" s="2"/>
      <c r="G793" s="2"/>
      <c r="H793" s="2"/>
      <c r="I793" s="2"/>
      <c r="J793" s="2"/>
      <c r="K793" s="2"/>
      <c r="L793" s="2"/>
      <c r="M793" s="2"/>
      <c r="N793" s="2"/>
      <c r="O793" s="2"/>
    </row>
    <row r="794" spans="1:15" s="3" customFormat="1">
      <c r="A794" s="4"/>
      <c r="C794" s="2"/>
      <c r="D794" s="2"/>
      <c r="E794" s="2"/>
      <c r="F794" s="2"/>
      <c r="G794" s="2"/>
      <c r="H794" s="2"/>
      <c r="I794" s="2"/>
      <c r="J794" s="2"/>
      <c r="K794" s="2"/>
      <c r="L794" s="2"/>
      <c r="M794" s="2"/>
      <c r="N794" s="2"/>
      <c r="O794" s="2"/>
    </row>
    <row r="795" spans="1:15" s="3" customFormat="1">
      <c r="A795" s="4"/>
      <c r="C795" s="2"/>
      <c r="D795" s="2"/>
      <c r="E795" s="2"/>
      <c r="F795" s="2"/>
      <c r="G795" s="2"/>
      <c r="H795" s="2"/>
      <c r="I795" s="2"/>
      <c r="J795" s="2"/>
      <c r="K795" s="2"/>
      <c r="L795" s="2"/>
      <c r="M795" s="2"/>
      <c r="N795" s="2"/>
      <c r="O795" s="2"/>
    </row>
    <row r="796" spans="1:15" s="3" customFormat="1">
      <c r="A796" s="4"/>
      <c r="C796" s="2"/>
      <c r="D796" s="2"/>
      <c r="E796" s="2"/>
      <c r="F796" s="2"/>
      <c r="G796" s="2"/>
      <c r="H796" s="2"/>
      <c r="I796" s="2"/>
      <c r="J796" s="2"/>
      <c r="K796" s="2"/>
      <c r="L796" s="2"/>
      <c r="M796" s="2"/>
      <c r="N796" s="2"/>
      <c r="O796" s="2"/>
    </row>
    <row r="797" spans="1:15" s="3" customFormat="1">
      <c r="A797" s="4"/>
      <c r="C797" s="2"/>
      <c r="D797" s="2"/>
      <c r="E797" s="2"/>
      <c r="F797" s="2"/>
      <c r="G797" s="2"/>
      <c r="H797" s="2"/>
      <c r="I797" s="2"/>
      <c r="J797" s="2"/>
      <c r="K797" s="2"/>
      <c r="L797" s="2"/>
      <c r="M797" s="2"/>
      <c r="N797" s="2"/>
      <c r="O797" s="2"/>
    </row>
    <row r="798" spans="1:15" s="3" customFormat="1">
      <c r="A798" s="4"/>
      <c r="C798" s="2"/>
      <c r="D798" s="2"/>
      <c r="E798" s="2"/>
      <c r="F798" s="2"/>
      <c r="G798" s="2"/>
      <c r="H798" s="2"/>
      <c r="I798" s="2"/>
      <c r="J798" s="2"/>
      <c r="K798" s="2"/>
      <c r="L798" s="2"/>
      <c r="M798" s="2"/>
      <c r="N798" s="2"/>
      <c r="O798" s="2"/>
    </row>
    <row r="799" spans="1:15" s="3" customFormat="1">
      <c r="A799" s="4"/>
      <c r="C799" s="2"/>
      <c r="D799" s="2"/>
      <c r="E799" s="2"/>
      <c r="F799" s="2"/>
      <c r="G799" s="2"/>
      <c r="H799" s="2"/>
      <c r="I799" s="2"/>
      <c r="J799" s="2"/>
      <c r="K799" s="2"/>
      <c r="L799" s="2"/>
      <c r="M799" s="2"/>
      <c r="N799" s="2"/>
      <c r="O799" s="2"/>
    </row>
    <row r="800" spans="1:15" s="3" customFormat="1">
      <c r="A800" s="4"/>
      <c r="C800" s="2"/>
      <c r="D800" s="2"/>
      <c r="E800" s="2"/>
      <c r="F800" s="2"/>
      <c r="G800" s="2"/>
      <c r="H800" s="2"/>
      <c r="I800" s="2"/>
      <c r="J800" s="2"/>
      <c r="K800" s="2"/>
      <c r="L800" s="2"/>
      <c r="M800" s="2"/>
      <c r="N800" s="2"/>
      <c r="O800" s="2"/>
    </row>
    <row r="801" spans="1:15" s="3" customFormat="1">
      <c r="A801" s="4"/>
      <c r="C801" s="2"/>
      <c r="D801" s="2"/>
      <c r="E801" s="2"/>
      <c r="F801" s="2"/>
      <c r="G801" s="2"/>
      <c r="H801" s="2"/>
      <c r="I801" s="2"/>
      <c r="J801" s="2"/>
      <c r="K801" s="2"/>
      <c r="L801" s="2"/>
      <c r="M801" s="2"/>
      <c r="N801" s="2"/>
      <c r="O801" s="2"/>
    </row>
    <row r="802" spans="1:15" s="3" customFormat="1">
      <c r="A802" s="4"/>
      <c r="C802" s="2"/>
      <c r="D802" s="2"/>
      <c r="E802" s="2"/>
      <c r="F802" s="2"/>
      <c r="G802" s="2"/>
      <c r="H802" s="2"/>
      <c r="I802" s="2"/>
      <c r="J802" s="2"/>
      <c r="K802" s="2"/>
      <c r="L802" s="2"/>
      <c r="M802" s="2"/>
      <c r="N802" s="2"/>
      <c r="O802" s="2"/>
    </row>
    <row r="803" spans="1:15" s="3" customFormat="1">
      <c r="A803" s="4"/>
      <c r="C803" s="2"/>
      <c r="D803" s="2"/>
      <c r="E803" s="2"/>
      <c r="F803" s="2"/>
      <c r="G803" s="2"/>
      <c r="H803" s="2"/>
      <c r="I803" s="2"/>
      <c r="J803" s="2"/>
      <c r="K803" s="2"/>
      <c r="L803" s="2"/>
      <c r="M803" s="2"/>
      <c r="N803" s="2"/>
      <c r="O803" s="2"/>
    </row>
    <row r="804" spans="1:15" s="3" customFormat="1">
      <c r="A804" s="4"/>
      <c r="C804" s="2"/>
      <c r="D804" s="2"/>
      <c r="E804" s="2"/>
      <c r="F804" s="2"/>
      <c r="G804" s="2"/>
      <c r="H804" s="2"/>
      <c r="I804" s="2"/>
      <c r="J804" s="2"/>
      <c r="K804" s="2"/>
      <c r="L804" s="2"/>
      <c r="M804" s="2"/>
      <c r="N804" s="2"/>
      <c r="O804" s="2"/>
    </row>
    <row r="805" spans="1:15" s="3" customFormat="1">
      <c r="A805" s="4"/>
      <c r="C805" s="2"/>
      <c r="D805" s="2"/>
      <c r="E805" s="2"/>
      <c r="F805" s="2"/>
      <c r="G805" s="2"/>
      <c r="H805" s="2"/>
      <c r="I805" s="2"/>
      <c r="J805" s="2"/>
      <c r="K805" s="2"/>
      <c r="L805" s="2"/>
      <c r="M805" s="2"/>
      <c r="N805" s="2"/>
      <c r="O805" s="2"/>
    </row>
    <row r="806" spans="1:15" s="3" customFormat="1">
      <c r="A806" s="4"/>
      <c r="C806" s="2"/>
      <c r="D806" s="2"/>
      <c r="E806" s="2"/>
      <c r="F806" s="2"/>
      <c r="G806" s="2"/>
      <c r="H806" s="2"/>
      <c r="I806" s="2"/>
      <c r="J806" s="2"/>
      <c r="K806" s="2"/>
      <c r="L806" s="2"/>
      <c r="M806" s="2"/>
      <c r="N806" s="2"/>
      <c r="O806" s="2"/>
    </row>
    <row r="807" spans="1:15" s="3" customFormat="1">
      <c r="A807" s="4"/>
      <c r="C807" s="2"/>
      <c r="D807" s="2"/>
      <c r="E807" s="2"/>
      <c r="F807" s="2"/>
      <c r="G807" s="2"/>
      <c r="H807" s="2"/>
      <c r="I807" s="2"/>
      <c r="J807" s="2"/>
      <c r="K807" s="2"/>
      <c r="L807" s="2"/>
      <c r="M807" s="2"/>
      <c r="N807" s="2"/>
      <c r="O807" s="2"/>
    </row>
    <row r="808" spans="1:15" s="3" customFormat="1">
      <c r="A808" s="4"/>
      <c r="C808" s="2"/>
      <c r="D808" s="2"/>
      <c r="E808" s="2"/>
      <c r="F808" s="2"/>
      <c r="G808" s="2"/>
      <c r="H808" s="2"/>
      <c r="I808" s="2"/>
      <c r="J808" s="2"/>
      <c r="K808" s="2"/>
      <c r="L808" s="2"/>
      <c r="M808" s="2"/>
      <c r="N808" s="2"/>
      <c r="O808" s="2"/>
    </row>
    <row r="809" spans="1:15" s="3" customFormat="1">
      <c r="A809" s="4"/>
      <c r="C809" s="2"/>
      <c r="D809" s="2"/>
      <c r="E809" s="2"/>
      <c r="F809" s="2"/>
      <c r="G809" s="2"/>
      <c r="H809" s="2"/>
      <c r="I809" s="2"/>
      <c r="J809" s="2"/>
      <c r="K809" s="2"/>
      <c r="L809" s="2"/>
      <c r="M809" s="2"/>
      <c r="N809" s="2"/>
      <c r="O809" s="2"/>
    </row>
    <row r="810" spans="1:15" s="3" customFormat="1">
      <c r="A810" s="4"/>
      <c r="C810" s="2"/>
      <c r="D810" s="2"/>
      <c r="E810" s="2"/>
      <c r="F810" s="2"/>
      <c r="G810" s="2"/>
      <c r="H810" s="2"/>
      <c r="I810" s="2"/>
      <c r="J810" s="2"/>
      <c r="K810" s="2"/>
      <c r="L810" s="2"/>
      <c r="M810" s="2"/>
      <c r="N810" s="2"/>
      <c r="O810" s="2"/>
    </row>
    <row r="811" spans="1:15" s="3" customFormat="1">
      <c r="A811" s="4"/>
      <c r="C811" s="2"/>
      <c r="D811" s="2"/>
      <c r="E811" s="2"/>
      <c r="F811" s="2"/>
      <c r="G811" s="2"/>
      <c r="H811" s="2"/>
      <c r="I811" s="2"/>
      <c r="J811" s="2"/>
      <c r="K811" s="2"/>
      <c r="L811" s="2"/>
      <c r="M811" s="2"/>
      <c r="N811" s="2"/>
      <c r="O811" s="2"/>
    </row>
    <row r="812" spans="1:15" s="3" customFormat="1">
      <c r="A812" s="4"/>
      <c r="C812" s="2"/>
      <c r="D812" s="2"/>
      <c r="E812" s="2"/>
      <c r="F812" s="2"/>
      <c r="G812" s="2"/>
      <c r="H812" s="2"/>
      <c r="I812" s="2"/>
      <c r="J812" s="2"/>
      <c r="K812" s="2"/>
      <c r="L812" s="2"/>
      <c r="M812" s="2"/>
      <c r="N812" s="2"/>
      <c r="O812" s="2"/>
    </row>
    <row r="813" spans="1:15" s="3" customFormat="1">
      <c r="A813" s="4"/>
      <c r="C813" s="2"/>
      <c r="D813" s="2"/>
      <c r="E813" s="2"/>
      <c r="F813" s="2"/>
      <c r="G813" s="2"/>
      <c r="H813" s="2"/>
      <c r="I813" s="2"/>
      <c r="J813" s="2"/>
      <c r="K813" s="2"/>
      <c r="L813" s="2"/>
      <c r="M813" s="2"/>
      <c r="N813" s="2"/>
      <c r="O813" s="2"/>
    </row>
    <row r="814" spans="1:15" s="3" customFormat="1">
      <c r="A814" s="4"/>
      <c r="C814" s="2"/>
      <c r="D814" s="2"/>
      <c r="E814" s="2"/>
      <c r="F814" s="2"/>
      <c r="G814" s="2"/>
      <c r="H814" s="2"/>
      <c r="I814" s="2"/>
      <c r="J814" s="2"/>
      <c r="K814" s="2"/>
      <c r="L814" s="2"/>
      <c r="M814" s="2"/>
      <c r="N814" s="2"/>
      <c r="O814" s="2"/>
    </row>
    <row r="815" spans="1:15" s="3" customFormat="1">
      <c r="A815" s="4"/>
      <c r="C815" s="2"/>
      <c r="D815" s="2"/>
      <c r="E815" s="2"/>
      <c r="F815" s="2"/>
      <c r="G815" s="2"/>
      <c r="H815" s="2"/>
      <c r="I815" s="2"/>
      <c r="J815" s="2"/>
      <c r="K815" s="2"/>
      <c r="L815" s="2"/>
      <c r="M815" s="2"/>
      <c r="N815" s="2"/>
      <c r="O815" s="2"/>
    </row>
    <row r="816" spans="1:15" s="3" customFormat="1">
      <c r="A816" s="4"/>
      <c r="C816" s="2"/>
      <c r="D816" s="2"/>
      <c r="E816" s="2"/>
      <c r="F816" s="2"/>
      <c r="G816" s="2"/>
      <c r="H816" s="2"/>
      <c r="I816" s="2"/>
      <c r="J816" s="2"/>
      <c r="K816" s="2"/>
      <c r="L816" s="2"/>
      <c r="M816" s="2"/>
      <c r="N816" s="2"/>
      <c r="O816" s="2"/>
    </row>
    <row r="817" spans="1:15" s="3" customFormat="1">
      <c r="A817" s="4"/>
      <c r="C817" s="2"/>
      <c r="D817" s="2"/>
      <c r="E817" s="2"/>
      <c r="F817" s="2"/>
      <c r="G817" s="2"/>
      <c r="H817" s="2"/>
      <c r="I817" s="2"/>
      <c r="J817" s="2"/>
      <c r="K817" s="2"/>
      <c r="L817" s="2"/>
      <c r="M817" s="2"/>
      <c r="N817" s="2"/>
      <c r="O817" s="2"/>
    </row>
    <row r="818" spans="1:15" s="3" customFormat="1">
      <c r="A818" s="4"/>
      <c r="C818" s="2"/>
      <c r="D818" s="2"/>
      <c r="E818" s="2"/>
      <c r="F818" s="2"/>
      <c r="G818" s="2"/>
      <c r="H818" s="2"/>
      <c r="I818" s="2"/>
      <c r="J818" s="2"/>
      <c r="K818" s="2"/>
      <c r="L818" s="2"/>
      <c r="M818" s="2"/>
      <c r="N818" s="2"/>
      <c r="O818" s="2"/>
    </row>
    <row r="819" spans="1:15" s="3" customFormat="1">
      <c r="A819" s="4"/>
      <c r="C819" s="2"/>
      <c r="D819" s="2"/>
      <c r="E819" s="2"/>
      <c r="F819" s="2"/>
      <c r="G819" s="2"/>
      <c r="H819" s="2"/>
      <c r="I819" s="2"/>
      <c r="J819" s="2"/>
      <c r="K819" s="2"/>
      <c r="L819" s="2"/>
      <c r="M819" s="2"/>
      <c r="N819" s="2"/>
      <c r="O819" s="2"/>
    </row>
    <row r="820" spans="1:15" s="3" customFormat="1">
      <c r="A820" s="4"/>
      <c r="C820" s="2"/>
      <c r="D820" s="2"/>
      <c r="E820" s="2"/>
      <c r="F820" s="2"/>
      <c r="G820" s="2"/>
      <c r="H820" s="2"/>
      <c r="I820" s="2"/>
      <c r="J820" s="2"/>
      <c r="K820" s="2"/>
      <c r="L820" s="2"/>
      <c r="M820" s="2"/>
      <c r="N820" s="2"/>
      <c r="O820" s="2"/>
    </row>
    <row r="821" spans="1:15" s="3" customFormat="1">
      <c r="A821" s="4"/>
      <c r="C821" s="2"/>
      <c r="D821" s="2"/>
      <c r="E821" s="2"/>
      <c r="F821" s="2"/>
      <c r="G821" s="2"/>
      <c r="H821" s="2"/>
      <c r="I821" s="2"/>
      <c r="J821" s="2"/>
      <c r="K821" s="2"/>
      <c r="L821" s="2"/>
      <c r="M821" s="2"/>
      <c r="N821" s="2"/>
      <c r="O821" s="2"/>
    </row>
    <row r="822" spans="1:15" s="3" customFormat="1">
      <c r="A822" s="4"/>
      <c r="C822" s="2"/>
      <c r="D822" s="2"/>
      <c r="E822" s="2"/>
      <c r="F822" s="2"/>
      <c r="G822" s="2"/>
      <c r="H822" s="2"/>
      <c r="I822" s="2"/>
      <c r="J822" s="2"/>
      <c r="K822" s="2"/>
      <c r="L822" s="2"/>
      <c r="M822" s="2"/>
      <c r="N822" s="2"/>
      <c r="O822" s="2"/>
    </row>
    <row r="823" spans="1:15" s="3" customFormat="1">
      <c r="A823" s="4"/>
      <c r="C823" s="2"/>
      <c r="D823" s="2"/>
      <c r="E823" s="2"/>
      <c r="F823" s="2"/>
      <c r="G823" s="2"/>
      <c r="H823" s="2"/>
      <c r="I823" s="2"/>
      <c r="J823" s="2"/>
      <c r="K823" s="2"/>
      <c r="L823" s="2"/>
      <c r="M823" s="2"/>
      <c r="N823" s="2"/>
      <c r="O823" s="2"/>
    </row>
    <row r="824" spans="1:15" s="3" customFormat="1">
      <c r="A824" s="4"/>
      <c r="C824" s="2"/>
      <c r="D824" s="2"/>
      <c r="E824" s="2"/>
      <c r="F824" s="2"/>
      <c r="G824" s="2"/>
      <c r="H824" s="2"/>
      <c r="I824" s="2"/>
      <c r="J824" s="2"/>
      <c r="K824" s="2"/>
      <c r="L824" s="2"/>
      <c r="M824" s="2"/>
      <c r="N824" s="2"/>
      <c r="O824" s="2"/>
    </row>
    <row r="825" spans="1:15" s="3" customFormat="1">
      <c r="A825" s="4"/>
      <c r="C825" s="2"/>
      <c r="D825" s="2"/>
      <c r="E825" s="2"/>
      <c r="F825" s="2"/>
      <c r="G825" s="2"/>
      <c r="H825" s="2"/>
      <c r="I825" s="2"/>
      <c r="J825" s="2"/>
      <c r="K825" s="2"/>
      <c r="L825" s="2"/>
      <c r="M825" s="2"/>
      <c r="N825" s="2"/>
      <c r="O825" s="2"/>
    </row>
    <row r="826" spans="1:15" s="3" customFormat="1">
      <c r="A826" s="4"/>
      <c r="C826" s="2"/>
      <c r="D826" s="2"/>
      <c r="E826" s="2"/>
      <c r="F826" s="2"/>
      <c r="G826" s="2"/>
      <c r="H826" s="2"/>
      <c r="I826" s="2"/>
      <c r="J826" s="2"/>
      <c r="K826" s="2"/>
      <c r="L826" s="2"/>
      <c r="M826" s="2"/>
      <c r="N826" s="2"/>
      <c r="O826" s="2"/>
    </row>
    <row r="827" spans="1:15" s="3" customFormat="1">
      <c r="A827" s="4"/>
      <c r="C827" s="2"/>
      <c r="D827" s="2"/>
      <c r="E827" s="2"/>
      <c r="F827" s="2"/>
      <c r="G827" s="2"/>
      <c r="H827" s="2"/>
      <c r="I827" s="2"/>
      <c r="J827" s="2"/>
      <c r="K827" s="2"/>
      <c r="L827" s="2"/>
      <c r="M827" s="2"/>
      <c r="N827" s="2"/>
      <c r="O827" s="2"/>
    </row>
    <row r="828" spans="1:15" s="3" customFormat="1">
      <c r="A828" s="4"/>
      <c r="C828" s="2"/>
      <c r="D828" s="2"/>
      <c r="E828" s="2"/>
      <c r="F828" s="2"/>
      <c r="G828" s="2"/>
      <c r="H828" s="2"/>
      <c r="I828" s="2"/>
      <c r="J828" s="2"/>
      <c r="K828" s="2"/>
      <c r="L828" s="2"/>
      <c r="M828" s="2"/>
      <c r="N828" s="2"/>
      <c r="O828" s="2"/>
    </row>
    <row r="829" spans="1:15" s="3" customFormat="1">
      <c r="A829" s="4"/>
      <c r="C829" s="2"/>
      <c r="D829" s="2"/>
      <c r="E829" s="2"/>
      <c r="F829" s="2"/>
      <c r="G829" s="2"/>
      <c r="H829" s="2"/>
      <c r="I829" s="2"/>
      <c r="J829" s="2"/>
      <c r="K829" s="2"/>
      <c r="L829" s="2"/>
      <c r="M829" s="2"/>
      <c r="N829" s="2"/>
      <c r="O829" s="2"/>
    </row>
    <row r="830" spans="1:15" s="3" customFormat="1">
      <c r="A830" s="4"/>
      <c r="C830" s="2"/>
      <c r="D830" s="2"/>
      <c r="E830" s="2"/>
      <c r="F830" s="2"/>
      <c r="G830" s="2"/>
      <c r="H830" s="2"/>
      <c r="I830" s="2"/>
      <c r="J830" s="2"/>
      <c r="K830" s="2"/>
      <c r="L830" s="2"/>
      <c r="M830" s="2"/>
      <c r="N830" s="2"/>
      <c r="O830" s="2"/>
    </row>
    <row r="831" spans="1:15" s="3" customFormat="1">
      <c r="A831" s="4"/>
      <c r="C831" s="2"/>
      <c r="D831" s="2"/>
      <c r="E831" s="2"/>
      <c r="F831" s="2"/>
      <c r="G831" s="2"/>
      <c r="H831" s="2"/>
      <c r="I831" s="2"/>
      <c r="J831" s="2"/>
      <c r="K831" s="2"/>
      <c r="L831" s="2"/>
      <c r="M831" s="2"/>
      <c r="N831" s="2"/>
      <c r="O831" s="2"/>
    </row>
    <row r="832" spans="1:15" s="3" customFormat="1">
      <c r="A832" s="4"/>
      <c r="C832" s="2"/>
      <c r="D832" s="2"/>
      <c r="E832" s="2"/>
      <c r="F832" s="2"/>
      <c r="G832" s="2"/>
      <c r="H832" s="2"/>
      <c r="I832" s="2"/>
      <c r="J832" s="2"/>
      <c r="K832" s="2"/>
      <c r="L832" s="2"/>
      <c r="M832" s="2"/>
      <c r="N832" s="2"/>
      <c r="O832" s="2"/>
    </row>
    <row r="833" spans="1:15" s="3" customFormat="1">
      <c r="A833" s="4"/>
      <c r="C833" s="2"/>
      <c r="D833" s="2"/>
      <c r="E833" s="2"/>
      <c r="F833" s="2"/>
      <c r="G833" s="2"/>
      <c r="H833" s="2"/>
      <c r="I833" s="2"/>
      <c r="J833" s="2"/>
      <c r="K833" s="2"/>
      <c r="L833" s="2"/>
      <c r="M833" s="2"/>
      <c r="N833" s="2"/>
      <c r="O833" s="2"/>
    </row>
    <row r="834" spans="1:15" s="3" customFormat="1">
      <c r="A834" s="4"/>
      <c r="C834" s="2"/>
      <c r="D834" s="2"/>
      <c r="E834" s="2"/>
      <c r="F834" s="2"/>
      <c r="G834" s="2"/>
      <c r="H834" s="2"/>
      <c r="I834" s="2"/>
      <c r="J834" s="2"/>
      <c r="K834" s="2"/>
      <c r="L834" s="2"/>
      <c r="M834" s="2"/>
      <c r="N834" s="2"/>
      <c r="O834" s="2"/>
    </row>
    <row r="835" spans="1:15" s="3" customFormat="1">
      <c r="A835" s="4"/>
      <c r="C835" s="2"/>
      <c r="D835" s="2"/>
      <c r="E835" s="2"/>
      <c r="F835" s="2"/>
      <c r="G835" s="2"/>
      <c r="H835" s="2"/>
      <c r="I835" s="2"/>
      <c r="J835" s="2"/>
      <c r="K835" s="2"/>
      <c r="L835" s="2"/>
      <c r="M835" s="2"/>
      <c r="N835" s="2"/>
      <c r="O835" s="2"/>
    </row>
    <row r="836" spans="1:15" s="3" customFormat="1">
      <c r="A836" s="4"/>
      <c r="C836" s="2"/>
      <c r="D836" s="2"/>
      <c r="E836" s="2"/>
      <c r="F836" s="2"/>
      <c r="G836" s="2"/>
      <c r="H836" s="2"/>
      <c r="I836" s="2"/>
      <c r="J836" s="2"/>
      <c r="K836" s="2"/>
      <c r="L836" s="2"/>
      <c r="M836" s="2"/>
      <c r="N836" s="2"/>
      <c r="O836" s="2"/>
    </row>
    <row r="837" spans="1:15" s="3" customFormat="1">
      <c r="A837" s="4"/>
      <c r="C837" s="2"/>
      <c r="D837" s="2"/>
      <c r="E837" s="2"/>
      <c r="F837" s="2"/>
      <c r="G837" s="2"/>
      <c r="H837" s="2"/>
      <c r="I837" s="2"/>
      <c r="J837" s="2"/>
      <c r="K837" s="2"/>
      <c r="L837" s="2"/>
      <c r="M837" s="2"/>
      <c r="N837" s="2"/>
      <c r="O837" s="2"/>
    </row>
    <row r="838" spans="1:15" s="3" customFormat="1">
      <c r="A838" s="4"/>
      <c r="C838" s="2"/>
      <c r="D838" s="2"/>
      <c r="E838" s="2"/>
      <c r="F838" s="2"/>
      <c r="G838" s="2"/>
      <c r="H838" s="2"/>
      <c r="I838" s="2"/>
      <c r="J838" s="2"/>
      <c r="K838" s="2"/>
      <c r="L838" s="2"/>
      <c r="M838" s="2"/>
      <c r="N838" s="2"/>
      <c r="O838" s="2"/>
    </row>
    <row r="839" spans="1:15" s="3" customFormat="1">
      <c r="A839" s="4"/>
      <c r="C839" s="2"/>
      <c r="D839" s="2"/>
      <c r="E839" s="2"/>
      <c r="F839" s="2"/>
      <c r="G839" s="2"/>
      <c r="H839" s="2"/>
      <c r="I839" s="2"/>
      <c r="J839" s="2"/>
      <c r="K839" s="2"/>
      <c r="L839" s="2"/>
      <c r="M839" s="2"/>
      <c r="N839" s="2"/>
      <c r="O839" s="2"/>
    </row>
    <row r="840" spans="1:15" s="3" customFormat="1">
      <c r="A840" s="4"/>
      <c r="C840" s="2"/>
      <c r="D840" s="2"/>
      <c r="E840" s="2"/>
      <c r="F840" s="2"/>
      <c r="G840" s="2"/>
      <c r="H840" s="2"/>
      <c r="I840" s="2"/>
      <c r="J840" s="2"/>
      <c r="K840" s="2"/>
      <c r="L840" s="2"/>
      <c r="M840" s="2"/>
      <c r="N840" s="2"/>
      <c r="O840" s="2"/>
    </row>
    <row r="841" spans="1:15" s="3" customFormat="1">
      <c r="A841" s="4"/>
      <c r="C841" s="2"/>
      <c r="D841" s="2"/>
      <c r="E841" s="2"/>
      <c r="F841" s="2"/>
      <c r="G841" s="2"/>
      <c r="H841" s="2"/>
      <c r="I841" s="2"/>
      <c r="J841" s="2"/>
      <c r="K841" s="2"/>
      <c r="L841" s="2"/>
      <c r="M841" s="2"/>
      <c r="N841" s="2"/>
      <c r="O841" s="2"/>
    </row>
    <row r="842" spans="1:15" s="3" customFormat="1">
      <c r="A842" s="4"/>
      <c r="C842" s="2"/>
      <c r="D842" s="2"/>
      <c r="E842" s="2"/>
      <c r="F842" s="2"/>
      <c r="G842" s="2"/>
      <c r="H842" s="2"/>
      <c r="I842" s="2"/>
      <c r="J842" s="2"/>
      <c r="K842" s="2"/>
      <c r="L842" s="2"/>
      <c r="M842" s="2"/>
      <c r="N842" s="2"/>
      <c r="O842" s="2"/>
    </row>
    <row r="843" spans="1:15" s="3" customFormat="1">
      <c r="A843" s="4"/>
      <c r="C843" s="2"/>
      <c r="D843" s="2"/>
      <c r="E843" s="2"/>
      <c r="F843" s="2"/>
      <c r="G843" s="2"/>
      <c r="H843" s="2"/>
      <c r="I843" s="2"/>
      <c r="J843" s="2"/>
      <c r="K843" s="2"/>
      <c r="L843" s="2"/>
      <c r="M843" s="2"/>
      <c r="N843" s="2"/>
      <c r="O843" s="2"/>
    </row>
    <row r="844" spans="1:15" s="3" customFormat="1">
      <c r="A844" s="4"/>
      <c r="C844" s="2"/>
      <c r="D844" s="2"/>
      <c r="E844" s="2"/>
      <c r="F844" s="2"/>
      <c r="G844" s="2"/>
      <c r="H844" s="2"/>
      <c r="I844" s="2"/>
      <c r="J844" s="2"/>
      <c r="K844" s="2"/>
      <c r="L844" s="2"/>
      <c r="M844" s="2"/>
      <c r="N844" s="2"/>
      <c r="O844" s="2"/>
    </row>
    <row r="845" spans="1:15" s="3" customFormat="1">
      <c r="A845" s="4"/>
      <c r="C845" s="2"/>
      <c r="D845" s="2"/>
      <c r="E845" s="2"/>
      <c r="F845" s="2"/>
      <c r="G845" s="2"/>
      <c r="H845" s="2"/>
      <c r="I845" s="2"/>
      <c r="J845" s="2"/>
      <c r="K845" s="2"/>
      <c r="L845" s="2"/>
      <c r="M845" s="2"/>
      <c r="N845" s="2"/>
      <c r="O845" s="2"/>
    </row>
    <row r="846" spans="1:15" s="3" customFormat="1">
      <c r="A846" s="4"/>
      <c r="C846" s="2"/>
      <c r="D846" s="2"/>
      <c r="E846" s="2"/>
      <c r="F846" s="2"/>
      <c r="G846" s="2"/>
      <c r="H846" s="2"/>
      <c r="I846" s="2"/>
      <c r="J846" s="2"/>
      <c r="K846" s="2"/>
      <c r="L846" s="2"/>
      <c r="M846" s="2"/>
      <c r="N846" s="2"/>
      <c r="O846" s="2"/>
    </row>
    <row r="847" spans="1:15" s="3" customFormat="1">
      <c r="A847" s="4"/>
      <c r="C847" s="2"/>
      <c r="D847" s="2"/>
      <c r="E847" s="2"/>
      <c r="F847" s="2"/>
      <c r="G847" s="2"/>
      <c r="H847" s="2"/>
      <c r="I847" s="2"/>
      <c r="J847" s="2"/>
      <c r="K847" s="2"/>
      <c r="L847" s="2"/>
      <c r="M847" s="2"/>
      <c r="N847" s="2"/>
      <c r="O847" s="2"/>
    </row>
    <row r="848" spans="1:15" s="3" customFormat="1">
      <c r="A848" s="4"/>
      <c r="C848" s="2"/>
      <c r="D848" s="2"/>
      <c r="E848" s="2"/>
      <c r="F848" s="2"/>
      <c r="G848" s="2"/>
      <c r="H848" s="2"/>
      <c r="I848" s="2"/>
      <c r="J848" s="2"/>
      <c r="K848" s="2"/>
      <c r="L848" s="2"/>
      <c r="M848" s="2"/>
      <c r="N848" s="2"/>
      <c r="O848" s="2"/>
    </row>
    <row r="849" spans="1:15" s="3" customFormat="1">
      <c r="A849" s="4"/>
      <c r="C849" s="2"/>
      <c r="D849" s="2"/>
      <c r="E849" s="2"/>
      <c r="F849" s="2"/>
      <c r="G849" s="2"/>
      <c r="H849" s="2"/>
      <c r="I849" s="2"/>
      <c r="J849" s="2"/>
      <c r="K849" s="2"/>
      <c r="L849" s="2"/>
      <c r="M849" s="2"/>
      <c r="N849" s="2"/>
      <c r="O849" s="2"/>
    </row>
    <row r="850" spans="1:15" s="3" customFormat="1">
      <c r="A850" s="4"/>
      <c r="C850" s="2"/>
      <c r="D850" s="2"/>
      <c r="E850" s="2"/>
      <c r="F850" s="2"/>
      <c r="G850" s="2"/>
      <c r="H850" s="2"/>
      <c r="I850" s="2"/>
      <c r="J850" s="2"/>
      <c r="K850" s="2"/>
      <c r="L850" s="2"/>
      <c r="M850" s="2"/>
      <c r="N850" s="2"/>
      <c r="O850" s="2"/>
    </row>
    <row r="851" spans="1:15" s="3" customFormat="1">
      <c r="A851" s="4"/>
      <c r="C851" s="2"/>
      <c r="D851" s="2"/>
      <c r="E851" s="2"/>
      <c r="F851" s="2"/>
      <c r="G851" s="2"/>
      <c r="H851" s="2"/>
      <c r="I851" s="2"/>
      <c r="J851" s="2"/>
      <c r="K851" s="2"/>
      <c r="L851" s="2"/>
      <c r="M851" s="2"/>
      <c r="N851" s="2"/>
      <c r="O851" s="2"/>
    </row>
    <row r="852" spans="1:15" s="3" customFormat="1">
      <c r="A852" s="4"/>
      <c r="C852" s="2"/>
      <c r="D852" s="2"/>
      <c r="E852" s="2"/>
      <c r="F852" s="2"/>
      <c r="G852" s="2"/>
      <c r="H852" s="2"/>
      <c r="I852" s="2"/>
      <c r="J852" s="2"/>
      <c r="K852" s="2"/>
      <c r="L852" s="2"/>
      <c r="M852" s="2"/>
      <c r="N852" s="2"/>
      <c r="O852" s="2"/>
    </row>
    <row r="853" spans="1:15" s="3" customFormat="1">
      <c r="A853" s="4"/>
      <c r="C853" s="2"/>
      <c r="D853" s="2"/>
      <c r="E853" s="2"/>
      <c r="F853" s="2"/>
      <c r="G853" s="2"/>
      <c r="H853" s="2"/>
      <c r="I853" s="2"/>
      <c r="J853" s="2"/>
      <c r="K853" s="2"/>
      <c r="L853" s="2"/>
      <c r="M853" s="2"/>
      <c r="N853" s="2"/>
      <c r="O853" s="2"/>
    </row>
    <row r="854" spans="1:15" s="3" customFormat="1">
      <c r="A854" s="4"/>
      <c r="C854" s="2"/>
      <c r="D854" s="2"/>
      <c r="E854" s="2"/>
      <c r="F854" s="2"/>
      <c r="G854" s="2"/>
      <c r="H854" s="2"/>
      <c r="I854" s="2"/>
      <c r="J854" s="2"/>
      <c r="K854" s="2"/>
      <c r="L854" s="2"/>
      <c r="M854" s="2"/>
      <c r="N854" s="2"/>
      <c r="O854" s="2"/>
    </row>
    <row r="855" spans="1:15" s="3" customFormat="1">
      <c r="A855" s="4"/>
      <c r="C855" s="2"/>
      <c r="D855" s="2"/>
      <c r="E855" s="2"/>
      <c r="F855" s="2"/>
      <c r="G855" s="2"/>
      <c r="H855" s="2"/>
      <c r="I855" s="2"/>
      <c r="J855" s="2"/>
      <c r="K855" s="2"/>
      <c r="L855" s="2"/>
      <c r="M855" s="2"/>
      <c r="N855" s="2"/>
      <c r="O855" s="2"/>
    </row>
    <row r="856" spans="1:15" s="3" customFormat="1">
      <c r="A856" s="4"/>
      <c r="C856" s="2"/>
      <c r="D856" s="2"/>
      <c r="E856" s="2"/>
      <c r="F856" s="2"/>
      <c r="G856" s="2"/>
      <c r="H856" s="2"/>
      <c r="I856" s="2"/>
      <c r="J856" s="2"/>
      <c r="K856" s="2"/>
      <c r="L856" s="2"/>
      <c r="M856" s="2"/>
      <c r="N856" s="2"/>
      <c r="O856" s="2"/>
    </row>
    <row r="857" spans="1:15" s="3" customFormat="1">
      <c r="A857" s="4"/>
      <c r="C857" s="2"/>
      <c r="D857" s="2"/>
      <c r="E857" s="2"/>
      <c r="F857" s="2"/>
      <c r="G857" s="2"/>
      <c r="H857" s="2"/>
      <c r="I857" s="2"/>
      <c r="J857" s="2"/>
      <c r="K857" s="2"/>
      <c r="L857" s="2"/>
      <c r="M857" s="2"/>
      <c r="N857" s="2"/>
      <c r="O857" s="2"/>
    </row>
    <row r="858" spans="1:15" s="3" customFormat="1">
      <c r="A858" s="4"/>
      <c r="C858" s="2"/>
      <c r="D858" s="2"/>
      <c r="E858" s="2"/>
      <c r="F858" s="2"/>
      <c r="G858" s="2"/>
      <c r="H858" s="2"/>
      <c r="I858" s="2"/>
      <c r="J858" s="2"/>
      <c r="K858" s="2"/>
      <c r="L858" s="2"/>
      <c r="M858" s="2"/>
      <c r="N858" s="2"/>
      <c r="O858" s="2"/>
    </row>
    <row r="859" spans="1:15" s="3" customFormat="1">
      <c r="A859" s="4"/>
      <c r="C859" s="2"/>
      <c r="D859" s="2"/>
      <c r="E859" s="2"/>
      <c r="F859" s="2"/>
      <c r="G859" s="2"/>
      <c r="H859" s="2"/>
      <c r="I859" s="2"/>
      <c r="J859" s="2"/>
      <c r="K859" s="2"/>
      <c r="L859" s="2"/>
      <c r="M859" s="2"/>
      <c r="N859" s="2"/>
      <c r="O859" s="2"/>
    </row>
    <row r="860" spans="1:15" s="3" customFormat="1">
      <c r="A860" s="4"/>
      <c r="C860" s="2"/>
      <c r="D860" s="2"/>
      <c r="E860" s="2"/>
      <c r="F860" s="2"/>
      <c r="G860" s="2"/>
      <c r="H860" s="2"/>
      <c r="I860" s="2"/>
      <c r="J860" s="2"/>
      <c r="K860" s="2"/>
      <c r="L860" s="2"/>
      <c r="M860" s="2"/>
      <c r="N860" s="2"/>
      <c r="O860" s="2"/>
    </row>
    <row r="861" spans="1:15" s="3" customFormat="1">
      <c r="A861" s="4"/>
      <c r="C861" s="2"/>
      <c r="D861" s="2"/>
      <c r="E861" s="2"/>
      <c r="F861" s="2"/>
      <c r="G861" s="2"/>
      <c r="H861" s="2"/>
      <c r="I861" s="2"/>
      <c r="J861" s="2"/>
      <c r="K861" s="2"/>
      <c r="L861" s="2"/>
      <c r="M861" s="2"/>
      <c r="N861" s="2"/>
      <c r="O861" s="2"/>
    </row>
    <row r="862" spans="1:15" s="3" customFormat="1">
      <c r="A862" s="4"/>
      <c r="C862" s="2"/>
      <c r="D862" s="2"/>
      <c r="E862" s="2"/>
      <c r="F862" s="2"/>
      <c r="G862" s="2"/>
      <c r="H862" s="2"/>
      <c r="I862" s="2"/>
      <c r="J862" s="2"/>
      <c r="K862" s="2"/>
      <c r="L862" s="2"/>
      <c r="M862" s="2"/>
      <c r="N862" s="2"/>
      <c r="O862" s="2"/>
    </row>
    <row r="863" spans="1:15" s="3" customFormat="1">
      <c r="A863" s="4"/>
      <c r="C863" s="2"/>
      <c r="D863" s="2"/>
      <c r="E863" s="2"/>
      <c r="F863" s="2"/>
      <c r="G863" s="2"/>
      <c r="H863" s="2"/>
      <c r="I863" s="2"/>
      <c r="J863" s="2"/>
      <c r="K863" s="2"/>
      <c r="L863" s="2"/>
      <c r="M863" s="2"/>
      <c r="N863" s="2"/>
      <c r="O863" s="2"/>
    </row>
    <row r="864" spans="1:15" s="3" customFormat="1">
      <c r="A864" s="4"/>
      <c r="C864" s="2"/>
      <c r="D864" s="2"/>
      <c r="E864" s="2"/>
      <c r="F864" s="2"/>
      <c r="G864" s="2"/>
      <c r="H864" s="2"/>
      <c r="I864" s="2"/>
      <c r="J864" s="2"/>
      <c r="K864" s="2"/>
      <c r="L864" s="2"/>
      <c r="M864" s="2"/>
      <c r="N864" s="2"/>
      <c r="O864" s="2"/>
    </row>
    <row r="865" spans="1:15" s="3" customFormat="1">
      <c r="A865" s="4"/>
      <c r="C865" s="2"/>
      <c r="D865" s="2"/>
      <c r="E865" s="2"/>
      <c r="F865" s="2"/>
      <c r="G865" s="2"/>
      <c r="H865" s="2"/>
      <c r="I865" s="2"/>
      <c r="J865" s="2"/>
      <c r="K865" s="2"/>
      <c r="L865" s="2"/>
      <c r="M865" s="2"/>
      <c r="N865" s="2"/>
      <c r="O865" s="2"/>
    </row>
    <row r="866" spans="1:15" s="3" customFormat="1">
      <c r="A866" s="4"/>
      <c r="C866" s="2"/>
      <c r="D866" s="2"/>
      <c r="E866" s="2"/>
      <c r="F866" s="2"/>
      <c r="G866" s="2"/>
      <c r="H866" s="2"/>
      <c r="I866" s="2"/>
      <c r="J866" s="2"/>
      <c r="K866" s="2"/>
      <c r="L866" s="2"/>
      <c r="M866" s="2"/>
      <c r="N866" s="2"/>
      <c r="O866" s="2"/>
    </row>
    <row r="867" spans="1:15" s="3" customFormat="1">
      <c r="A867" s="4"/>
      <c r="C867" s="2"/>
      <c r="D867" s="2"/>
      <c r="E867" s="2"/>
      <c r="F867" s="2"/>
      <c r="G867" s="2"/>
      <c r="H867" s="2"/>
      <c r="I867" s="2"/>
      <c r="J867" s="2"/>
      <c r="K867" s="2"/>
      <c r="L867" s="2"/>
      <c r="M867" s="2"/>
      <c r="N867" s="2"/>
      <c r="O867" s="2"/>
    </row>
    <row r="868" spans="1:15" s="3" customFormat="1">
      <c r="A868" s="4"/>
      <c r="C868" s="2"/>
      <c r="D868" s="2"/>
      <c r="E868" s="2"/>
      <c r="F868" s="2"/>
      <c r="G868" s="2"/>
      <c r="H868" s="2"/>
      <c r="I868" s="2"/>
      <c r="J868" s="2"/>
      <c r="K868" s="2"/>
      <c r="L868" s="2"/>
      <c r="M868" s="2"/>
      <c r="N868" s="2"/>
      <c r="O868" s="2"/>
    </row>
    <row r="869" spans="1:15" s="3" customFormat="1">
      <c r="A869" s="4"/>
      <c r="C869" s="2"/>
      <c r="D869" s="2"/>
      <c r="E869" s="2"/>
      <c r="F869" s="2"/>
      <c r="G869" s="2"/>
      <c r="H869" s="2"/>
      <c r="I869" s="2"/>
      <c r="J869" s="2"/>
      <c r="K869" s="2"/>
      <c r="L869" s="2"/>
      <c r="M869" s="2"/>
      <c r="N869" s="2"/>
      <c r="O869" s="2"/>
    </row>
    <row r="870" spans="1:15" s="3" customFormat="1">
      <c r="A870" s="4"/>
      <c r="C870" s="2"/>
      <c r="D870" s="2"/>
      <c r="E870" s="2"/>
      <c r="F870" s="2"/>
      <c r="G870" s="2"/>
      <c r="H870" s="2"/>
      <c r="I870" s="2"/>
      <c r="J870" s="2"/>
      <c r="K870" s="2"/>
      <c r="L870" s="2"/>
      <c r="M870" s="2"/>
      <c r="N870" s="2"/>
      <c r="O870" s="2"/>
    </row>
    <row r="871" spans="1:15" s="3" customFormat="1">
      <c r="A871" s="4"/>
      <c r="C871" s="2"/>
      <c r="D871" s="2"/>
      <c r="E871" s="2"/>
      <c r="F871" s="2"/>
      <c r="G871" s="2"/>
      <c r="H871" s="2"/>
      <c r="I871" s="2"/>
      <c r="J871" s="2"/>
      <c r="K871" s="2"/>
      <c r="L871" s="2"/>
      <c r="M871" s="2"/>
      <c r="N871" s="2"/>
      <c r="O871" s="2"/>
    </row>
    <row r="872" spans="1:15" s="3" customFormat="1">
      <c r="A872" s="4"/>
      <c r="C872" s="2"/>
      <c r="D872" s="2"/>
      <c r="E872" s="2"/>
      <c r="F872" s="2"/>
      <c r="G872" s="2"/>
      <c r="H872" s="2"/>
      <c r="I872" s="2"/>
      <c r="J872" s="2"/>
      <c r="K872" s="2"/>
      <c r="L872" s="2"/>
      <c r="M872" s="2"/>
      <c r="N872" s="2"/>
      <c r="O872" s="2"/>
    </row>
    <row r="873" spans="1:15" s="3" customFormat="1">
      <c r="A873" s="4"/>
      <c r="C873" s="2"/>
      <c r="D873" s="2"/>
      <c r="E873" s="2"/>
      <c r="F873" s="2"/>
      <c r="G873" s="2"/>
      <c r="H873" s="2"/>
      <c r="I873" s="2"/>
      <c r="J873" s="2"/>
      <c r="K873" s="2"/>
      <c r="L873" s="2"/>
      <c r="M873" s="2"/>
      <c r="N873" s="2"/>
      <c r="O873" s="2"/>
    </row>
    <row r="874" spans="1:15" s="3" customFormat="1">
      <c r="A874" s="4"/>
      <c r="C874" s="2"/>
      <c r="D874" s="2"/>
      <c r="E874" s="2"/>
      <c r="F874" s="2"/>
      <c r="G874" s="2"/>
      <c r="H874" s="2"/>
      <c r="I874" s="2"/>
      <c r="J874" s="2"/>
      <c r="K874" s="2"/>
      <c r="L874" s="2"/>
      <c r="M874" s="2"/>
      <c r="N874" s="2"/>
      <c r="O874" s="2"/>
    </row>
    <row r="875" spans="1:15" s="3" customFormat="1">
      <c r="A875" s="4"/>
      <c r="C875" s="2"/>
      <c r="D875" s="2"/>
      <c r="E875" s="2"/>
      <c r="F875" s="2"/>
      <c r="G875" s="2"/>
      <c r="H875" s="2"/>
      <c r="I875" s="2"/>
      <c r="J875" s="2"/>
      <c r="K875" s="2"/>
      <c r="L875" s="2"/>
      <c r="M875" s="2"/>
      <c r="N875" s="2"/>
      <c r="O875" s="2"/>
    </row>
    <row r="876" spans="1:15" s="3" customFormat="1">
      <c r="A876" s="4"/>
      <c r="C876" s="2"/>
      <c r="D876" s="2"/>
      <c r="E876" s="2"/>
      <c r="F876" s="2"/>
      <c r="G876" s="2"/>
      <c r="H876" s="2"/>
      <c r="I876" s="2"/>
      <c r="J876" s="2"/>
      <c r="K876" s="2"/>
      <c r="L876" s="2"/>
      <c r="M876" s="2"/>
      <c r="N876" s="2"/>
      <c r="O876" s="2"/>
    </row>
    <row r="877" spans="1:15" s="3" customFormat="1">
      <c r="A877" s="4"/>
      <c r="C877" s="2"/>
      <c r="D877" s="2"/>
      <c r="E877" s="2"/>
      <c r="F877" s="2"/>
      <c r="G877" s="2"/>
      <c r="H877" s="2"/>
      <c r="I877" s="2"/>
      <c r="J877" s="2"/>
      <c r="K877" s="2"/>
      <c r="L877" s="2"/>
      <c r="M877" s="2"/>
      <c r="N877" s="2"/>
      <c r="O877" s="2"/>
    </row>
    <row r="878" spans="1:15" s="3" customFormat="1">
      <c r="A878" s="4"/>
      <c r="C878" s="2"/>
      <c r="D878" s="2"/>
      <c r="E878" s="2"/>
      <c r="F878" s="2"/>
      <c r="G878" s="2"/>
      <c r="H878" s="2"/>
      <c r="I878" s="2"/>
      <c r="J878" s="2"/>
      <c r="K878" s="2"/>
      <c r="L878" s="2"/>
      <c r="M878" s="2"/>
      <c r="N878" s="2"/>
      <c r="O878" s="2"/>
    </row>
    <row r="879" spans="1:15" s="3" customFormat="1">
      <c r="A879" s="4"/>
      <c r="C879" s="2"/>
      <c r="D879" s="2"/>
      <c r="E879" s="2"/>
      <c r="F879" s="2"/>
      <c r="G879" s="2"/>
      <c r="H879" s="2"/>
      <c r="I879" s="2"/>
      <c r="J879" s="2"/>
      <c r="K879" s="2"/>
      <c r="L879" s="2"/>
      <c r="M879" s="2"/>
      <c r="N879" s="2"/>
      <c r="O879" s="2"/>
    </row>
    <row r="880" spans="1:15" s="3" customFormat="1">
      <c r="A880" s="4"/>
      <c r="C880" s="2"/>
      <c r="D880" s="2"/>
      <c r="E880" s="2"/>
      <c r="F880" s="2"/>
      <c r="G880" s="2"/>
      <c r="H880" s="2"/>
      <c r="I880" s="2"/>
      <c r="J880" s="2"/>
      <c r="K880" s="2"/>
      <c r="L880" s="2"/>
      <c r="M880" s="2"/>
      <c r="N880" s="2"/>
      <c r="O880" s="2"/>
    </row>
    <row r="881" spans="1:15" s="3" customFormat="1">
      <c r="A881" s="4"/>
      <c r="C881" s="2"/>
      <c r="D881" s="2"/>
      <c r="E881" s="2"/>
      <c r="F881" s="2"/>
      <c r="G881" s="2"/>
      <c r="H881" s="2"/>
      <c r="I881" s="2"/>
      <c r="J881" s="2"/>
      <c r="K881" s="2"/>
      <c r="L881" s="2"/>
      <c r="M881" s="2"/>
      <c r="N881" s="2"/>
      <c r="O881" s="2"/>
    </row>
    <row r="882" spans="1:15" s="3" customFormat="1">
      <c r="A882" s="4"/>
      <c r="C882" s="2"/>
      <c r="D882" s="2"/>
      <c r="E882" s="2"/>
      <c r="F882" s="2"/>
      <c r="G882" s="2"/>
      <c r="H882" s="2"/>
      <c r="I882" s="2"/>
      <c r="J882" s="2"/>
      <c r="K882" s="2"/>
      <c r="L882" s="2"/>
      <c r="M882" s="2"/>
      <c r="N882" s="2"/>
      <c r="O882" s="2"/>
    </row>
    <row r="883" spans="1:15" s="3" customFormat="1">
      <c r="A883" s="4"/>
      <c r="C883" s="2"/>
      <c r="D883" s="2"/>
      <c r="E883" s="2"/>
      <c r="F883" s="2"/>
      <c r="G883" s="2"/>
      <c r="H883" s="2"/>
      <c r="I883" s="2"/>
      <c r="J883" s="2"/>
      <c r="K883" s="2"/>
      <c r="L883" s="2"/>
      <c r="M883" s="2"/>
      <c r="N883" s="2"/>
      <c r="O883" s="2"/>
    </row>
    <row r="884" spans="1:15" s="3" customFormat="1">
      <c r="A884" s="4"/>
      <c r="C884" s="2"/>
      <c r="D884" s="2"/>
      <c r="E884" s="2"/>
      <c r="F884" s="2"/>
      <c r="G884" s="2"/>
      <c r="H884" s="2"/>
      <c r="I884" s="2"/>
      <c r="J884" s="2"/>
      <c r="K884" s="2"/>
      <c r="L884" s="2"/>
      <c r="M884" s="2"/>
      <c r="N884" s="2"/>
      <c r="O884" s="2"/>
    </row>
    <row r="885" spans="1:15" s="3" customFormat="1">
      <c r="A885" s="4"/>
      <c r="C885" s="2"/>
      <c r="D885" s="2"/>
      <c r="E885" s="2"/>
      <c r="F885" s="2"/>
      <c r="G885" s="2"/>
      <c r="H885" s="2"/>
      <c r="I885" s="2"/>
      <c r="J885" s="2"/>
      <c r="K885" s="2"/>
      <c r="L885" s="2"/>
      <c r="M885" s="2"/>
      <c r="N885" s="2"/>
      <c r="O885" s="2"/>
    </row>
    <row r="886" spans="1:15" s="3" customFormat="1">
      <c r="A886" s="4"/>
      <c r="C886" s="2"/>
      <c r="D886" s="2"/>
      <c r="E886" s="2"/>
      <c r="F886" s="2"/>
      <c r="G886" s="2"/>
      <c r="H886" s="2"/>
      <c r="I886" s="2"/>
      <c r="J886" s="2"/>
      <c r="K886" s="2"/>
      <c r="L886" s="2"/>
      <c r="M886" s="2"/>
      <c r="N886" s="2"/>
      <c r="O886" s="2"/>
    </row>
    <row r="887" spans="1:15" s="3" customFormat="1">
      <c r="A887" s="4"/>
      <c r="C887" s="2"/>
      <c r="D887" s="2"/>
      <c r="E887" s="2"/>
      <c r="F887" s="2"/>
      <c r="G887" s="2"/>
      <c r="H887" s="2"/>
      <c r="I887" s="2"/>
      <c r="J887" s="2"/>
      <c r="K887" s="2"/>
      <c r="L887" s="2"/>
      <c r="M887" s="2"/>
      <c r="N887" s="2"/>
      <c r="O887" s="2"/>
    </row>
    <row r="888" spans="1:15" s="3" customFormat="1">
      <c r="A888" s="4"/>
      <c r="C888" s="2"/>
      <c r="D888" s="2"/>
      <c r="E888" s="2"/>
      <c r="F888" s="2"/>
      <c r="G888" s="2"/>
      <c r="H888" s="2"/>
      <c r="I888" s="2"/>
      <c r="J888" s="2"/>
      <c r="K888" s="2"/>
      <c r="L888" s="2"/>
      <c r="M888" s="2"/>
      <c r="N888" s="2"/>
      <c r="O888" s="2"/>
    </row>
    <row r="889" spans="1:15" s="3" customFormat="1">
      <c r="A889" s="4"/>
      <c r="C889" s="2"/>
      <c r="D889" s="2"/>
      <c r="E889" s="2"/>
      <c r="F889" s="2"/>
      <c r="G889" s="2"/>
      <c r="H889" s="2"/>
      <c r="I889" s="2"/>
      <c r="J889" s="2"/>
      <c r="K889" s="2"/>
      <c r="L889" s="2"/>
      <c r="M889" s="2"/>
      <c r="N889" s="2"/>
      <c r="O889" s="2"/>
    </row>
    <row r="890" spans="1:15" s="3" customFormat="1">
      <c r="A890" s="4"/>
      <c r="C890" s="2"/>
      <c r="D890" s="2"/>
      <c r="E890" s="2"/>
      <c r="F890" s="2"/>
      <c r="G890" s="2"/>
      <c r="H890" s="2"/>
      <c r="I890" s="2"/>
      <c r="J890" s="2"/>
      <c r="K890" s="2"/>
      <c r="L890" s="2"/>
      <c r="M890" s="2"/>
      <c r="N890" s="2"/>
      <c r="O890" s="2"/>
    </row>
    <row r="891" spans="1:15" s="3" customFormat="1">
      <c r="A891" s="4"/>
      <c r="C891" s="2"/>
      <c r="D891" s="2"/>
      <c r="E891" s="2"/>
      <c r="F891" s="2"/>
      <c r="G891" s="2"/>
      <c r="H891" s="2"/>
      <c r="I891" s="2"/>
      <c r="J891" s="2"/>
      <c r="K891" s="2"/>
      <c r="L891" s="2"/>
      <c r="M891" s="2"/>
      <c r="N891" s="2"/>
      <c r="O891" s="2"/>
    </row>
    <row r="892" spans="1:15" s="3" customFormat="1">
      <c r="A892" s="4"/>
      <c r="C892" s="2"/>
      <c r="D892" s="2"/>
      <c r="E892" s="2"/>
      <c r="F892" s="2"/>
      <c r="G892" s="2"/>
      <c r="H892" s="2"/>
      <c r="I892" s="2"/>
      <c r="J892" s="2"/>
      <c r="K892" s="2"/>
      <c r="L892" s="2"/>
      <c r="M892" s="2"/>
      <c r="N892" s="2"/>
      <c r="O892" s="2"/>
    </row>
    <row r="893" spans="1:15" s="3" customFormat="1">
      <c r="A893" s="4"/>
      <c r="C893" s="2"/>
      <c r="D893" s="2"/>
      <c r="E893" s="2"/>
      <c r="F893" s="2"/>
      <c r="G893" s="2"/>
      <c r="H893" s="2"/>
      <c r="I893" s="2"/>
      <c r="J893" s="2"/>
      <c r="K893" s="2"/>
      <c r="L893" s="2"/>
      <c r="M893" s="2"/>
      <c r="N893" s="2"/>
      <c r="O893" s="2"/>
    </row>
    <row r="894" spans="1:15" s="3" customFormat="1">
      <c r="A894" s="4"/>
      <c r="C894" s="2"/>
      <c r="D894" s="2"/>
      <c r="E894" s="2"/>
      <c r="F894" s="2"/>
      <c r="G894" s="2"/>
      <c r="H894" s="2"/>
      <c r="I894" s="2"/>
      <c r="J894" s="2"/>
      <c r="K894" s="2"/>
      <c r="L894" s="2"/>
      <c r="M894" s="2"/>
      <c r="N894" s="2"/>
      <c r="O894" s="2"/>
    </row>
    <row r="895" spans="1:15" s="3" customFormat="1">
      <c r="A895" s="4"/>
      <c r="C895" s="2"/>
      <c r="D895" s="2"/>
      <c r="E895" s="2"/>
      <c r="F895" s="2"/>
      <c r="G895" s="2"/>
      <c r="H895" s="2"/>
      <c r="I895" s="2"/>
      <c r="J895" s="2"/>
      <c r="K895" s="2"/>
      <c r="L895" s="2"/>
      <c r="M895" s="2"/>
      <c r="N895" s="2"/>
      <c r="O895" s="2"/>
    </row>
    <row r="896" spans="1:15" s="3" customFormat="1">
      <c r="A896" s="4"/>
      <c r="C896" s="2"/>
      <c r="D896" s="2"/>
      <c r="E896" s="2"/>
      <c r="F896" s="2"/>
      <c r="G896" s="2"/>
      <c r="H896" s="2"/>
      <c r="I896" s="2"/>
      <c r="J896" s="2"/>
      <c r="K896" s="2"/>
      <c r="L896" s="2"/>
      <c r="M896" s="2"/>
      <c r="N896" s="2"/>
      <c r="O896" s="2"/>
    </row>
    <row r="897" spans="1:15" s="3" customFormat="1">
      <c r="A897" s="4"/>
      <c r="C897" s="2"/>
      <c r="D897" s="2"/>
      <c r="E897" s="2"/>
      <c r="F897" s="2"/>
      <c r="G897" s="2"/>
      <c r="H897" s="2"/>
      <c r="I897" s="2"/>
      <c r="J897" s="2"/>
      <c r="K897" s="2"/>
      <c r="L897" s="2"/>
      <c r="M897" s="2"/>
      <c r="N897" s="2"/>
      <c r="O897" s="2"/>
    </row>
    <row r="898" spans="1:15" s="3" customFormat="1">
      <c r="A898" s="4"/>
      <c r="C898" s="2"/>
      <c r="D898" s="2"/>
      <c r="E898" s="2"/>
      <c r="F898" s="2"/>
      <c r="G898" s="2"/>
      <c r="H898" s="2"/>
      <c r="I898" s="2"/>
      <c r="J898" s="2"/>
      <c r="K898" s="2"/>
      <c r="L898" s="2"/>
      <c r="M898" s="2"/>
      <c r="N898" s="2"/>
      <c r="O898" s="2"/>
    </row>
    <row r="899" spans="1:15" s="3" customFormat="1">
      <c r="A899" s="4"/>
      <c r="C899" s="2"/>
      <c r="D899" s="2"/>
      <c r="E899" s="2"/>
      <c r="F899" s="2"/>
      <c r="G899" s="2"/>
      <c r="H899" s="2"/>
      <c r="I899" s="2"/>
      <c r="J899" s="2"/>
      <c r="K899" s="2"/>
      <c r="L899" s="2"/>
      <c r="M899" s="2"/>
      <c r="N899" s="2"/>
      <c r="O899" s="2"/>
    </row>
    <row r="900" spans="1:15" s="3" customFormat="1">
      <c r="A900" s="4"/>
      <c r="C900" s="2"/>
      <c r="D900" s="2"/>
      <c r="E900" s="2"/>
      <c r="F900" s="2"/>
      <c r="G900" s="2"/>
      <c r="H900" s="2"/>
      <c r="I900" s="2"/>
      <c r="J900" s="2"/>
      <c r="K900" s="2"/>
      <c r="L900" s="2"/>
      <c r="M900" s="2"/>
      <c r="N900" s="2"/>
      <c r="O900" s="2"/>
    </row>
    <row r="901" spans="1:15" s="3" customFormat="1">
      <c r="A901" s="4"/>
      <c r="C901" s="2"/>
      <c r="D901" s="2"/>
      <c r="E901" s="2"/>
      <c r="F901" s="2"/>
      <c r="G901" s="2"/>
      <c r="H901" s="2"/>
      <c r="I901" s="2"/>
      <c r="J901" s="2"/>
      <c r="K901" s="2"/>
      <c r="L901" s="2"/>
      <c r="M901" s="2"/>
      <c r="N901" s="2"/>
      <c r="O901" s="2"/>
    </row>
    <row r="902" spans="1:15" s="3" customFormat="1">
      <c r="A902" s="4"/>
      <c r="C902" s="2"/>
      <c r="D902" s="2"/>
      <c r="E902" s="2"/>
      <c r="F902" s="2"/>
      <c r="G902" s="2"/>
      <c r="H902" s="2"/>
      <c r="I902" s="2"/>
      <c r="J902" s="2"/>
      <c r="K902" s="2"/>
      <c r="L902" s="2"/>
      <c r="M902" s="2"/>
      <c r="N902" s="2"/>
      <c r="O902" s="2"/>
    </row>
    <row r="903" spans="1:15" s="3" customFormat="1">
      <c r="A903" s="4"/>
      <c r="C903" s="2"/>
      <c r="D903" s="2"/>
      <c r="E903" s="2"/>
      <c r="F903" s="2"/>
      <c r="G903" s="2"/>
      <c r="H903" s="2"/>
      <c r="I903" s="2"/>
      <c r="J903" s="2"/>
      <c r="K903" s="2"/>
      <c r="L903" s="2"/>
      <c r="M903" s="2"/>
      <c r="N903" s="2"/>
      <c r="O903" s="2"/>
    </row>
    <row r="904" spans="1:15" s="3" customFormat="1">
      <c r="A904" s="4"/>
      <c r="C904" s="2"/>
      <c r="D904" s="2"/>
      <c r="E904" s="2"/>
      <c r="F904" s="2"/>
      <c r="G904" s="2"/>
      <c r="H904" s="2"/>
      <c r="I904" s="2"/>
      <c r="J904" s="2"/>
      <c r="K904" s="2"/>
      <c r="L904" s="2"/>
      <c r="M904" s="2"/>
      <c r="N904" s="2"/>
      <c r="O904" s="2"/>
    </row>
    <row r="905" spans="1:15" s="3" customFormat="1">
      <c r="A905" s="4"/>
      <c r="C905" s="2"/>
      <c r="D905" s="2"/>
      <c r="E905" s="2"/>
      <c r="F905" s="2"/>
      <c r="G905" s="2"/>
      <c r="H905" s="2"/>
      <c r="I905" s="2"/>
      <c r="J905" s="2"/>
      <c r="K905" s="2"/>
      <c r="L905" s="2"/>
      <c r="M905" s="2"/>
      <c r="N905" s="2"/>
      <c r="O905" s="2"/>
    </row>
    <row r="906" spans="1:15" s="3" customFormat="1">
      <c r="A906" s="4"/>
      <c r="C906" s="2"/>
      <c r="D906" s="2"/>
      <c r="E906" s="2"/>
      <c r="F906" s="2"/>
      <c r="G906" s="2"/>
      <c r="H906" s="2"/>
      <c r="I906" s="2"/>
      <c r="J906" s="2"/>
      <c r="K906" s="2"/>
      <c r="L906" s="2"/>
      <c r="M906" s="2"/>
      <c r="N906" s="2"/>
      <c r="O906" s="2"/>
    </row>
    <row r="907" spans="1:15" s="3" customFormat="1">
      <c r="A907" s="4"/>
      <c r="C907" s="2"/>
      <c r="D907" s="2"/>
      <c r="E907" s="2"/>
      <c r="F907" s="2"/>
      <c r="G907" s="2"/>
      <c r="H907" s="2"/>
      <c r="I907" s="2"/>
      <c r="J907" s="2"/>
      <c r="K907" s="2"/>
      <c r="L907" s="2"/>
      <c r="M907" s="2"/>
      <c r="N907" s="2"/>
      <c r="O907" s="2"/>
    </row>
    <row r="908" spans="1:15" s="3" customFormat="1">
      <c r="A908" s="4"/>
      <c r="C908" s="2"/>
      <c r="D908" s="2"/>
      <c r="E908" s="2"/>
      <c r="F908" s="2"/>
      <c r="G908" s="2"/>
      <c r="H908" s="2"/>
      <c r="I908" s="2"/>
      <c r="J908" s="2"/>
      <c r="K908" s="2"/>
      <c r="L908" s="2"/>
      <c r="M908" s="2"/>
      <c r="N908" s="2"/>
      <c r="O908" s="2"/>
    </row>
    <row r="909" spans="1:15" s="3" customFormat="1">
      <c r="A909" s="4"/>
      <c r="C909" s="2"/>
      <c r="D909" s="2"/>
      <c r="E909" s="2"/>
      <c r="F909" s="2"/>
      <c r="G909" s="2"/>
      <c r="H909" s="2"/>
      <c r="I909" s="2"/>
      <c r="J909" s="2"/>
      <c r="K909" s="2"/>
      <c r="L909" s="2"/>
      <c r="M909" s="2"/>
      <c r="N909" s="2"/>
      <c r="O909" s="2"/>
    </row>
    <row r="910" spans="1:15" s="3" customFormat="1">
      <c r="A910" s="4"/>
      <c r="C910" s="2"/>
      <c r="D910" s="2"/>
      <c r="E910" s="2"/>
      <c r="F910" s="2"/>
      <c r="G910" s="2"/>
      <c r="H910" s="2"/>
      <c r="I910" s="2"/>
      <c r="J910" s="2"/>
      <c r="K910" s="2"/>
      <c r="L910" s="2"/>
      <c r="M910" s="2"/>
      <c r="N910" s="2"/>
      <c r="O910" s="2"/>
    </row>
    <row r="911" spans="1:15" s="3" customFormat="1">
      <c r="A911" s="4"/>
      <c r="C911" s="2"/>
      <c r="D911" s="2"/>
      <c r="E911" s="2"/>
      <c r="F911" s="2"/>
      <c r="G911" s="2"/>
      <c r="H911" s="2"/>
      <c r="I911" s="2"/>
      <c r="J911" s="2"/>
      <c r="K911" s="2"/>
      <c r="L911" s="2"/>
      <c r="M911" s="2"/>
      <c r="N911" s="2"/>
      <c r="O911" s="2"/>
    </row>
    <row r="912" spans="1:15" s="3" customFormat="1">
      <c r="A912" s="4"/>
      <c r="C912" s="2"/>
      <c r="D912" s="2"/>
      <c r="E912" s="2"/>
      <c r="F912" s="2"/>
      <c r="G912" s="2"/>
      <c r="H912" s="2"/>
      <c r="I912" s="2"/>
      <c r="J912" s="2"/>
      <c r="K912" s="2"/>
      <c r="L912" s="2"/>
      <c r="M912" s="2"/>
      <c r="N912" s="2"/>
      <c r="O912" s="2"/>
    </row>
    <row r="913" spans="1:15" s="3" customFormat="1">
      <c r="A913" s="4"/>
      <c r="C913" s="2"/>
      <c r="D913" s="2"/>
      <c r="E913" s="2"/>
      <c r="F913" s="2"/>
      <c r="G913" s="2"/>
      <c r="H913" s="2"/>
      <c r="I913" s="2"/>
      <c r="J913" s="2"/>
      <c r="K913" s="2"/>
      <c r="L913" s="2"/>
      <c r="M913" s="2"/>
      <c r="N913" s="2"/>
      <c r="O913" s="2"/>
    </row>
    <row r="914" spans="1:15" s="3" customFormat="1">
      <c r="A914" s="4"/>
      <c r="C914" s="2"/>
      <c r="D914" s="2"/>
      <c r="E914" s="2"/>
      <c r="F914" s="2"/>
      <c r="G914" s="2"/>
      <c r="H914" s="2"/>
      <c r="I914" s="2"/>
      <c r="J914" s="2"/>
      <c r="K914" s="2"/>
      <c r="L914" s="2"/>
      <c r="M914" s="2"/>
      <c r="N914" s="2"/>
      <c r="O914" s="2"/>
    </row>
    <row r="915" spans="1:15" s="3" customFormat="1">
      <c r="A915" s="4"/>
      <c r="C915" s="2"/>
      <c r="D915" s="2"/>
      <c r="E915" s="2"/>
      <c r="F915" s="2"/>
      <c r="G915" s="2"/>
      <c r="H915" s="2"/>
      <c r="I915" s="2"/>
      <c r="J915" s="2"/>
      <c r="K915" s="2"/>
      <c r="L915" s="2"/>
      <c r="M915" s="2"/>
      <c r="N915" s="2"/>
      <c r="O915" s="2"/>
    </row>
    <row r="916" spans="1:15" s="3" customFormat="1">
      <c r="A916" s="4"/>
      <c r="C916" s="2"/>
      <c r="D916" s="2"/>
      <c r="E916" s="2"/>
      <c r="F916" s="2"/>
      <c r="G916" s="2"/>
      <c r="H916" s="2"/>
      <c r="I916" s="2"/>
      <c r="J916" s="2"/>
      <c r="K916" s="2"/>
      <c r="L916" s="2"/>
      <c r="M916" s="2"/>
      <c r="N916" s="2"/>
      <c r="O916" s="2"/>
    </row>
    <row r="917" spans="1:15" s="3" customFormat="1">
      <c r="A917" s="4"/>
      <c r="C917" s="2"/>
      <c r="D917" s="2"/>
      <c r="E917" s="2"/>
      <c r="F917" s="2"/>
      <c r="G917" s="2"/>
      <c r="H917" s="2"/>
      <c r="I917" s="2"/>
      <c r="J917" s="2"/>
      <c r="K917" s="2"/>
      <c r="L917" s="2"/>
      <c r="M917" s="2"/>
      <c r="N917" s="2"/>
      <c r="O917" s="2"/>
    </row>
    <row r="918" spans="1:15" s="3" customFormat="1">
      <c r="A918" s="4"/>
      <c r="C918" s="2"/>
      <c r="D918" s="2"/>
      <c r="E918" s="2"/>
      <c r="F918" s="2"/>
      <c r="G918" s="2"/>
      <c r="H918" s="2"/>
      <c r="I918" s="2"/>
      <c r="J918" s="2"/>
      <c r="K918" s="2"/>
      <c r="L918" s="2"/>
      <c r="M918" s="2"/>
      <c r="N918" s="2"/>
      <c r="O918" s="2"/>
    </row>
    <row r="919" spans="1:15" s="3" customFormat="1">
      <c r="A919" s="4"/>
      <c r="C919" s="2"/>
      <c r="D919" s="2"/>
      <c r="E919" s="2"/>
      <c r="F919" s="2"/>
      <c r="G919" s="2"/>
      <c r="H919" s="2"/>
      <c r="I919" s="2"/>
      <c r="J919" s="2"/>
      <c r="K919" s="2"/>
      <c r="L919" s="2"/>
      <c r="M919" s="2"/>
      <c r="N919" s="2"/>
      <c r="O919" s="2"/>
    </row>
    <row r="920" spans="1:15" s="3" customFormat="1">
      <c r="A920" s="4"/>
      <c r="C920" s="2"/>
      <c r="D920" s="2"/>
      <c r="E920" s="2"/>
      <c r="F920" s="2"/>
      <c r="G920" s="2"/>
      <c r="H920" s="2"/>
      <c r="I920" s="2"/>
      <c r="J920" s="2"/>
      <c r="K920" s="2"/>
      <c r="L920" s="2"/>
      <c r="M920" s="2"/>
      <c r="N920" s="2"/>
      <c r="O920" s="2"/>
    </row>
    <row r="921" spans="1:15" s="3" customFormat="1">
      <c r="A921" s="4"/>
      <c r="C921" s="2"/>
      <c r="D921" s="2"/>
      <c r="E921" s="2"/>
      <c r="F921" s="2"/>
      <c r="G921" s="2"/>
      <c r="H921" s="2"/>
      <c r="I921" s="2"/>
      <c r="J921" s="2"/>
      <c r="K921" s="2"/>
      <c r="L921" s="2"/>
      <c r="M921" s="2"/>
      <c r="N921" s="2"/>
      <c r="O921" s="2"/>
    </row>
    <row r="922" spans="1:15" s="3" customFormat="1">
      <c r="A922" s="4"/>
      <c r="C922" s="2"/>
      <c r="D922" s="2"/>
      <c r="E922" s="2"/>
      <c r="F922" s="2"/>
      <c r="G922" s="2"/>
      <c r="H922" s="2"/>
      <c r="I922" s="2"/>
      <c r="J922" s="2"/>
      <c r="K922" s="2"/>
      <c r="L922" s="2"/>
      <c r="M922" s="2"/>
      <c r="N922" s="2"/>
      <c r="O922" s="2"/>
    </row>
    <row r="923" spans="1:15" s="3" customFormat="1">
      <c r="A923" s="4"/>
      <c r="C923" s="2"/>
      <c r="D923" s="2"/>
      <c r="E923" s="2"/>
      <c r="F923" s="2"/>
      <c r="G923" s="2"/>
      <c r="H923" s="2"/>
      <c r="I923" s="2"/>
      <c r="J923" s="2"/>
      <c r="K923" s="2"/>
      <c r="L923" s="2"/>
      <c r="M923" s="2"/>
      <c r="N923" s="2"/>
      <c r="O923" s="2"/>
    </row>
    <row r="924" spans="1:15" s="3" customFormat="1">
      <c r="A924" s="4"/>
      <c r="C924" s="2"/>
      <c r="D924" s="2"/>
      <c r="E924" s="2"/>
      <c r="F924" s="2"/>
      <c r="G924" s="2"/>
      <c r="H924" s="2"/>
      <c r="I924" s="2"/>
      <c r="J924" s="2"/>
      <c r="K924" s="2"/>
      <c r="L924" s="2"/>
      <c r="M924" s="2"/>
      <c r="N924" s="2"/>
      <c r="O924" s="2"/>
    </row>
    <row r="925" spans="1:15" s="3" customFormat="1">
      <c r="A925" s="4"/>
      <c r="C925" s="2"/>
      <c r="D925" s="2"/>
      <c r="E925" s="2"/>
      <c r="F925" s="2"/>
      <c r="G925" s="2"/>
      <c r="H925" s="2"/>
      <c r="I925" s="2"/>
      <c r="J925" s="2"/>
      <c r="K925" s="2"/>
      <c r="L925" s="2"/>
      <c r="M925" s="2"/>
      <c r="N925" s="2"/>
      <c r="O925" s="2"/>
    </row>
    <row r="926" spans="1:15" s="3" customFormat="1">
      <c r="A926" s="4"/>
      <c r="C926" s="2"/>
      <c r="D926" s="2"/>
      <c r="E926" s="2"/>
      <c r="F926" s="2"/>
      <c r="G926" s="2"/>
      <c r="H926" s="2"/>
      <c r="I926" s="2"/>
      <c r="J926" s="2"/>
      <c r="K926" s="2"/>
      <c r="L926" s="2"/>
      <c r="M926" s="2"/>
      <c r="N926" s="2"/>
      <c r="O926" s="2"/>
    </row>
    <row r="927" spans="1:15" s="3" customFormat="1">
      <c r="A927" s="4"/>
      <c r="C927" s="2"/>
      <c r="D927" s="2"/>
      <c r="E927" s="2"/>
      <c r="F927" s="2"/>
      <c r="G927" s="2"/>
      <c r="H927" s="2"/>
      <c r="I927" s="2"/>
      <c r="J927" s="2"/>
      <c r="K927" s="2"/>
      <c r="L927" s="2"/>
      <c r="M927" s="2"/>
      <c r="N927" s="2"/>
      <c r="O927" s="2"/>
    </row>
    <row r="928" spans="1:15" s="3" customFormat="1">
      <c r="A928" s="4"/>
      <c r="C928" s="2"/>
      <c r="D928" s="2"/>
      <c r="E928" s="2"/>
      <c r="F928" s="2"/>
      <c r="G928" s="2"/>
      <c r="H928" s="2"/>
      <c r="I928" s="2"/>
      <c r="J928" s="2"/>
      <c r="K928" s="2"/>
      <c r="L928" s="2"/>
      <c r="M928" s="2"/>
      <c r="N928" s="2"/>
      <c r="O928" s="2"/>
    </row>
    <row r="929" spans="1:15" s="3" customFormat="1">
      <c r="A929" s="4"/>
      <c r="C929" s="2"/>
      <c r="D929" s="2"/>
      <c r="E929" s="2"/>
      <c r="F929" s="2"/>
      <c r="G929" s="2"/>
      <c r="H929" s="2"/>
      <c r="I929" s="2"/>
      <c r="J929" s="2"/>
      <c r="K929" s="2"/>
      <c r="L929" s="2"/>
      <c r="M929" s="2"/>
      <c r="N929" s="2"/>
      <c r="O929" s="2"/>
    </row>
    <row r="930" spans="1:15" s="3" customFormat="1">
      <c r="A930" s="4"/>
      <c r="C930" s="2"/>
      <c r="D930" s="2"/>
      <c r="E930" s="2"/>
      <c r="F930" s="2"/>
      <c r="G930" s="2"/>
      <c r="H930" s="2"/>
      <c r="I930" s="2"/>
      <c r="J930" s="2"/>
      <c r="K930" s="2"/>
      <c r="L930" s="2"/>
      <c r="M930" s="2"/>
      <c r="N930" s="2"/>
      <c r="O930" s="2"/>
    </row>
    <row r="931" spans="1:15" s="3" customFormat="1">
      <c r="A931" s="4"/>
      <c r="C931" s="2"/>
      <c r="D931" s="2"/>
      <c r="E931" s="2"/>
      <c r="F931" s="2"/>
      <c r="G931" s="2"/>
      <c r="H931" s="2"/>
      <c r="I931" s="2"/>
      <c r="J931" s="2"/>
      <c r="K931" s="2"/>
      <c r="L931" s="2"/>
      <c r="M931" s="2"/>
      <c r="N931" s="2"/>
      <c r="O931" s="2"/>
    </row>
    <row r="932" spans="1:15" s="3" customFormat="1">
      <c r="A932" s="4"/>
      <c r="C932" s="2"/>
      <c r="D932" s="2"/>
      <c r="E932" s="2"/>
      <c r="F932" s="2"/>
      <c r="G932" s="2"/>
      <c r="H932" s="2"/>
      <c r="I932" s="2"/>
      <c r="J932" s="2"/>
      <c r="K932" s="2"/>
      <c r="L932" s="2"/>
      <c r="M932" s="2"/>
      <c r="N932" s="2"/>
      <c r="O932" s="2"/>
    </row>
    <row r="933" spans="1:15" s="3" customFormat="1">
      <c r="A933" s="4"/>
      <c r="C933" s="2"/>
      <c r="D933" s="2"/>
      <c r="E933" s="2"/>
      <c r="F933" s="2"/>
      <c r="G933" s="2"/>
      <c r="H933" s="2"/>
      <c r="I933" s="2"/>
      <c r="J933" s="2"/>
      <c r="K933" s="2"/>
      <c r="L933" s="2"/>
      <c r="M933" s="2"/>
      <c r="N933" s="2"/>
      <c r="O933" s="2"/>
    </row>
    <row r="934" spans="1:15" s="3" customFormat="1">
      <c r="A934" s="4"/>
      <c r="C934" s="2"/>
      <c r="D934" s="2"/>
      <c r="E934" s="2"/>
      <c r="F934" s="2"/>
      <c r="G934" s="2"/>
      <c r="H934" s="2"/>
      <c r="I934" s="2"/>
      <c r="J934" s="2"/>
      <c r="K934" s="2"/>
      <c r="L934" s="2"/>
      <c r="M934" s="2"/>
      <c r="N934" s="2"/>
      <c r="O934" s="2"/>
    </row>
    <row r="935" spans="1:15" s="3" customFormat="1">
      <c r="A935" s="4"/>
      <c r="C935" s="2"/>
      <c r="D935" s="2"/>
      <c r="E935" s="2"/>
      <c r="F935" s="2"/>
      <c r="G935" s="2"/>
      <c r="H935" s="2"/>
      <c r="I935" s="2"/>
      <c r="J935" s="2"/>
      <c r="K935" s="2"/>
      <c r="L935" s="2"/>
      <c r="M935" s="2"/>
      <c r="N935" s="2"/>
      <c r="O935" s="2"/>
    </row>
    <row r="936" spans="1:15" s="3" customFormat="1">
      <c r="A936" s="4"/>
      <c r="C936" s="2"/>
      <c r="D936" s="2"/>
      <c r="E936" s="2"/>
      <c r="F936" s="2"/>
      <c r="G936" s="2"/>
      <c r="H936" s="2"/>
      <c r="I936" s="2"/>
      <c r="J936" s="2"/>
      <c r="K936" s="2"/>
      <c r="L936" s="2"/>
      <c r="M936" s="2"/>
      <c r="N936" s="2"/>
      <c r="O936" s="2"/>
    </row>
    <row r="937" spans="1:15" s="3" customFormat="1">
      <c r="A937" s="4"/>
      <c r="C937" s="2"/>
      <c r="D937" s="2"/>
      <c r="E937" s="2"/>
      <c r="F937" s="2"/>
      <c r="G937" s="2"/>
      <c r="H937" s="2"/>
      <c r="I937" s="2"/>
      <c r="J937" s="2"/>
      <c r="K937" s="2"/>
      <c r="L937" s="2"/>
      <c r="M937" s="2"/>
      <c r="N937" s="2"/>
      <c r="O937" s="2"/>
    </row>
    <row r="938" spans="1:15" s="3" customFormat="1">
      <c r="A938" s="4"/>
      <c r="C938" s="2"/>
      <c r="D938" s="2"/>
      <c r="E938" s="2"/>
      <c r="F938" s="2"/>
      <c r="G938" s="2"/>
      <c r="H938" s="2"/>
      <c r="I938" s="2"/>
      <c r="J938" s="2"/>
      <c r="K938" s="2"/>
      <c r="L938" s="2"/>
      <c r="M938" s="2"/>
      <c r="N938" s="2"/>
      <c r="O938" s="2"/>
    </row>
    <row r="939" spans="1:15" s="3" customFormat="1">
      <c r="A939" s="4"/>
      <c r="C939" s="2"/>
      <c r="D939" s="2"/>
      <c r="E939" s="2"/>
      <c r="F939" s="2"/>
      <c r="G939" s="2"/>
      <c r="H939" s="2"/>
      <c r="I939" s="2"/>
      <c r="J939" s="2"/>
      <c r="K939" s="2"/>
      <c r="L939" s="2"/>
      <c r="M939" s="2"/>
      <c r="N939" s="2"/>
      <c r="O939" s="2"/>
    </row>
    <row r="940" spans="1:15" s="3" customFormat="1">
      <c r="A940" s="4"/>
      <c r="C940" s="2"/>
      <c r="D940" s="2"/>
      <c r="E940" s="2"/>
      <c r="F940" s="2"/>
      <c r="G940" s="2"/>
      <c r="H940" s="2"/>
      <c r="I940" s="2"/>
      <c r="J940" s="2"/>
      <c r="K940" s="2"/>
      <c r="L940" s="2"/>
      <c r="M940" s="2"/>
      <c r="N940" s="2"/>
      <c r="O940" s="2"/>
    </row>
    <row r="941" spans="1:15" s="3" customFormat="1">
      <c r="A941" s="4"/>
      <c r="C941" s="2"/>
      <c r="D941" s="2"/>
      <c r="E941" s="2"/>
      <c r="F941" s="2"/>
      <c r="G941" s="2"/>
      <c r="H941" s="2"/>
      <c r="I941" s="2"/>
      <c r="J941" s="2"/>
      <c r="K941" s="2"/>
      <c r="L941" s="2"/>
      <c r="M941" s="2"/>
      <c r="N941" s="2"/>
      <c r="O941" s="2"/>
    </row>
    <row r="942" spans="1:15" s="3" customFormat="1">
      <c r="A942" s="4"/>
      <c r="C942" s="2"/>
      <c r="D942" s="2"/>
      <c r="E942" s="2"/>
      <c r="F942" s="2"/>
      <c r="G942" s="2"/>
      <c r="H942" s="2"/>
      <c r="I942" s="2"/>
      <c r="J942" s="2"/>
      <c r="K942" s="2"/>
      <c r="L942" s="2"/>
      <c r="M942" s="2"/>
      <c r="N942" s="2"/>
      <c r="O942" s="2"/>
    </row>
    <row r="943" spans="1:15" s="3" customFormat="1">
      <c r="A943" s="4"/>
      <c r="C943" s="2"/>
      <c r="D943" s="2"/>
      <c r="E943" s="2"/>
      <c r="F943" s="2"/>
      <c r="G943" s="2"/>
      <c r="H943" s="2"/>
      <c r="I943" s="2"/>
      <c r="J943" s="2"/>
      <c r="K943" s="2"/>
      <c r="L943" s="2"/>
      <c r="M943" s="2"/>
      <c r="N943" s="2"/>
      <c r="O943" s="2"/>
    </row>
    <row r="944" spans="1:15" s="3" customFormat="1">
      <c r="A944" s="4"/>
      <c r="C944" s="2"/>
      <c r="D944" s="2"/>
      <c r="E944" s="2"/>
      <c r="F944" s="2"/>
      <c r="G944" s="2"/>
      <c r="H944" s="2"/>
      <c r="I944" s="2"/>
      <c r="J944" s="2"/>
      <c r="K944" s="2"/>
      <c r="L944" s="2"/>
      <c r="M944" s="2"/>
      <c r="N944" s="2"/>
      <c r="O944" s="2"/>
    </row>
    <row r="945" spans="1:15" s="3" customFormat="1">
      <c r="A945" s="4"/>
      <c r="C945" s="2"/>
      <c r="D945" s="2"/>
      <c r="E945" s="2"/>
      <c r="F945" s="2"/>
      <c r="G945" s="2"/>
      <c r="H945" s="2"/>
      <c r="I945" s="2"/>
      <c r="J945" s="2"/>
      <c r="K945" s="2"/>
      <c r="L945" s="2"/>
      <c r="M945" s="2"/>
      <c r="N945" s="2"/>
      <c r="O945" s="2"/>
    </row>
    <row r="946" spans="1:15" s="3" customFormat="1">
      <c r="A946" s="4"/>
      <c r="C946" s="2"/>
      <c r="D946" s="2"/>
      <c r="E946" s="2"/>
      <c r="F946" s="2"/>
      <c r="G946" s="2"/>
      <c r="H946" s="2"/>
      <c r="I946" s="2"/>
      <c r="J946" s="2"/>
      <c r="K946" s="2"/>
      <c r="L946" s="2"/>
      <c r="M946" s="2"/>
      <c r="N946" s="2"/>
      <c r="O946" s="2"/>
    </row>
    <row r="947" spans="1:15" s="3" customFormat="1">
      <c r="A947" s="4"/>
      <c r="C947" s="2"/>
      <c r="D947" s="2"/>
      <c r="E947" s="2"/>
      <c r="F947" s="2"/>
      <c r="G947" s="2"/>
      <c r="H947" s="2"/>
      <c r="I947" s="2"/>
      <c r="J947" s="2"/>
      <c r="K947" s="2"/>
      <c r="L947" s="2"/>
      <c r="M947" s="2"/>
      <c r="N947" s="2"/>
      <c r="O947" s="2"/>
    </row>
    <row r="948" spans="1:15" s="3" customFormat="1">
      <c r="A948" s="4"/>
      <c r="C948" s="2"/>
      <c r="D948" s="2"/>
      <c r="E948" s="2"/>
      <c r="F948" s="2"/>
      <c r="G948" s="2"/>
      <c r="H948" s="2"/>
      <c r="I948" s="2"/>
      <c r="J948" s="2"/>
      <c r="K948" s="2"/>
      <c r="L948" s="2"/>
      <c r="M948" s="2"/>
      <c r="N948" s="2"/>
      <c r="O948" s="2"/>
    </row>
    <row r="949" spans="1:15" s="3" customFormat="1">
      <c r="A949" s="4"/>
      <c r="C949" s="2"/>
      <c r="D949" s="2"/>
      <c r="E949" s="2"/>
      <c r="F949" s="2"/>
      <c r="G949" s="2"/>
      <c r="H949" s="2"/>
      <c r="I949" s="2"/>
      <c r="J949" s="2"/>
      <c r="K949" s="2"/>
      <c r="L949" s="2"/>
      <c r="M949" s="2"/>
      <c r="N949" s="2"/>
      <c r="O949" s="2"/>
    </row>
    <row r="950" spans="1:15" s="3" customFormat="1">
      <c r="A950" s="4"/>
      <c r="C950" s="2"/>
      <c r="D950" s="2"/>
      <c r="E950" s="2"/>
      <c r="F950" s="2"/>
      <c r="G950" s="2"/>
      <c r="H950" s="2"/>
      <c r="I950" s="2"/>
      <c r="J950" s="2"/>
      <c r="K950" s="2"/>
      <c r="L950" s="2"/>
      <c r="M950" s="2"/>
      <c r="N950" s="2"/>
      <c r="O950" s="2"/>
    </row>
    <row r="951" spans="1:15" s="3" customFormat="1">
      <c r="A951" s="4"/>
      <c r="C951" s="2"/>
      <c r="D951" s="2"/>
      <c r="E951" s="2"/>
      <c r="F951" s="2"/>
      <c r="G951" s="2"/>
      <c r="H951" s="2"/>
      <c r="I951" s="2"/>
      <c r="J951" s="2"/>
      <c r="K951" s="2"/>
      <c r="L951" s="2"/>
      <c r="M951" s="2"/>
      <c r="N951" s="2"/>
      <c r="O951" s="2"/>
    </row>
    <row r="952" spans="1:15" s="3" customFormat="1">
      <c r="A952" s="4"/>
      <c r="C952" s="2"/>
      <c r="D952" s="2"/>
      <c r="E952" s="2"/>
      <c r="F952" s="2"/>
      <c r="G952" s="2"/>
      <c r="H952" s="2"/>
      <c r="I952" s="2"/>
      <c r="J952" s="2"/>
      <c r="K952" s="2"/>
      <c r="L952" s="2"/>
      <c r="M952" s="2"/>
      <c r="N952" s="2"/>
      <c r="O952" s="2"/>
    </row>
    <row r="953" spans="1:15" s="3" customFormat="1">
      <c r="A953" s="4"/>
      <c r="C953" s="2"/>
      <c r="D953" s="2"/>
      <c r="E953" s="2"/>
      <c r="F953" s="2"/>
      <c r="G953" s="2"/>
      <c r="H953" s="2"/>
      <c r="I953" s="2"/>
      <c r="J953" s="2"/>
      <c r="K953" s="2"/>
      <c r="L953" s="2"/>
      <c r="M953" s="2"/>
      <c r="N953" s="2"/>
      <c r="O953" s="2"/>
    </row>
    <row r="954" spans="1:15" s="3" customFormat="1">
      <c r="A954" s="4"/>
      <c r="C954" s="2"/>
      <c r="D954" s="2"/>
      <c r="E954" s="2"/>
      <c r="F954" s="2"/>
      <c r="G954" s="2"/>
      <c r="H954" s="2"/>
      <c r="I954" s="2"/>
      <c r="J954" s="2"/>
      <c r="K954" s="2"/>
      <c r="L954" s="2"/>
      <c r="M954" s="2"/>
      <c r="N954" s="2"/>
      <c r="O954" s="2"/>
    </row>
    <row r="955" spans="1:15" s="3" customFormat="1">
      <c r="A955" s="4"/>
      <c r="C955" s="2"/>
      <c r="D955" s="2"/>
      <c r="E955" s="2"/>
      <c r="F955" s="2"/>
      <c r="G955" s="2"/>
      <c r="H955" s="2"/>
      <c r="I955" s="2"/>
      <c r="J955" s="2"/>
      <c r="K955" s="2"/>
      <c r="L955" s="2"/>
      <c r="M955" s="2"/>
      <c r="N955" s="2"/>
      <c r="O955" s="2"/>
    </row>
    <row r="956" spans="1:15" s="3" customFormat="1">
      <c r="A956" s="4"/>
      <c r="C956" s="2"/>
      <c r="D956" s="2"/>
      <c r="E956" s="2"/>
      <c r="F956" s="2"/>
      <c r="G956" s="2"/>
      <c r="H956" s="2"/>
      <c r="I956" s="2"/>
      <c r="J956" s="2"/>
      <c r="K956" s="2"/>
      <c r="L956" s="2"/>
      <c r="M956" s="2"/>
      <c r="N956" s="2"/>
      <c r="O956" s="2"/>
    </row>
    <row r="957" spans="1:15" s="3" customFormat="1">
      <c r="A957" s="4"/>
      <c r="C957" s="2"/>
      <c r="D957" s="2"/>
      <c r="E957" s="2"/>
      <c r="F957" s="2"/>
      <c r="G957" s="2"/>
      <c r="H957" s="2"/>
      <c r="I957" s="2"/>
      <c r="J957" s="2"/>
      <c r="K957" s="2"/>
      <c r="L957" s="2"/>
      <c r="M957" s="2"/>
      <c r="N957" s="2"/>
      <c r="O957" s="2"/>
    </row>
    <row r="958" spans="1:15" s="3" customFormat="1">
      <c r="A958" s="4"/>
      <c r="C958" s="2"/>
      <c r="D958" s="2"/>
      <c r="E958" s="2"/>
      <c r="F958" s="2"/>
      <c r="G958" s="2"/>
      <c r="H958" s="2"/>
      <c r="I958" s="2"/>
      <c r="J958" s="2"/>
      <c r="K958" s="2"/>
      <c r="L958" s="2"/>
      <c r="M958" s="2"/>
      <c r="N958" s="2"/>
      <c r="O958" s="2"/>
    </row>
    <row r="959" spans="1:15" s="3" customFormat="1">
      <c r="A959" s="4"/>
      <c r="C959" s="2"/>
      <c r="D959" s="2"/>
      <c r="E959" s="2"/>
      <c r="F959" s="2"/>
      <c r="G959" s="2"/>
      <c r="H959" s="2"/>
      <c r="I959" s="2"/>
      <c r="J959" s="2"/>
      <c r="K959" s="2"/>
      <c r="L959" s="2"/>
      <c r="M959" s="2"/>
      <c r="N959" s="2"/>
      <c r="O959" s="2"/>
    </row>
    <row r="960" spans="1:15" s="3" customFormat="1">
      <c r="A960" s="4"/>
      <c r="C960" s="2"/>
      <c r="D960" s="2"/>
      <c r="E960" s="2"/>
      <c r="F960" s="2"/>
      <c r="G960" s="2"/>
      <c r="H960" s="2"/>
      <c r="I960" s="2"/>
      <c r="J960" s="2"/>
      <c r="K960" s="2"/>
      <c r="L960" s="2"/>
      <c r="M960" s="2"/>
      <c r="N960" s="2"/>
      <c r="O960" s="2"/>
    </row>
    <row r="961" spans="1:15" s="3" customFormat="1">
      <c r="A961" s="4"/>
      <c r="C961" s="2"/>
      <c r="D961" s="2"/>
      <c r="E961" s="2"/>
      <c r="F961" s="2"/>
      <c r="G961" s="2"/>
      <c r="H961" s="2"/>
      <c r="I961" s="2"/>
      <c r="J961" s="2"/>
      <c r="K961" s="2"/>
      <c r="L961" s="2"/>
      <c r="M961" s="2"/>
      <c r="N961" s="2"/>
      <c r="O961" s="2"/>
    </row>
    <row r="962" spans="1:15" s="3" customFormat="1">
      <c r="A962" s="4"/>
      <c r="C962" s="2"/>
      <c r="D962" s="2"/>
      <c r="E962" s="2"/>
      <c r="F962" s="2"/>
      <c r="G962" s="2"/>
      <c r="H962" s="2"/>
      <c r="I962" s="2"/>
      <c r="J962" s="2"/>
      <c r="K962" s="2"/>
      <c r="L962" s="2"/>
      <c r="M962" s="2"/>
      <c r="N962" s="2"/>
      <c r="O962" s="2"/>
    </row>
    <row r="963" spans="1:15" s="3" customFormat="1">
      <c r="A963" s="4"/>
      <c r="C963" s="2"/>
      <c r="D963" s="2"/>
      <c r="E963" s="2"/>
      <c r="F963" s="2"/>
      <c r="G963" s="2"/>
      <c r="H963" s="2"/>
      <c r="I963" s="2"/>
      <c r="J963" s="2"/>
      <c r="K963" s="2"/>
      <c r="L963" s="2"/>
      <c r="M963" s="2"/>
      <c r="N963" s="2"/>
      <c r="O963" s="2"/>
    </row>
    <row r="964" spans="1:15" s="3" customFormat="1">
      <c r="A964" s="4"/>
      <c r="C964" s="2"/>
      <c r="D964" s="2"/>
      <c r="E964" s="2"/>
      <c r="F964" s="2"/>
      <c r="G964" s="2"/>
      <c r="H964" s="2"/>
      <c r="I964" s="2"/>
      <c r="J964" s="2"/>
      <c r="K964" s="2"/>
      <c r="L964" s="2"/>
      <c r="M964" s="2"/>
      <c r="N964" s="2"/>
      <c r="O964" s="2"/>
    </row>
    <row r="965" spans="1:15" s="3" customFormat="1">
      <c r="A965" s="4"/>
      <c r="C965" s="2"/>
      <c r="D965" s="2"/>
      <c r="E965" s="2"/>
      <c r="F965" s="2"/>
      <c r="G965" s="2"/>
      <c r="H965" s="2"/>
      <c r="I965" s="2"/>
      <c r="J965" s="2"/>
      <c r="K965" s="2"/>
      <c r="L965" s="2"/>
      <c r="M965" s="2"/>
      <c r="N965" s="2"/>
      <c r="O965" s="2"/>
    </row>
    <row r="966" spans="1:15" s="3" customFormat="1">
      <c r="A966" s="4"/>
      <c r="C966" s="2"/>
      <c r="D966" s="2"/>
      <c r="E966" s="2"/>
      <c r="F966" s="2"/>
      <c r="G966" s="2"/>
      <c r="H966" s="2"/>
      <c r="I966" s="2"/>
      <c r="J966" s="2"/>
      <c r="K966" s="2"/>
      <c r="L966" s="2"/>
      <c r="M966" s="2"/>
      <c r="N966" s="2"/>
      <c r="O966" s="2"/>
    </row>
    <row r="967" spans="1:15" s="3" customFormat="1">
      <c r="A967" s="4"/>
      <c r="C967" s="2"/>
      <c r="D967" s="2"/>
      <c r="E967" s="2"/>
      <c r="F967" s="2"/>
      <c r="G967" s="2"/>
      <c r="H967" s="2"/>
      <c r="I967" s="2"/>
      <c r="J967" s="2"/>
      <c r="K967" s="2"/>
      <c r="L967" s="2"/>
      <c r="M967" s="2"/>
      <c r="N967" s="2"/>
      <c r="O967" s="2"/>
    </row>
    <row r="968" spans="1:15" s="3" customFormat="1">
      <c r="A968" s="4"/>
      <c r="C968" s="2"/>
      <c r="D968" s="2"/>
      <c r="E968" s="2"/>
      <c r="F968" s="2"/>
      <c r="G968" s="2"/>
      <c r="H968" s="2"/>
      <c r="I968" s="2"/>
      <c r="J968" s="2"/>
      <c r="K968" s="2"/>
      <c r="L968" s="2"/>
      <c r="M968" s="2"/>
      <c r="N968" s="2"/>
      <c r="O968" s="2"/>
    </row>
    <row r="969" spans="1:15" s="3" customFormat="1">
      <c r="A969" s="4"/>
      <c r="C969" s="2"/>
      <c r="D969" s="2"/>
      <c r="E969" s="2"/>
      <c r="F969" s="2"/>
      <c r="G969" s="2"/>
      <c r="H969" s="2"/>
      <c r="I969" s="2"/>
      <c r="J969" s="2"/>
      <c r="K969" s="2"/>
      <c r="L969" s="2"/>
      <c r="M969" s="2"/>
      <c r="N969" s="2"/>
      <c r="O969" s="2"/>
    </row>
    <row r="970" spans="1:15" s="3" customFormat="1">
      <c r="A970" s="4"/>
      <c r="C970" s="2"/>
      <c r="D970" s="2"/>
      <c r="E970" s="2"/>
      <c r="F970" s="2"/>
      <c r="G970" s="2"/>
      <c r="H970" s="2"/>
      <c r="I970" s="2"/>
      <c r="J970" s="2"/>
      <c r="K970" s="2"/>
      <c r="L970" s="2"/>
      <c r="M970" s="2"/>
      <c r="N970" s="2"/>
      <c r="O970" s="2"/>
    </row>
    <row r="971" spans="1:15" s="3" customFormat="1">
      <c r="A971" s="4"/>
      <c r="C971" s="2"/>
      <c r="D971" s="2"/>
      <c r="E971" s="2"/>
      <c r="F971" s="2"/>
      <c r="G971" s="2"/>
      <c r="H971" s="2"/>
      <c r="I971" s="2"/>
      <c r="J971" s="2"/>
      <c r="K971" s="2"/>
      <c r="L971" s="2"/>
      <c r="M971" s="2"/>
      <c r="N971" s="2"/>
      <c r="O971" s="2"/>
    </row>
    <row r="972" spans="1:15" s="3" customFormat="1">
      <c r="A972" s="4"/>
      <c r="C972" s="2"/>
      <c r="D972" s="2"/>
      <c r="E972" s="2"/>
      <c r="F972" s="2"/>
      <c r="G972" s="2"/>
      <c r="H972" s="2"/>
      <c r="I972" s="2"/>
      <c r="J972" s="2"/>
      <c r="K972" s="2"/>
      <c r="L972" s="2"/>
      <c r="M972" s="2"/>
      <c r="N972" s="2"/>
      <c r="O972" s="2"/>
    </row>
    <row r="973" spans="1:15" s="3" customFormat="1">
      <c r="A973" s="4"/>
      <c r="C973" s="2"/>
      <c r="D973" s="2"/>
      <c r="E973" s="2"/>
      <c r="F973" s="2"/>
      <c r="G973" s="2"/>
      <c r="H973" s="2"/>
      <c r="I973" s="2"/>
      <c r="J973" s="2"/>
      <c r="K973" s="2"/>
      <c r="L973" s="2"/>
      <c r="M973" s="2"/>
      <c r="N973" s="2"/>
      <c r="O973" s="2"/>
    </row>
    <row r="974" spans="1:15" s="3" customFormat="1">
      <c r="A974" s="4"/>
      <c r="C974" s="2"/>
      <c r="D974" s="2"/>
      <c r="E974" s="2"/>
      <c r="F974" s="2"/>
      <c r="G974" s="2"/>
      <c r="H974" s="2"/>
      <c r="I974" s="2"/>
      <c r="J974" s="2"/>
      <c r="K974" s="2"/>
      <c r="L974" s="2"/>
      <c r="M974" s="2"/>
      <c r="N974" s="2"/>
      <c r="O974" s="2"/>
    </row>
    <row r="975" spans="1:15" s="3" customFormat="1">
      <c r="A975" s="4"/>
      <c r="C975" s="2"/>
      <c r="D975" s="2"/>
      <c r="E975" s="2"/>
      <c r="F975" s="2"/>
      <c r="G975" s="2"/>
      <c r="H975" s="2"/>
      <c r="I975" s="2"/>
      <c r="J975" s="2"/>
      <c r="K975" s="2"/>
      <c r="L975" s="2"/>
      <c r="M975" s="2"/>
      <c r="N975" s="2"/>
      <c r="O975" s="2"/>
    </row>
    <row r="976" spans="1:15" s="3" customFormat="1">
      <c r="A976" s="4"/>
      <c r="C976" s="2"/>
      <c r="D976" s="2"/>
      <c r="E976" s="2"/>
      <c r="F976" s="2"/>
      <c r="G976" s="2"/>
      <c r="H976" s="2"/>
      <c r="I976" s="2"/>
      <c r="J976" s="2"/>
      <c r="K976" s="2"/>
      <c r="L976" s="2"/>
      <c r="M976" s="2"/>
      <c r="N976" s="2"/>
      <c r="O976" s="2"/>
    </row>
    <row r="977" spans="1:15" s="3" customFormat="1">
      <c r="A977" s="4"/>
      <c r="C977" s="2"/>
      <c r="D977" s="2"/>
      <c r="E977" s="2"/>
      <c r="F977" s="2"/>
      <c r="G977" s="2"/>
      <c r="H977" s="2"/>
      <c r="I977" s="2"/>
      <c r="J977" s="2"/>
      <c r="K977" s="2"/>
      <c r="L977" s="2"/>
      <c r="M977" s="2"/>
      <c r="N977" s="2"/>
      <c r="O977" s="2"/>
    </row>
    <row r="978" spans="1:15" s="3" customFormat="1">
      <c r="A978" s="4"/>
      <c r="C978" s="2"/>
      <c r="D978" s="2"/>
      <c r="E978" s="2"/>
      <c r="F978" s="2"/>
      <c r="G978" s="2"/>
      <c r="H978" s="2"/>
      <c r="I978" s="2"/>
      <c r="J978" s="2"/>
      <c r="K978" s="2"/>
      <c r="L978" s="2"/>
      <c r="M978" s="2"/>
      <c r="N978" s="2"/>
      <c r="O978" s="2"/>
    </row>
    <row r="979" spans="1:15" s="3" customFormat="1">
      <c r="A979" s="4"/>
      <c r="C979" s="2"/>
      <c r="D979" s="2"/>
      <c r="E979" s="2"/>
      <c r="F979" s="2"/>
      <c r="G979" s="2"/>
      <c r="H979" s="2"/>
      <c r="I979" s="2"/>
      <c r="J979" s="2"/>
      <c r="K979" s="2"/>
      <c r="L979" s="2"/>
      <c r="M979" s="2"/>
      <c r="N979" s="2"/>
      <c r="O979" s="2"/>
    </row>
    <row r="980" spans="1:15" s="3" customFormat="1">
      <c r="A980" s="4"/>
      <c r="C980" s="2"/>
      <c r="D980" s="2"/>
      <c r="E980" s="2"/>
      <c r="F980" s="2"/>
      <c r="G980" s="2"/>
      <c r="H980" s="2"/>
      <c r="I980" s="2"/>
      <c r="J980" s="2"/>
      <c r="K980" s="2"/>
      <c r="L980" s="2"/>
      <c r="M980" s="2"/>
      <c r="N980" s="2"/>
      <c r="O980" s="2"/>
    </row>
    <row r="981" spans="1:15" s="3" customFormat="1">
      <c r="A981" s="4"/>
      <c r="C981" s="2"/>
      <c r="D981" s="2"/>
      <c r="E981" s="2"/>
      <c r="F981" s="2"/>
      <c r="G981" s="2"/>
      <c r="H981" s="2"/>
      <c r="I981" s="2"/>
      <c r="J981" s="2"/>
      <c r="K981" s="2"/>
      <c r="L981" s="2"/>
      <c r="M981" s="2"/>
      <c r="N981" s="2"/>
      <c r="O981" s="2"/>
    </row>
    <row r="982" spans="1:15" s="3" customFormat="1">
      <c r="A982" s="4"/>
      <c r="C982" s="2"/>
      <c r="D982" s="2"/>
      <c r="E982" s="2"/>
      <c r="F982" s="2"/>
      <c r="G982" s="2"/>
      <c r="H982" s="2"/>
      <c r="I982" s="2"/>
      <c r="J982" s="2"/>
      <c r="K982" s="2"/>
      <c r="L982" s="2"/>
      <c r="M982" s="2"/>
      <c r="N982" s="2"/>
      <c r="O982" s="2"/>
    </row>
    <row r="983" spans="1:15" s="3" customFormat="1">
      <c r="A983" s="4"/>
      <c r="C983" s="2"/>
      <c r="D983" s="2"/>
      <c r="E983" s="2"/>
      <c r="F983" s="2"/>
      <c r="G983" s="2"/>
      <c r="H983" s="2"/>
      <c r="I983" s="2"/>
      <c r="J983" s="2"/>
      <c r="K983" s="2"/>
      <c r="L983" s="2"/>
      <c r="M983" s="2"/>
      <c r="N983" s="2"/>
      <c r="O983" s="2"/>
    </row>
    <row r="984" spans="1:15" s="3" customFormat="1">
      <c r="A984" s="4"/>
      <c r="C984" s="2"/>
      <c r="D984" s="2"/>
      <c r="E984" s="2"/>
      <c r="F984" s="2"/>
      <c r="G984" s="2"/>
      <c r="H984" s="2"/>
      <c r="I984" s="2"/>
      <c r="J984" s="2"/>
      <c r="K984" s="2"/>
      <c r="L984" s="2"/>
      <c r="M984" s="2"/>
      <c r="N984" s="2"/>
      <c r="O984" s="2"/>
    </row>
    <row r="985" spans="1:15" s="3" customFormat="1">
      <c r="A985" s="4"/>
      <c r="C985" s="2"/>
      <c r="D985" s="2"/>
      <c r="E985" s="2"/>
      <c r="F985" s="2"/>
      <c r="G985" s="2"/>
      <c r="H985" s="2"/>
      <c r="I985" s="2"/>
      <c r="J985" s="2"/>
      <c r="K985" s="2"/>
      <c r="L985" s="2"/>
      <c r="M985" s="2"/>
      <c r="N985" s="2"/>
      <c r="O985" s="2"/>
    </row>
    <row r="986" spans="1:15" s="3" customFormat="1">
      <c r="A986" s="4"/>
      <c r="C986" s="2"/>
      <c r="D986" s="2"/>
      <c r="E986" s="2"/>
      <c r="F986" s="2"/>
      <c r="G986" s="2"/>
      <c r="H986" s="2"/>
      <c r="I986" s="2"/>
      <c r="J986" s="2"/>
      <c r="K986" s="2"/>
      <c r="L986" s="2"/>
      <c r="M986" s="2"/>
      <c r="N986" s="2"/>
      <c r="O986" s="2"/>
    </row>
    <row r="987" spans="1:15" s="3" customFormat="1">
      <c r="A987" s="4"/>
      <c r="C987" s="2"/>
      <c r="D987" s="2"/>
      <c r="E987" s="2"/>
      <c r="F987" s="2"/>
      <c r="G987" s="2"/>
      <c r="H987" s="2"/>
      <c r="I987" s="2"/>
      <c r="J987" s="2"/>
      <c r="K987" s="2"/>
      <c r="L987" s="2"/>
      <c r="M987" s="2"/>
      <c r="N987" s="2"/>
      <c r="O987" s="2"/>
    </row>
    <row r="988" spans="1:15" s="3" customFormat="1">
      <c r="A988" s="4"/>
      <c r="C988" s="2"/>
      <c r="D988" s="2"/>
      <c r="E988" s="2"/>
      <c r="F988" s="2"/>
      <c r="G988" s="2"/>
      <c r="H988" s="2"/>
      <c r="I988" s="2"/>
      <c r="J988" s="2"/>
      <c r="K988" s="2"/>
      <c r="L988" s="2"/>
      <c r="M988" s="2"/>
      <c r="N988" s="2"/>
      <c r="O988" s="2"/>
    </row>
    <row r="989" spans="1:15" s="3" customFormat="1">
      <c r="A989" s="4"/>
      <c r="C989" s="2"/>
      <c r="D989" s="2"/>
      <c r="E989" s="2"/>
      <c r="F989" s="2"/>
      <c r="G989" s="2"/>
      <c r="H989" s="2"/>
      <c r="I989" s="2"/>
      <c r="J989" s="2"/>
      <c r="K989" s="2"/>
      <c r="L989" s="2"/>
      <c r="M989" s="2"/>
      <c r="N989" s="2"/>
      <c r="O989" s="2"/>
    </row>
    <row r="990" spans="1:15" s="3" customFormat="1">
      <c r="A990" s="4"/>
      <c r="C990" s="2"/>
      <c r="D990" s="2"/>
      <c r="E990" s="2"/>
      <c r="F990" s="2"/>
      <c r="G990" s="2"/>
      <c r="H990" s="2"/>
      <c r="I990" s="2"/>
      <c r="J990" s="2"/>
      <c r="K990" s="2"/>
      <c r="L990" s="2"/>
      <c r="M990" s="2"/>
      <c r="N990" s="2"/>
      <c r="O990" s="2"/>
    </row>
    <row r="991" spans="1:15" s="3" customFormat="1">
      <c r="A991" s="4"/>
      <c r="C991" s="2"/>
      <c r="D991" s="2"/>
      <c r="E991" s="2"/>
      <c r="F991" s="2"/>
      <c r="G991" s="2"/>
      <c r="H991" s="2"/>
      <c r="I991" s="2"/>
      <c r="J991" s="2"/>
      <c r="K991" s="2"/>
      <c r="L991" s="2"/>
      <c r="M991" s="2"/>
      <c r="N991" s="2"/>
      <c r="O991" s="2"/>
    </row>
    <row r="992" spans="1:15" s="3" customFormat="1">
      <c r="A992" s="4"/>
      <c r="C992" s="2"/>
      <c r="D992" s="2"/>
      <c r="E992" s="2"/>
      <c r="F992" s="2"/>
      <c r="G992" s="2"/>
      <c r="H992" s="2"/>
      <c r="I992" s="2"/>
      <c r="J992" s="2"/>
      <c r="K992" s="2"/>
      <c r="L992" s="2"/>
      <c r="M992" s="2"/>
      <c r="N992" s="2"/>
      <c r="O992" s="2"/>
    </row>
    <row r="993" spans="1:15" s="3" customFormat="1">
      <c r="A993" s="4"/>
      <c r="C993" s="2"/>
      <c r="D993" s="2"/>
      <c r="E993" s="2"/>
      <c r="F993" s="2"/>
      <c r="G993" s="2"/>
      <c r="H993" s="2"/>
      <c r="I993" s="2"/>
      <c r="J993" s="2"/>
      <c r="K993" s="2"/>
      <c r="L993" s="2"/>
      <c r="M993" s="2"/>
      <c r="N993" s="2"/>
      <c r="O993" s="2"/>
    </row>
    <row r="994" spans="1:15" s="3" customFormat="1">
      <c r="A994" s="4"/>
      <c r="C994" s="2"/>
      <c r="D994" s="2"/>
      <c r="E994" s="2"/>
      <c r="F994" s="2"/>
      <c r="G994" s="2"/>
      <c r="H994" s="2"/>
      <c r="I994" s="2"/>
      <c r="J994" s="2"/>
      <c r="K994" s="2"/>
      <c r="L994" s="2"/>
      <c r="M994" s="2"/>
      <c r="N994" s="2"/>
      <c r="O994" s="2"/>
    </row>
    <row r="995" spans="1:15" s="3" customFormat="1">
      <c r="A995" s="4"/>
      <c r="C995" s="2"/>
      <c r="D995" s="2"/>
      <c r="E995" s="2"/>
      <c r="F995" s="2"/>
      <c r="G995" s="2"/>
      <c r="H995" s="2"/>
      <c r="I995" s="2"/>
      <c r="J995" s="2"/>
      <c r="K995" s="2"/>
      <c r="L995" s="2"/>
      <c r="M995" s="2"/>
      <c r="N995" s="2"/>
      <c r="O995" s="2"/>
    </row>
    <row r="996" spans="1:15" s="3" customFormat="1">
      <c r="A996" s="4"/>
      <c r="C996" s="2"/>
      <c r="D996" s="2"/>
      <c r="E996" s="2"/>
      <c r="F996" s="2"/>
      <c r="G996" s="2"/>
      <c r="H996" s="2"/>
      <c r="I996" s="2"/>
      <c r="J996" s="2"/>
      <c r="K996" s="2"/>
      <c r="L996" s="2"/>
      <c r="M996" s="2"/>
      <c r="N996" s="2"/>
      <c r="O996" s="2"/>
    </row>
    <row r="997" spans="1:15" s="3" customFormat="1">
      <c r="A997" s="4"/>
      <c r="C997" s="2"/>
      <c r="D997" s="2"/>
      <c r="E997" s="2"/>
      <c r="F997" s="2"/>
      <c r="G997" s="2"/>
      <c r="H997" s="2"/>
      <c r="I997" s="2"/>
      <c r="J997" s="2"/>
      <c r="K997" s="2"/>
      <c r="L997" s="2"/>
      <c r="M997" s="2"/>
      <c r="N997" s="2"/>
      <c r="O997" s="2"/>
    </row>
  </sheetData>
  <mergeCells count="6">
    <mergeCell ref="A286:O286"/>
    <mergeCell ref="A380:O380"/>
    <mergeCell ref="A1:O1"/>
    <mergeCell ref="A2:O2"/>
    <mergeCell ref="A98:O98"/>
    <mergeCell ref="A192:O192"/>
  </mergeCells>
  <phoneticPr fontId="6" type="noConversion"/>
  <pageMargins left="0.75" right="0.75" top="1" bottom="1" header="0.5" footer="0.5"/>
  <pageSetup scale="54" orientation="landscape" r:id="rId1"/>
  <headerFooter alignWithMargins="0"/>
  <rowBreaks count="4" manualBreakCount="4">
    <brk id="97" max="14" man="1"/>
    <brk id="191" max="14" man="1"/>
    <brk id="285" max="14" man="1"/>
    <brk id="379" max="14" man="1"/>
  </rowBreaks>
</worksheet>
</file>

<file path=xl/worksheets/sheet4.xml><?xml version="1.0" encoding="utf-8"?>
<worksheet xmlns="http://schemas.openxmlformats.org/spreadsheetml/2006/main" xmlns:r="http://schemas.openxmlformats.org/officeDocument/2006/relationships">
  <dimension ref="A1:AY998"/>
  <sheetViews>
    <sheetView topLeftCell="A462" zoomScaleNormal="100" workbookViewId="0">
      <selection activeCell="O489" sqref="O489"/>
    </sheetView>
  </sheetViews>
  <sheetFormatPr defaultColWidth="21" defaultRowHeight="12.75"/>
  <cols>
    <col min="1" max="1" width="40.140625" style="180" bestFit="1" customWidth="1"/>
    <col min="2" max="2" width="18.85546875" bestFit="1" customWidth="1"/>
    <col min="3" max="3" width="13" style="5" customWidth="1"/>
    <col min="4" max="4" width="14.140625" style="14" customWidth="1"/>
    <col min="5" max="5" width="12" style="5" customWidth="1"/>
    <col min="6" max="6" width="12" style="14" customWidth="1"/>
    <col min="7" max="7" width="12.5703125" style="5" customWidth="1"/>
    <col min="8" max="8" width="13.7109375" style="14" customWidth="1"/>
    <col min="9" max="9" width="13" style="5" customWidth="1"/>
    <col min="10" max="10" width="12.42578125" style="14" customWidth="1"/>
    <col min="11" max="11" width="12.5703125" style="5" customWidth="1"/>
    <col min="12" max="12" width="12" style="14" customWidth="1"/>
    <col min="13" max="13" width="12.85546875" style="5" bestFit="1" customWidth="1"/>
    <col min="14" max="14" width="12" style="14" customWidth="1"/>
    <col min="15" max="15" width="14.28515625" style="1" bestFit="1" customWidth="1"/>
    <col min="16" max="16" width="15.28515625" customWidth="1"/>
    <col min="17" max="17" width="4.85546875" customWidth="1"/>
    <col min="18" max="20" width="17.7109375" customWidth="1"/>
    <col min="21" max="21" width="16.42578125" customWidth="1"/>
    <col min="22" max="22" width="13.85546875" customWidth="1"/>
    <col min="32" max="34" width="16.42578125" customWidth="1"/>
    <col min="35" max="35" width="19" customWidth="1"/>
  </cols>
  <sheetData>
    <row r="1" spans="1:51" ht="20.25" thickBot="1">
      <c r="A1" s="583" t="s">
        <v>510</v>
      </c>
      <c r="B1" s="584"/>
      <c r="C1" s="584"/>
      <c r="D1" s="584"/>
      <c r="E1" s="584"/>
      <c r="F1" s="584"/>
      <c r="G1" s="584"/>
      <c r="H1" s="584"/>
      <c r="I1" s="584"/>
      <c r="J1" s="584"/>
      <c r="K1" s="584"/>
      <c r="L1" s="584"/>
      <c r="M1" s="584"/>
      <c r="N1" s="584"/>
      <c r="O1" s="585"/>
    </row>
    <row r="2" spans="1:51" ht="49.5" customHeight="1" thickBot="1">
      <c r="A2" s="580" t="s">
        <v>46</v>
      </c>
      <c r="B2" s="586"/>
      <c r="C2" s="586"/>
      <c r="D2" s="586"/>
      <c r="E2" s="586"/>
      <c r="F2" s="586"/>
      <c r="G2" s="586"/>
      <c r="H2" s="586"/>
      <c r="I2" s="586"/>
      <c r="J2" s="586"/>
      <c r="K2" s="586"/>
      <c r="L2" s="586"/>
      <c r="M2" s="586"/>
      <c r="N2" s="586"/>
      <c r="O2" s="587"/>
      <c r="Y2" s="8"/>
      <c r="Z2" s="9"/>
      <c r="AA2" s="9"/>
      <c r="AB2" s="9"/>
      <c r="AC2" s="9"/>
      <c r="AD2" s="9"/>
      <c r="AE2" s="9"/>
      <c r="AF2" s="9"/>
      <c r="AG2" s="9"/>
      <c r="AH2" s="9"/>
      <c r="AI2" s="9"/>
      <c r="AJ2" s="9"/>
      <c r="AK2" s="9"/>
      <c r="AL2" s="9"/>
      <c r="AM2" s="9"/>
      <c r="AN2" s="9"/>
      <c r="AO2" s="9"/>
      <c r="AP2" s="9"/>
      <c r="AQ2" s="8"/>
      <c r="AX2" s="8" t="s">
        <v>47</v>
      </c>
      <c r="AY2" s="8" t="s">
        <v>48</v>
      </c>
    </row>
    <row r="3" spans="1:51" ht="15.75">
      <c r="A3" s="10" t="s">
        <v>1</v>
      </c>
      <c r="B3" s="11"/>
      <c r="C3" s="12"/>
      <c r="D3" s="13"/>
      <c r="O3" s="2"/>
      <c r="Y3" s="15"/>
      <c r="AE3" s="16"/>
      <c r="AQ3" s="15"/>
    </row>
    <row r="4" spans="1:51" ht="15.75">
      <c r="A4" s="17" t="s">
        <v>499</v>
      </c>
      <c r="B4" s="3"/>
      <c r="F4" s="18"/>
      <c r="O4" s="2"/>
    </row>
    <row r="5" spans="1:51">
      <c r="A5" s="19" t="s">
        <v>49</v>
      </c>
      <c r="B5" s="3"/>
      <c r="C5" s="20" t="s">
        <v>50</v>
      </c>
      <c r="D5" s="21" t="s">
        <v>50</v>
      </c>
      <c r="E5" s="20" t="s">
        <v>50</v>
      </c>
      <c r="F5" s="21" t="s">
        <v>50</v>
      </c>
      <c r="G5" s="20" t="s">
        <v>51</v>
      </c>
      <c r="H5" s="21" t="s">
        <v>51</v>
      </c>
      <c r="I5" s="20" t="s">
        <v>51</v>
      </c>
      <c r="J5" s="21" t="s">
        <v>51</v>
      </c>
      <c r="K5" s="20" t="s">
        <v>51</v>
      </c>
      <c r="L5" s="21" t="s">
        <v>51</v>
      </c>
      <c r="M5" s="20" t="s">
        <v>51</v>
      </c>
      <c r="N5" s="21" t="s">
        <v>50</v>
      </c>
      <c r="O5" s="2"/>
    </row>
    <row r="6" spans="1:51">
      <c r="A6" s="4"/>
      <c r="B6" s="3"/>
      <c r="C6" s="22" t="s">
        <v>2</v>
      </c>
      <c r="D6" s="23" t="s">
        <v>3</v>
      </c>
      <c r="E6" s="22" t="s">
        <v>4</v>
      </c>
      <c r="F6" s="23" t="s">
        <v>5</v>
      </c>
      <c r="G6" s="22" t="s">
        <v>6</v>
      </c>
      <c r="H6" s="23" t="s">
        <v>7</v>
      </c>
      <c r="I6" s="22" t="s">
        <v>8</v>
      </c>
      <c r="J6" s="23" t="s">
        <v>52</v>
      </c>
      <c r="K6" s="22" t="s">
        <v>9</v>
      </c>
      <c r="L6" s="23" t="s">
        <v>10</v>
      </c>
      <c r="M6" s="22" t="s">
        <v>11</v>
      </c>
      <c r="N6" s="23" t="s">
        <v>12</v>
      </c>
      <c r="O6" s="24" t="s">
        <v>13</v>
      </c>
      <c r="T6" s="15"/>
      <c r="V6" s="15"/>
      <c r="Y6" s="8"/>
      <c r="Z6" s="9"/>
      <c r="AA6" s="9"/>
      <c r="AB6" s="9"/>
      <c r="AC6" s="9"/>
      <c r="AD6" s="9"/>
      <c r="AE6" s="9"/>
      <c r="AF6" s="9"/>
      <c r="AG6" s="9"/>
      <c r="AH6" s="9"/>
      <c r="AI6" s="9"/>
      <c r="AJ6" s="9"/>
      <c r="AK6" s="9"/>
      <c r="AL6" s="9"/>
      <c r="AM6" s="9"/>
      <c r="AN6" s="9"/>
      <c r="AO6" s="9"/>
      <c r="AP6" s="9"/>
      <c r="AQ6" s="8"/>
    </row>
    <row r="7" spans="1:51" ht="13.5" thickBot="1">
      <c r="A7" s="19" t="s">
        <v>53</v>
      </c>
      <c r="B7" s="3"/>
      <c r="C7" s="25">
        <f>'[12]January 2012'!$J$46</f>
        <v>309.98</v>
      </c>
      <c r="D7" s="26">
        <f>'[12]February 2012'!$J$46</f>
        <v>319.49</v>
      </c>
      <c r="E7" s="25">
        <f>'[12]March 2012'!$J$46</f>
        <v>344.80999999999995</v>
      </c>
      <c r="F7" s="26">
        <f>'[12]April 2012'!$J$46</f>
        <v>325.31</v>
      </c>
      <c r="G7" s="25">
        <f>'[12]May 2012'!$J$46</f>
        <v>349.74999999999989</v>
      </c>
      <c r="H7" s="26">
        <f>'[12]June 2012'!$J$46</f>
        <v>159.76</v>
      </c>
      <c r="I7" s="25">
        <f>'[12]July 2012'!$J$46</f>
        <v>0</v>
      </c>
      <c r="J7" s="26">
        <f>'[12]August 2012'!$J$46</f>
        <v>0</v>
      </c>
      <c r="K7" s="25">
        <f>'[12]September 2012'!$J$46</f>
        <v>0</v>
      </c>
      <c r="L7" s="26">
        <f>'[12]October 2012'!$J$46</f>
        <v>0</v>
      </c>
      <c r="M7" s="25">
        <f>'[12]November 2012'!$J$46</f>
        <v>0</v>
      </c>
      <c r="N7" s="26">
        <f>'[12]December 2012'!$J$46</f>
        <v>0</v>
      </c>
      <c r="O7" s="27">
        <f>SUM(C7:N7)</f>
        <v>1809.0999999999997</v>
      </c>
      <c r="R7" s="15"/>
      <c r="S7" s="15"/>
      <c r="T7" s="15"/>
      <c r="U7" s="15"/>
      <c r="V7" s="15"/>
      <c r="Y7" s="15"/>
      <c r="AC7" s="8"/>
      <c r="AD7" s="8"/>
      <c r="AQ7" s="15"/>
    </row>
    <row r="8" spans="1:51">
      <c r="A8" s="28" t="s">
        <v>54</v>
      </c>
      <c r="B8" s="29" t="s">
        <v>55</v>
      </c>
      <c r="C8" s="30">
        <f t="shared" ref="C8:O8" si="0">C9/C$7</f>
        <v>5.1519452867926958</v>
      </c>
      <c r="D8" s="31">
        <f t="shared" si="0"/>
        <v>9.0049766815862782</v>
      </c>
      <c r="E8" s="30">
        <f t="shared" si="0"/>
        <v>8.0711116266929626</v>
      </c>
      <c r="F8" s="31">
        <f t="shared" si="0"/>
        <v>7.2761366081583718</v>
      </c>
      <c r="G8" s="30">
        <f t="shared" si="0"/>
        <v>4.5661186561829892</v>
      </c>
      <c r="H8" s="31">
        <f t="shared" si="0"/>
        <v>9.996244366549826</v>
      </c>
      <c r="I8" s="30" t="e">
        <f t="shared" si="0"/>
        <v>#DIV/0!</v>
      </c>
      <c r="J8" s="31" t="e">
        <f t="shared" si="0"/>
        <v>#DIV/0!</v>
      </c>
      <c r="K8" s="30" t="e">
        <f t="shared" si="0"/>
        <v>#DIV/0!</v>
      </c>
      <c r="L8" s="31" t="e">
        <f t="shared" si="0"/>
        <v>#DIV/0!</v>
      </c>
      <c r="M8" s="30" t="e">
        <f t="shared" si="0"/>
        <v>#DIV/0!</v>
      </c>
      <c r="N8" s="31" t="e">
        <f t="shared" si="0"/>
        <v>#DIV/0!</v>
      </c>
      <c r="O8" s="32">
        <f t="shared" si="0"/>
        <v>12.381847327400367</v>
      </c>
      <c r="Q8" s="33"/>
    </row>
    <row r="9" spans="1:51">
      <c r="A9" s="34" t="s">
        <v>56</v>
      </c>
      <c r="B9" s="35" t="s">
        <v>57</v>
      </c>
      <c r="C9" s="36">
        <f>ABS('[13]January 2012 RRS'!$J$7)</f>
        <v>1597</v>
      </c>
      <c r="D9" s="37">
        <f>ABS('[13]February 2012 RRS'!$J$7)</f>
        <v>2877</v>
      </c>
      <c r="E9" s="36">
        <f>ABS('[13]March 2012 RRS'!$J$7)</f>
        <v>2783</v>
      </c>
      <c r="F9" s="37">
        <f>ABS('[13]April 2012 RRS'!$J$7)</f>
        <v>2367</v>
      </c>
      <c r="G9" s="36">
        <f>ABS('[13]January 2012 RRS'!$J$7)</f>
        <v>1597</v>
      </c>
      <c r="H9" s="37">
        <f>ABS('[13]January 2012 RRS'!$J$7)</f>
        <v>1597</v>
      </c>
      <c r="I9" s="36">
        <f>ABS('[13]January 2012 RRS'!$J$7)</f>
        <v>1597</v>
      </c>
      <c r="J9" s="37">
        <f>ABS('[13]January 2012 RRS'!$J$7)</f>
        <v>1597</v>
      </c>
      <c r="K9" s="36">
        <f>ABS('[13]January 2012 RRS'!$J$7)</f>
        <v>1597</v>
      </c>
      <c r="L9" s="37">
        <f>ABS('[13]January 2012 RRS'!$J$7)</f>
        <v>1597</v>
      </c>
      <c r="M9" s="36">
        <f>ABS('[13]January 2012 RRS'!$J$7)</f>
        <v>1597</v>
      </c>
      <c r="N9" s="37">
        <f>ABS('[13]January 2012 RRS'!$J$7)</f>
        <v>1597</v>
      </c>
      <c r="O9" s="38">
        <f>SUM(C9:N9)</f>
        <v>22400</v>
      </c>
      <c r="Q9" s="33"/>
      <c r="R9" s="39"/>
      <c r="S9" s="40"/>
      <c r="T9" s="39"/>
      <c r="U9" s="39"/>
      <c r="V9" s="41"/>
      <c r="W9" s="8"/>
    </row>
    <row r="10" spans="1:51" ht="15.75">
      <c r="A10" s="42"/>
      <c r="B10" s="35" t="s">
        <v>58</v>
      </c>
      <c r="C10" s="43">
        <f t="shared" ref="C10:N10" si="1">C11/C9</f>
        <v>0.50839699436443331</v>
      </c>
      <c r="D10" s="44">
        <f t="shared" si="1"/>
        <v>0.5084011122697254</v>
      </c>
      <c r="E10" s="43">
        <f t="shared" si="1"/>
        <v>0.50840100610851602</v>
      </c>
      <c r="F10" s="44">
        <f t="shared" si="1"/>
        <v>0.50839881706801859</v>
      </c>
      <c r="G10" s="43">
        <f t="shared" si="1"/>
        <v>0.50839699436443331</v>
      </c>
      <c r="H10" s="44">
        <f t="shared" si="1"/>
        <v>0.50839699436443331</v>
      </c>
      <c r="I10" s="43">
        <f t="shared" si="1"/>
        <v>0.50839699436443331</v>
      </c>
      <c r="J10" s="44">
        <f t="shared" si="1"/>
        <v>0.50839699436443331</v>
      </c>
      <c r="K10" s="43">
        <f t="shared" si="1"/>
        <v>0.50839699436443331</v>
      </c>
      <c r="L10" s="44">
        <f t="shared" si="1"/>
        <v>0.50839699436443331</v>
      </c>
      <c r="M10" s="43">
        <f t="shared" si="1"/>
        <v>0.50839699436443331</v>
      </c>
      <c r="N10" s="44">
        <f t="shared" si="1"/>
        <v>0.50839699436443331</v>
      </c>
      <c r="O10" s="45">
        <f>IF(O9=0,0,+O11/O9)</f>
        <v>0.50839821428571419</v>
      </c>
      <c r="Q10" s="33"/>
      <c r="R10" s="46"/>
      <c r="S10" s="46"/>
      <c r="T10" s="47"/>
      <c r="U10" s="47"/>
      <c r="V10" s="41"/>
      <c r="W10" s="8"/>
    </row>
    <row r="11" spans="1:51">
      <c r="A11" s="42"/>
      <c r="B11" s="35" t="s">
        <v>15</v>
      </c>
      <c r="C11" s="48">
        <f>'[13]January 2012 RRS'!$L$7</f>
        <v>811.91</v>
      </c>
      <c r="D11" s="49">
        <f>'[13]February 2012 RRS'!$L$7</f>
        <v>1462.67</v>
      </c>
      <c r="E11" s="48">
        <f>'[13]March 2012 RRS'!$L$7</f>
        <v>1414.88</v>
      </c>
      <c r="F11" s="49">
        <f>'[13]April 2012 RRS'!$L$7</f>
        <v>1203.3800000000001</v>
      </c>
      <c r="G11" s="48">
        <f>'[13]January 2012 RRS'!$L$7</f>
        <v>811.91</v>
      </c>
      <c r="H11" s="49">
        <f>'[13]January 2012 RRS'!$L$7</f>
        <v>811.91</v>
      </c>
      <c r="I11" s="48">
        <f>'[13]January 2012 RRS'!$L$7</f>
        <v>811.91</v>
      </c>
      <c r="J11" s="49">
        <f>'[13]January 2012 RRS'!$L$7</f>
        <v>811.91</v>
      </c>
      <c r="K11" s="48">
        <f>'[13]January 2012 RRS'!$L$7</f>
        <v>811.91</v>
      </c>
      <c r="L11" s="49">
        <f>'[13]January 2012 RRS'!$L$7</f>
        <v>811.91</v>
      </c>
      <c r="M11" s="48">
        <f>'[13]January 2012 RRS'!$L$7</f>
        <v>811.91</v>
      </c>
      <c r="N11" s="49">
        <f>'[13]January 2012 RRS'!$L$7</f>
        <v>811.91</v>
      </c>
      <c r="O11" s="50">
        <f>SUM(C11:N11)</f>
        <v>11388.119999999999</v>
      </c>
      <c r="Q11" s="33"/>
      <c r="R11" s="40"/>
      <c r="S11" s="40"/>
      <c r="T11" s="40"/>
      <c r="U11" s="40"/>
      <c r="V11" s="41"/>
      <c r="W11" s="8"/>
    </row>
    <row r="12" spans="1:51" ht="16.5" thickBot="1">
      <c r="A12" s="51"/>
      <c r="B12" s="52" t="s">
        <v>59</v>
      </c>
      <c r="C12" s="53">
        <f t="shared" ref="C12:O12" si="2">C11/C$7</f>
        <v>2.6192334989354151</v>
      </c>
      <c r="D12" s="54">
        <f t="shared" si="2"/>
        <v>4.5781401608814045</v>
      </c>
      <c r="E12" s="53">
        <f t="shared" si="2"/>
        <v>4.103361271424844</v>
      </c>
      <c r="F12" s="54">
        <f t="shared" si="2"/>
        <v>3.6991792444130218</v>
      </c>
      <c r="G12" s="53">
        <f t="shared" si="2"/>
        <v>2.3214010007147969</v>
      </c>
      <c r="H12" s="54">
        <f t="shared" si="2"/>
        <v>5.0820605908863294</v>
      </c>
      <c r="I12" s="53" t="e">
        <f t="shared" si="2"/>
        <v>#DIV/0!</v>
      </c>
      <c r="J12" s="54" t="e">
        <f t="shared" si="2"/>
        <v>#DIV/0!</v>
      </c>
      <c r="K12" s="53" t="e">
        <f t="shared" si="2"/>
        <v>#DIV/0!</v>
      </c>
      <c r="L12" s="54" t="e">
        <f t="shared" si="2"/>
        <v>#DIV/0!</v>
      </c>
      <c r="M12" s="53" t="e">
        <f t="shared" si="2"/>
        <v>#DIV/0!</v>
      </c>
      <c r="N12" s="54" t="e">
        <f t="shared" si="2"/>
        <v>#DIV/0!</v>
      </c>
      <c r="O12" s="55">
        <f t="shared" si="2"/>
        <v>6.2949090708086901</v>
      </c>
      <c r="Q12" s="33"/>
      <c r="R12" s="46"/>
      <c r="S12" s="56"/>
      <c r="T12" s="57"/>
      <c r="U12" s="57"/>
      <c r="V12" s="41"/>
      <c r="W12" s="8"/>
    </row>
    <row r="13" spans="1:51">
      <c r="A13" s="28" t="s">
        <v>60</v>
      </c>
      <c r="B13" s="29" t="s">
        <v>55</v>
      </c>
      <c r="C13" s="30">
        <f t="shared" ref="C13:O13" si="3">C14/C$7</f>
        <v>0</v>
      </c>
      <c r="D13" s="31">
        <f t="shared" si="3"/>
        <v>0</v>
      </c>
      <c r="E13" s="30">
        <f t="shared" si="3"/>
        <v>0</v>
      </c>
      <c r="F13" s="31">
        <f t="shared" si="3"/>
        <v>0</v>
      </c>
      <c r="G13" s="30">
        <f t="shared" si="3"/>
        <v>0</v>
      </c>
      <c r="H13" s="31">
        <f t="shared" si="3"/>
        <v>0</v>
      </c>
      <c r="I13" s="30" t="e">
        <f t="shared" si="3"/>
        <v>#DIV/0!</v>
      </c>
      <c r="J13" s="31" t="e">
        <f t="shared" si="3"/>
        <v>#DIV/0!</v>
      </c>
      <c r="K13" s="30" t="e">
        <f t="shared" si="3"/>
        <v>#DIV/0!</v>
      </c>
      <c r="L13" s="31" t="e">
        <f t="shared" si="3"/>
        <v>#DIV/0!</v>
      </c>
      <c r="M13" s="30" t="e">
        <f t="shared" si="3"/>
        <v>#DIV/0!</v>
      </c>
      <c r="N13" s="31" t="e">
        <f t="shared" si="3"/>
        <v>#DIV/0!</v>
      </c>
      <c r="O13" s="32">
        <f t="shared" si="3"/>
        <v>0</v>
      </c>
      <c r="Q13" s="33"/>
      <c r="R13" s="58"/>
      <c r="S13" s="58"/>
      <c r="T13" s="58"/>
      <c r="U13" s="58"/>
      <c r="V13" s="41"/>
    </row>
    <row r="14" spans="1:51">
      <c r="A14" s="34" t="s">
        <v>56</v>
      </c>
      <c r="B14" s="35" t="s">
        <v>57</v>
      </c>
      <c r="C14" s="36">
        <f>ABS('[13]January 2012 RRS'!$J$9)</f>
        <v>0</v>
      </c>
      <c r="D14" s="37">
        <f>ABS('[13]February 2012 RRS'!$J$9)</f>
        <v>0</v>
      </c>
      <c r="E14" s="36">
        <f>ABS('[13]March 2012 RRS'!$J$9)</f>
        <v>0</v>
      </c>
      <c r="F14" s="37">
        <f>ABS('[13]April 2012 RRS'!$J$9)</f>
        <v>0</v>
      </c>
      <c r="G14" s="36">
        <f>ABS('[13]January 2012 RRS'!$J$9)</f>
        <v>0</v>
      </c>
      <c r="H14" s="37">
        <f>ABS('[13]January 2012 RRS'!$J$9)</f>
        <v>0</v>
      </c>
      <c r="I14" s="36">
        <f>ABS('[13]January 2012 RRS'!$J$9)</f>
        <v>0</v>
      </c>
      <c r="J14" s="37">
        <f>ABS('[13]January 2012 RRS'!$J$9)</f>
        <v>0</v>
      </c>
      <c r="K14" s="36">
        <f>ABS('[13]January 2012 RRS'!$J$9)</f>
        <v>0</v>
      </c>
      <c r="L14" s="37">
        <f>ABS('[13]January 2012 RRS'!$J$9)</f>
        <v>0</v>
      </c>
      <c r="M14" s="36">
        <f>ABS('[13]January 2012 RRS'!$J$9)</f>
        <v>0</v>
      </c>
      <c r="N14" s="37">
        <f>ABS('[13]January 2012 RRS'!$J$9)</f>
        <v>0</v>
      </c>
      <c r="O14" s="38">
        <f>SUM(C14:N14)</f>
        <v>0</v>
      </c>
      <c r="Q14" s="33"/>
      <c r="R14" s="57"/>
      <c r="S14" s="57"/>
      <c r="T14" s="57"/>
      <c r="U14" s="57"/>
      <c r="V14" s="41"/>
      <c r="W14" s="8"/>
    </row>
    <row r="15" spans="1:51" ht="15.75">
      <c r="A15" s="42"/>
      <c r="B15" s="35" t="s">
        <v>58</v>
      </c>
      <c r="C15" s="43" t="e">
        <f t="shared" ref="C15:N15" si="4">C16/C14</f>
        <v>#DIV/0!</v>
      </c>
      <c r="D15" s="44" t="e">
        <f t="shared" si="4"/>
        <v>#DIV/0!</v>
      </c>
      <c r="E15" s="43" t="e">
        <f t="shared" si="4"/>
        <v>#DIV/0!</v>
      </c>
      <c r="F15" s="44" t="e">
        <f t="shared" si="4"/>
        <v>#DIV/0!</v>
      </c>
      <c r="G15" s="43" t="e">
        <f t="shared" si="4"/>
        <v>#DIV/0!</v>
      </c>
      <c r="H15" s="44" t="e">
        <f t="shared" si="4"/>
        <v>#DIV/0!</v>
      </c>
      <c r="I15" s="43" t="e">
        <f t="shared" si="4"/>
        <v>#DIV/0!</v>
      </c>
      <c r="J15" s="44" t="e">
        <f t="shared" si="4"/>
        <v>#DIV/0!</v>
      </c>
      <c r="K15" s="43" t="e">
        <f t="shared" si="4"/>
        <v>#DIV/0!</v>
      </c>
      <c r="L15" s="44" t="e">
        <f t="shared" si="4"/>
        <v>#DIV/0!</v>
      </c>
      <c r="M15" s="43" t="e">
        <f t="shared" si="4"/>
        <v>#DIV/0!</v>
      </c>
      <c r="N15" s="44" t="e">
        <f t="shared" si="4"/>
        <v>#DIV/0!</v>
      </c>
      <c r="O15" s="45">
        <f>IF(O14=0,0,+O16/O14)</f>
        <v>0</v>
      </c>
      <c r="Q15" s="33"/>
      <c r="R15" s="46"/>
      <c r="S15" s="46"/>
      <c r="T15" s="47"/>
      <c r="U15" s="47"/>
      <c r="V15" s="41"/>
      <c r="W15" s="8"/>
    </row>
    <row r="16" spans="1:51">
      <c r="A16" s="42"/>
      <c r="B16" s="35" t="s">
        <v>15</v>
      </c>
      <c r="C16" s="48">
        <f>'[13]January 2012 RRS'!$L$9</f>
        <v>0</v>
      </c>
      <c r="D16" s="49">
        <f>'[13]February 2012 RRS'!$L$9</f>
        <v>0</v>
      </c>
      <c r="E16" s="48">
        <f>'[13]March 2012 RRS'!$L$9</f>
        <v>0</v>
      </c>
      <c r="F16" s="49">
        <f>'[13]April 2012 RRS'!$L$9</f>
        <v>0</v>
      </c>
      <c r="G16" s="48">
        <f>'[13]January 2012 RRS'!$L$9</f>
        <v>0</v>
      </c>
      <c r="H16" s="49">
        <f>'[13]January 2012 RRS'!$L$9</f>
        <v>0</v>
      </c>
      <c r="I16" s="48">
        <f>'[13]January 2012 RRS'!$L$9</f>
        <v>0</v>
      </c>
      <c r="J16" s="49">
        <f>'[13]January 2012 RRS'!$L$9</f>
        <v>0</v>
      </c>
      <c r="K16" s="48">
        <f>'[13]January 2012 RRS'!$L$9</f>
        <v>0</v>
      </c>
      <c r="L16" s="49">
        <f>'[13]January 2012 RRS'!$L$9</f>
        <v>0</v>
      </c>
      <c r="M16" s="48">
        <f>'[13]January 2012 RRS'!$L$9</f>
        <v>0</v>
      </c>
      <c r="N16" s="49">
        <f>'[13]January 2012 RRS'!$L$9</f>
        <v>0</v>
      </c>
      <c r="O16" s="50">
        <f>SUM(C16:N16)</f>
        <v>0</v>
      </c>
      <c r="Q16" s="33"/>
      <c r="R16" s="40"/>
      <c r="S16" s="59"/>
      <c r="T16" s="40"/>
      <c r="U16" s="40"/>
      <c r="V16" s="41"/>
      <c r="W16" s="8"/>
    </row>
    <row r="17" spans="1:43" ht="16.5" thickBot="1">
      <c r="A17" s="51"/>
      <c r="B17" s="52" t="s">
        <v>59</v>
      </c>
      <c r="C17" s="53">
        <f t="shared" ref="C17:O17" si="5">C16/C$7</f>
        <v>0</v>
      </c>
      <c r="D17" s="54">
        <f t="shared" si="5"/>
        <v>0</v>
      </c>
      <c r="E17" s="53">
        <f t="shared" si="5"/>
        <v>0</v>
      </c>
      <c r="F17" s="54">
        <f t="shared" si="5"/>
        <v>0</v>
      </c>
      <c r="G17" s="53">
        <f t="shared" si="5"/>
        <v>0</v>
      </c>
      <c r="H17" s="54">
        <f t="shared" si="5"/>
        <v>0</v>
      </c>
      <c r="I17" s="53" t="e">
        <f t="shared" si="5"/>
        <v>#DIV/0!</v>
      </c>
      <c r="J17" s="54" t="e">
        <f t="shared" si="5"/>
        <v>#DIV/0!</v>
      </c>
      <c r="K17" s="53" t="e">
        <f t="shared" si="5"/>
        <v>#DIV/0!</v>
      </c>
      <c r="L17" s="54" t="e">
        <f t="shared" si="5"/>
        <v>#DIV/0!</v>
      </c>
      <c r="M17" s="53" t="e">
        <f t="shared" si="5"/>
        <v>#DIV/0!</v>
      </c>
      <c r="N17" s="54" t="e">
        <f t="shared" si="5"/>
        <v>#DIV/0!</v>
      </c>
      <c r="O17" s="55">
        <f t="shared" si="5"/>
        <v>0</v>
      </c>
      <c r="Q17" s="33"/>
      <c r="R17" s="46"/>
      <c r="S17" s="56"/>
      <c r="T17" s="57"/>
      <c r="U17" s="57"/>
      <c r="V17" s="41"/>
      <c r="W17" s="8"/>
    </row>
    <row r="18" spans="1:43">
      <c r="A18" s="28" t="s">
        <v>61</v>
      </c>
      <c r="B18" s="29" t="s">
        <v>55</v>
      </c>
      <c r="C18" s="30">
        <f t="shared" ref="C18:O18" si="6">C19/C$7</f>
        <v>62.358861862055612</v>
      </c>
      <c r="D18" s="31">
        <f t="shared" si="6"/>
        <v>61.861091113962878</v>
      </c>
      <c r="E18" s="30">
        <f t="shared" si="6"/>
        <v>69.229430700965764</v>
      </c>
      <c r="F18" s="31">
        <f t="shared" si="6"/>
        <v>66.982263072146566</v>
      </c>
      <c r="G18" s="30">
        <f t="shared" si="6"/>
        <v>55.268048606147268</v>
      </c>
      <c r="H18" s="31">
        <f t="shared" si="6"/>
        <v>120.99399098647973</v>
      </c>
      <c r="I18" s="30" t="e">
        <f t="shared" si="6"/>
        <v>#DIV/0!</v>
      </c>
      <c r="J18" s="31" t="e">
        <f t="shared" si="6"/>
        <v>#DIV/0!</v>
      </c>
      <c r="K18" s="30" t="e">
        <f t="shared" si="6"/>
        <v>#DIV/0!</v>
      </c>
      <c r="L18" s="31" t="e">
        <f t="shared" si="6"/>
        <v>#DIV/0!</v>
      </c>
      <c r="M18" s="30" t="e">
        <f t="shared" si="6"/>
        <v>#DIV/0!</v>
      </c>
      <c r="N18" s="31" t="e">
        <f t="shared" si="6"/>
        <v>#DIV/0!</v>
      </c>
      <c r="O18" s="32">
        <f t="shared" si="6"/>
        <v>132.32822950638442</v>
      </c>
      <c r="Q18" s="33"/>
      <c r="Y18" s="15"/>
      <c r="AQ18" s="15"/>
    </row>
    <row r="19" spans="1:43" ht="15.75">
      <c r="A19" s="34" t="s">
        <v>56</v>
      </c>
      <c r="B19" s="35" t="s">
        <v>57</v>
      </c>
      <c r="C19" s="36">
        <f>ABS('[13]January 2012 RRS'!$J$10)</f>
        <v>19330</v>
      </c>
      <c r="D19" s="37">
        <f>ABS('[13]February 2012 RRS'!$J$10)</f>
        <v>19764</v>
      </c>
      <c r="E19" s="36">
        <f>ABS('[13]March 2012 RRS'!$J$10)</f>
        <v>23871</v>
      </c>
      <c r="F19" s="37">
        <f>ABS('[13]April 2012 RRS'!$J$10)</f>
        <v>21790</v>
      </c>
      <c r="G19" s="36">
        <f>ABS('[13]January 2012 RRS'!$J$10)</f>
        <v>19330</v>
      </c>
      <c r="H19" s="37">
        <f>ABS('[13]January 2012 RRS'!$J$10)</f>
        <v>19330</v>
      </c>
      <c r="I19" s="36">
        <f>ABS('[13]January 2012 RRS'!$J$10)</f>
        <v>19330</v>
      </c>
      <c r="J19" s="37">
        <f>ABS('[13]January 2012 RRS'!$J$10)</f>
        <v>19330</v>
      </c>
      <c r="K19" s="36">
        <f>ABS('[13]January 2012 RRS'!$J$10)</f>
        <v>19330</v>
      </c>
      <c r="L19" s="37">
        <f>ABS('[13]January 2012 RRS'!$J$10)</f>
        <v>19330</v>
      </c>
      <c r="M19" s="36">
        <f>ABS('[13]January 2012 RRS'!$J$10)</f>
        <v>19330</v>
      </c>
      <c r="N19" s="37">
        <f>ABS('[13]January 2012 RRS'!$J$10)</f>
        <v>19330</v>
      </c>
      <c r="O19" s="38">
        <f>SUM(C19:N19)</f>
        <v>239395</v>
      </c>
      <c r="Q19" s="33"/>
      <c r="R19" s="60"/>
      <c r="S19" s="60"/>
      <c r="T19" s="60"/>
      <c r="U19" s="57"/>
      <c r="V19" s="41"/>
      <c r="W19" s="8"/>
      <c r="Y19" s="15"/>
      <c r="AA19" s="16"/>
      <c r="AH19" s="16"/>
      <c r="AJ19" s="8"/>
      <c r="AK19" s="16"/>
      <c r="AQ19" s="15"/>
    </row>
    <row r="20" spans="1:43" ht="15.75">
      <c r="A20" s="42"/>
      <c r="B20" s="35" t="s">
        <v>58</v>
      </c>
      <c r="C20" s="43">
        <f t="shared" ref="C20:N20" si="7">C21/C19</f>
        <v>0.20009984480082771</v>
      </c>
      <c r="D20" s="44">
        <f t="shared" si="7"/>
        <v>0.20010018214936248</v>
      </c>
      <c r="E20" s="43">
        <f t="shared" si="7"/>
        <v>0.20010012148632234</v>
      </c>
      <c r="F20" s="44">
        <f t="shared" si="7"/>
        <v>0.20010004589261129</v>
      </c>
      <c r="G20" s="43">
        <f t="shared" si="7"/>
        <v>0.20009984480082771</v>
      </c>
      <c r="H20" s="44">
        <f t="shared" si="7"/>
        <v>0.20009984480082771</v>
      </c>
      <c r="I20" s="43">
        <f t="shared" si="7"/>
        <v>0.20009984480082771</v>
      </c>
      <c r="J20" s="44">
        <f t="shared" si="7"/>
        <v>0.20009984480082771</v>
      </c>
      <c r="K20" s="43">
        <f t="shared" si="7"/>
        <v>0.20009984480082771</v>
      </c>
      <c r="L20" s="44">
        <f t="shared" si="7"/>
        <v>0.20009984480082771</v>
      </c>
      <c r="M20" s="43">
        <f t="shared" si="7"/>
        <v>0.20009984480082771</v>
      </c>
      <c r="N20" s="44">
        <f t="shared" si="7"/>
        <v>0.20009984480082771</v>
      </c>
      <c r="O20" s="45">
        <f>IF(O19=0,0,+O21/O19)</f>
        <v>0.20009991854466466</v>
      </c>
      <c r="Q20" s="33"/>
      <c r="R20" s="46"/>
      <c r="S20" s="46"/>
      <c r="T20" s="47"/>
      <c r="U20" s="47"/>
      <c r="V20" s="41"/>
      <c r="W20" s="61"/>
      <c r="X20" s="40"/>
      <c r="Y20" s="62"/>
      <c r="Z20" s="40"/>
      <c r="AA20" s="40"/>
      <c r="AB20" s="40"/>
      <c r="AC20" s="40"/>
      <c r="AD20" s="40"/>
      <c r="AQ20" s="15"/>
    </row>
    <row r="21" spans="1:43" ht="15.75">
      <c r="A21" s="42"/>
      <c r="B21" s="35" t="s">
        <v>15</v>
      </c>
      <c r="C21" s="48">
        <f>'[13]January 2012 RRS'!$L$10</f>
        <v>3867.93</v>
      </c>
      <c r="D21" s="49">
        <f>'[13]February 2012 RRS'!$L$10</f>
        <v>3954.78</v>
      </c>
      <c r="E21" s="48">
        <f>'[13]March 2012 RRS'!$L$10</f>
        <v>4776.59</v>
      </c>
      <c r="F21" s="49">
        <f>'[13]April 2012 RRS'!$L$10</f>
        <v>4360.18</v>
      </c>
      <c r="G21" s="48">
        <f>'[13]January 2012 RRS'!$L$10</f>
        <v>3867.93</v>
      </c>
      <c r="H21" s="49">
        <f>'[13]January 2012 RRS'!$L$10</f>
        <v>3867.93</v>
      </c>
      <c r="I21" s="48">
        <f>'[13]January 2012 RRS'!$L$10</f>
        <v>3867.93</v>
      </c>
      <c r="J21" s="49">
        <f>'[13]January 2012 RRS'!$L$10</f>
        <v>3867.93</v>
      </c>
      <c r="K21" s="48">
        <f>'[13]January 2012 RRS'!$L$10</f>
        <v>3867.93</v>
      </c>
      <c r="L21" s="49">
        <f>'[13]January 2012 RRS'!$L$10</f>
        <v>3867.93</v>
      </c>
      <c r="M21" s="48">
        <f>'[13]January 2012 RRS'!$L$10</f>
        <v>3867.93</v>
      </c>
      <c r="N21" s="49">
        <f>'[13]January 2012 RRS'!$L$10</f>
        <v>3867.93</v>
      </c>
      <c r="O21" s="50">
        <f>SUM(C21:N21)</f>
        <v>47902.92</v>
      </c>
      <c r="Q21" s="33"/>
      <c r="R21" s="40"/>
      <c r="S21" s="40"/>
      <c r="T21" s="40"/>
      <c r="U21" s="40"/>
      <c r="V21" s="41"/>
      <c r="W21" s="8"/>
      <c r="Y21" s="15"/>
      <c r="AA21" s="16"/>
      <c r="AB21" s="8"/>
      <c r="AK21" s="8"/>
      <c r="AQ21" s="15"/>
    </row>
    <row r="22" spans="1:43" ht="16.5" thickBot="1">
      <c r="A22" s="51"/>
      <c r="B22" s="52" t="s">
        <v>59</v>
      </c>
      <c r="C22" s="53">
        <f t="shared" ref="C22:O22" si="8">C21/C$7</f>
        <v>12.477998580553583</v>
      </c>
      <c r="D22" s="54">
        <f t="shared" si="8"/>
        <v>12.378415599862281</v>
      </c>
      <c r="E22" s="53">
        <f t="shared" si="8"/>
        <v>13.85281749369218</v>
      </c>
      <c r="F22" s="54">
        <f t="shared" si="8"/>
        <v>13.403153914727492</v>
      </c>
      <c r="G22" s="53">
        <f t="shared" si="8"/>
        <v>11.059127948534671</v>
      </c>
      <c r="H22" s="54">
        <f t="shared" si="8"/>
        <v>24.210878818227343</v>
      </c>
      <c r="I22" s="53" t="e">
        <f t="shared" si="8"/>
        <v>#DIV/0!</v>
      </c>
      <c r="J22" s="54" t="e">
        <f t="shared" si="8"/>
        <v>#DIV/0!</v>
      </c>
      <c r="K22" s="53" t="e">
        <f t="shared" si="8"/>
        <v>#DIV/0!</v>
      </c>
      <c r="L22" s="54" t="e">
        <f t="shared" si="8"/>
        <v>#DIV/0!</v>
      </c>
      <c r="M22" s="53" t="e">
        <f t="shared" si="8"/>
        <v>#DIV/0!</v>
      </c>
      <c r="N22" s="54" t="e">
        <f t="shared" si="8"/>
        <v>#DIV/0!</v>
      </c>
      <c r="O22" s="55">
        <f t="shared" si="8"/>
        <v>26.478867945387211</v>
      </c>
      <c r="Q22" s="33"/>
      <c r="R22" s="46"/>
      <c r="S22" s="56"/>
      <c r="T22" s="57"/>
      <c r="U22" s="57"/>
      <c r="V22" s="41"/>
      <c r="W22" s="8"/>
      <c r="Y22" s="15"/>
      <c r="AA22" s="63"/>
      <c r="AB22" s="8"/>
      <c r="AQ22" s="15"/>
    </row>
    <row r="23" spans="1:43">
      <c r="A23" s="28" t="s">
        <v>62</v>
      </c>
      <c r="B23" s="29" t="s">
        <v>55</v>
      </c>
      <c r="C23" s="30">
        <f t="shared" ref="C23:O23" si="9">C24/C$7</f>
        <v>0</v>
      </c>
      <c r="D23" s="31">
        <f t="shared" si="9"/>
        <v>0.86074681523678365</v>
      </c>
      <c r="E23" s="30">
        <f t="shared" si="9"/>
        <v>0.95704880948928406</v>
      </c>
      <c r="F23" s="31">
        <f t="shared" si="9"/>
        <v>1.5216255264209524</v>
      </c>
      <c r="G23" s="30">
        <f t="shared" si="9"/>
        <v>0</v>
      </c>
      <c r="H23" s="31">
        <f t="shared" si="9"/>
        <v>0</v>
      </c>
      <c r="I23" s="30" t="e">
        <f t="shared" si="9"/>
        <v>#DIV/0!</v>
      </c>
      <c r="J23" s="31" t="e">
        <f t="shared" si="9"/>
        <v>#DIV/0!</v>
      </c>
      <c r="K23" s="30" t="e">
        <f t="shared" si="9"/>
        <v>#DIV/0!</v>
      </c>
      <c r="L23" s="31" t="e">
        <f t="shared" si="9"/>
        <v>#DIV/0!</v>
      </c>
      <c r="M23" s="30" t="e">
        <f t="shared" si="9"/>
        <v>#DIV/0!</v>
      </c>
      <c r="N23" s="31" t="e">
        <f t="shared" si="9"/>
        <v>#DIV/0!</v>
      </c>
      <c r="O23" s="32">
        <f t="shared" si="9"/>
        <v>0.60803714554198229</v>
      </c>
      <c r="Q23" s="33"/>
    </row>
    <row r="24" spans="1:43">
      <c r="A24" s="34" t="s">
        <v>56</v>
      </c>
      <c r="B24" s="35" t="s">
        <v>57</v>
      </c>
      <c r="C24" s="36">
        <f>ABS('[13]January 2012 RRS'!$J$21)</f>
        <v>0</v>
      </c>
      <c r="D24" s="37">
        <f>ABS('[13]February 2012 RRS'!$J$21)</f>
        <v>275</v>
      </c>
      <c r="E24" s="36">
        <f>ABS('[13]March 2012 RRS'!$J$21)</f>
        <v>330</v>
      </c>
      <c r="F24" s="37">
        <f>ABS('[13]April 2012 RRS'!$J$21)</f>
        <v>495</v>
      </c>
      <c r="G24" s="36">
        <f>ABS('[13]January 2012 RRS'!$J$21)</f>
        <v>0</v>
      </c>
      <c r="H24" s="37">
        <f>ABS('[13]January 2012 RRS'!$J$21)</f>
        <v>0</v>
      </c>
      <c r="I24" s="36">
        <f>ABS('[13]January 2012 RRS'!$J$21)</f>
        <v>0</v>
      </c>
      <c r="J24" s="37">
        <f>ABS('[13]January 2012 RRS'!$J$21)</f>
        <v>0</v>
      </c>
      <c r="K24" s="36">
        <f>ABS('[13]January 2012 RRS'!$J$21)</f>
        <v>0</v>
      </c>
      <c r="L24" s="37">
        <f>ABS('[13]January 2012 RRS'!$J$21)</f>
        <v>0</v>
      </c>
      <c r="M24" s="36">
        <f>ABS('[13]January 2012 RRS'!$J$21)</f>
        <v>0</v>
      </c>
      <c r="N24" s="37">
        <f>ABS('[13]January 2012 RRS'!$J$21)</f>
        <v>0</v>
      </c>
      <c r="O24" s="38">
        <f>SUM(C24:N24)</f>
        <v>1100</v>
      </c>
      <c r="Q24" s="33"/>
      <c r="R24" s="57"/>
      <c r="S24" s="60"/>
      <c r="T24" s="57"/>
      <c r="U24" s="57"/>
      <c r="V24" s="41"/>
      <c r="W24" s="8"/>
    </row>
    <row r="25" spans="1:43" ht="15.75">
      <c r="A25" s="42"/>
      <c r="B25" s="35" t="s">
        <v>58</v>
      </c>
      <c r="C25" s="43" t="e">
        <f t="shared" ref="C25:N25" si="10">C26/C24</f>
        <v>#DIV/0!</v>
      </c>
      <c r="D25" s="44">
        <f t="shared" si="10"/>
        <v>2.3850181818181819</v>
      </c>
      <c r="E25" s="43">
        <f t="shared" si="10"/>
        <v>2.3650000000000002</v>
      </c>
      <c r="F25" s="44">
        <f t="shared" si="10"/>
        <v>2.365010101010101</v>
      </c>
      <c r="G25" s="43" t="e">
        <f t="shared" si="10"/>
        <v>#DIV/0!</v>
      </c>
      <c r="H25" s="44" t="e">
        <f t="shared" si="10"/>
        <v>#DIV/0!</v>
      </c>
      <c r="I25" s="43" t="e">
        <f t="shared" si="10"/>
        <v>#DIV/0!</v>
      </c>
      <c r="J25" s="44" t="e">
        <f t="shared" si="10"/>
        <v>#DIV/0!</v>
      </c>
      <c r="K25" s="43" t="e">
        <f t="shared" si="10"/>
        <v>#DIV/0!</v>
      </c>
      <c r="L25" s="44" t="e">
        <f t="shared" si="10"/>
        <v>#DIV/0!</v>
      </c>
      <c r="M25" s="43" t="e">
        <f t="shared" si="10"/>
        <v>#DIV/0!</v>
      </c>
      <c r="N25" s="44" t="e">
        <f t="shared" si="10"/>
        <v>#DIV/0!</v>
      </c>
      <c r="O25" s="45">
        <f>IF(O24=0,0,+O26/O24)</f>
        <v>2.370009090909091</v>
      </c>
      <c r="Q25" s="33"/>
      <c r="R25" s="46"/>
      <c r="S25" s="46"/>
      <c r="T25" s="47"/>
      <c r="U25" s="47"/>
      <c r="V25" s="41"/>
      <c r="W25" s="8"/>
    </row>
    <row r="26" spans="1:43">
      <c r="A26" s="42"/>
      <c r="B26" s="35" t="s">
        <v>15</v>
      </c>
      <c r="C26" s="48">
        <f>'[13]January 2012 RRS'!$L$21</f>
        <v>0</v>
      </c>
      <c r="D26" s="49">
        <f>'[13]February 2012 RRS'!$L$21</f>
        <v>655.88</v>
      </c>
      <c r="E26" s="48">
        <f>'[13]March 2012 RRS'!$L$21</f>
        <v>780.45</v>
      </c>
      <c r="F26" s="49">
        <f>'[13]April 2012 RRS'!$L$21</f>
        <v>1170.68</v>
      </c>
      <c r="G26" s="48">
        <f>'[13]January 2012 RRS'!$L$21</f>
        <v>0</v>
      </c>
      <c r="H26" s="49">
        <f>'[13]January 2012 RRS'!$L$21</f>
        <v>0</v>
      </c>
      <c r="I26" s="48">
        <f>'[13]January 2012 RRS'!$L$21</f>
        <v>0</v>
      </c>
      <c r="J26" s="49">
        <f>'[13]January 2012 RRS'!$L$21</f>
        <v>0</v>
      </c>
      <c r="K26" s="48">
        <f>'[13]January 2012 RRS'!$L$21</f>
        <v>0</v>
      </c>
      <c r="L26" s="49">
        <f>'[13]January 2012 RRS'!$L$21</f>
        <v>0</v>
      </c>
      <c r="M26" s="48">
        <f>'[13]January 2012 RRS'!$L$21</f>
        <v>0</v>
      </c>
      <c r="N26" s="49">
        <f>'[13]January 2012 RRS'!$L$21</f>
        <v>0</v>
      </c>
      <c r="O26" s="50">
        <f>SUM(C26:N26)</f>
        <v>2607.0100000000002</v>
      </c>
      <c r="Q26" s="33"/>
      <c r="R26" s="40"/>
      <c r="S26" s="40"/>
      <c r="T26" s="40"/>
      <c r="U26" s="40"/>
      <c r="V26" s="41"/>
      <c r="W26" s="8"/>
    </row>
    <row r="27" spans="1:43" ht="16.5" thickBot="1">
      <c r="A27" s="51"/>
      <c r="B27" s="52" t="s">
        <v>59</v>
      </c>
      <c r="C27" s="53">
        <f t="shared" ref="C27:O27" si="11">C26/C$7</f>
        <v>0</v>
      </c>
      <c r="D27" s="54">
        <f t="shared" si="11"/>
        <v>2.0528968042818243</v>
      </c>
      <c r="E27" s="53">
        <f t="shared" si="11"/>
        <v>2.2634204344421569</v>
      </c>
      <c r="F27" s="54">
        <f t="shared" si="11"/>
        <v>3.5986597399403646</v>
      </c>
      <c r="G27" s="53">
        <f t="shared" si="11"/>
        <v>0</v>
      </c>
      <c r="H27" s="54">
        <f t="shared" si="11"/>
        <v>0</v>
      </c>
      <c r="I27" s="53" t="e">
        <f t="shared" si="11"/>
        <v>#DIV/0!</v>
      </c>
      <c r="J27" s="54" t="e">
        <f t="shared" si="11"/>
        <v>#DIV/0!</v>
      </c>
      <c r="K27" s="53" t="e">
        <f t="shared" si="11"/>
        <v>#DIV/0!</v>
      </c>
      <c r="L27" s="54" t="e">
        <f t="shared" si="11"/>
        <v>#DIV/0!</v>
      </c>
      <c r="M27" s="53" t="e">
        <f t="shared" si="11"/>
        <v>#DIV/0!</v>
      </c>
      <c r="N27" s="54" t="e">
        <f t="shared" si="11"/>
        <v>#DIV/0!</v>
      </c>
      <c r="O27" s="55">
        <f t="shared" si="11"/>
        <v>1.4410535625449121</v>
      </c>
      <c r="Q27" s="33"/>
      <c r="R27" s="46"/>
      <c r="S27" s="56"/>
      <c r="T27" s="57"/>
      <c r="U27" s="57"/>
      <c r="V27" s="41"/>
    </row>
    <row r="28" spans="1:43">
      <c r="A28" s="181" t="s">
        <v>63</v>
      </c>
      <c r="B28" s="29" t="s">
        <v>55</v>
      </c>
      <c r="C28" s="30">
        <f t="shared" ref="C28:O28" si="12">C29/C$7</f>
        <v>23.666042970514226</v>
      </c>
      <c r="D28" s="31">
        <f t="shared" si="12"/>
        <v>24.792638267238409</v>
      </c>
      <c r="E28" s="30">
        <f t="shared" si="12"/>
        <v>24.645456918302838</v>
      </c>
      <c r="F28" s="31">
        <f t="shared" si="12"/>
        <v>25.132950109126678</v>
      </c>
      <c r="G28" s="30">
        <f t="shared" si="12"/>
        <v>20.974982130092929</v>
      </c>
      <c r="H28" s="31">
        <f t="shared" si="12"/>
        <v>45.918878317476214</v>
      </c>
      <c r="I28" s="30" t="e">
        <f t="shared" si="12"/>
        <v>#DIV/0!</v>
      </c>
      <c r="J28" s="31" t="e">
        <f t="shared" si="12"/>
        <v>#DIV/0!</v>
      </c>
      <c r="K28" s="30" t="e">
        <f t="shared" si="12"/>
        <v>#DIV/0!</v>
      </c>
      <c r="L28" s="31" t="e">
        <f t="shared" si="12"/>
        <v>#DIV/0!</v>
      </c>
      <c r="M28" s="30" t="e">
        <f t="shared" si="12"/>
        <v>#DIV/0!</v>
      </c>
      <c r="N28" s="31" t="e">
        <f t="shared" si="12"/>
        <v>#DIV/0!</v>
      </c>
      <c r="O28" s="32">
        <f t="shared" si="12"/>
        <v>50.090652810789905</v>
      </c>
    </row>
    <row r="29" spans="1:43">
      <c r="A29" s="34" t="s">
        <v>64</v>
      </c>
      <c r="B29" s="35" t="s">
        <v>57</v>
      </c>
      <c r="C29" s="36">
        <f>ABS('[13]January 2012 RRS'!$J$6)</f>
        <v>7336</v>
      </c>
      <c r="D29" s="37">
        <f>ABS('[13]February 2012 RRS'!$J$6)</f>
        <v>7921</v>
      </c>
      <c r="E29" s="36">
        <f>ABS('[13]March 2012 RRS'!$J$6)</f>
        <v>8498</v>
      </c>
      <c r="F29" s="37">
        <f>ABS('[13]April 2012 RRS'!$J$6)</f>
        <v>8176</v>
      </c>
      <c r="G29" s="36">
        <f>ABS('[13]January 2012 RRS'!$J$6)</f>
        <v>7336</v>
      </c>
      <c r="H29" s="37">
        <f>ABS('[13]January 2012 RRS'!$J$6)</f>
        <v>7336</v>
      </c>
      <c r="I29" s="36">
        <f>ABS('[13]January 2012 RRS'!$J$6)</f>
        <v>7336</v>
      </c>
      <c r="J29" s="37">
        <f>ABS('[13]January 2012 RRS'!$J$6)</f>
        <v>7336</v>
      </c>
      <c r="K29" s="36">
        <f>ABS('[13]January 2012 RRS'!$J$6)</f>
        <v>7336</v>
      </c>
      <c r="L29" s="37">
        <f>ABS('[13]January 2012 RRS'!$J$6)</f>
        <v>7336</v>
      </c>
      <c r="M29" s="36">
        <f>ABS('[13]January 2012 RRS'!$J$6)</f>
        <v>7336</v>
      </c>
      <c r="N29" s="37">
        <f>ABS('[13]January 2012 RRS'!$J$6)</f>
        <v>7336</v>
      </c>
      <c r="O29" s="38">
        <f>SUM(C29:N29)</f>
        <v>90619</v>
      </c>
    </row>
    <row r="30" spans="1:43">
      <c r="A30" s="34"/>
      <c r="B30" s="35" t="s">
        <v>58</v>
      </c>
      <c r="C30" s="43">
        <f t="shared" ref="C30:N30" si="13">C31/C29</f>
        <v>0.41740049073064345</v>
      </c>
      <c r="D30" s="44">
        <f t="shared" si="13"/>
        <v>0.40259941926524428</v>
      </c>
      <c r="E30" s="43">
        <f t="shared" si="13"/>
        <v>0.40259943516121438</v>
      </c>
      <c r="F30" s="44">
        <f t="shared" si="13"/>
        <v>0.37539995107632096</v>
      </c>
      <c r="G30" s="43">
        <f t="shared" si="13"/>
        <v>0.41740049073064345</v>
      </c>
      <c r="H30" s="44">
        <f t="shared" si="13"/>
        <v>0.41740049073064345</v>
      </c>
      <c r="I30" s="43">
        <f t="shared" si="13"/>
        <v>0.41740049073064345</v>
      </c>
      <c r="J30" s="44">
        <f t="shared" si="13"/>
        <v>0.41740049073064345</v>
      </c>
      <c r="K30" s="43">
        <f t="shared" si="13"/>
        <v>0.41740049073064345</v>
      </c>
      <c r="L30" s="44">
        <f t="shared" si="13"/>
        <v>0.41740049073064345</v>
      </c>
      <c r="M30" s="43">
        <f t="shared" si="13"/>
        <v>0.41740049073064345</v>
      </c>
      <c r="N30" s="44">
        <f t="shared" si="13"/>
        <v>0.41740049073064345</v>
      </c>
      <c r="O30" s="45">
        <f>IF(O29=0,0,+O31/O29)</f>
        <v>0.41092927531753826</v>
      </c>
    </row>
    <row r="31" spans="1:43">
      <c r="A31" s="42"/>
      <c r="B31" s="35" t="s">
        <v>15</v>
      </c>
      <c r="C31" s="48">
        <f>'[13]January 2012 RRS'!$L$6</f>
        <v>3062.05</v>
      </c>
      <c r="D31" s="49">
        <f>'[13]February 2012 RRS'!$L$6</f>
        <v>3188.99</v>
      </c>
      <c r="E31" s="48">
        <f>'[13]March 2012 RRS'!$L$6</f>
        <v>3421.29</v>
      </c>
      <c r="F31" s="49">
        <f>'[13]April 2012 RRS'!$L$6</f>
        <v>3069.27</v>
      </c>
      <c r="G31" s="48">
        <f>'[13]January 2012 RRS'!$L$6</f>
        <v>3062.05</v>
      </c>
      <c r="H31" s="49">
        <f>'[13]January 2012 RRS'!$L$6</f>
        <v>3062.05</v>
      </c>
      <c r="I31" s="48">
        <f>'[13]January 2012 RRS'!$L$6</f>
        <v>3062.05</v>
      </c>
      <c r="J31" s="49">
        <f>'[13]January 2012 RRS'!$L$6</f>
        <v>3062.05</v>
      </c>
      <c r="K31" s="48">
        <f>'[13]January 2012 RRS'!$L$6</f>
        <v>3062.05</v>
      </c>
      <c r="L31" s="49">
        <f>'[13]January 2012 RRS'!$L$6</f>
        <v>3062.05</v>
      </c>
      <c r="M31" s="48">
        <f>'[13]January 2012 RRS'!$L$6</f>
        <v>3062.05</v>
      </c>
      <c r="N31" s="49">
        <f>'[13]January 2012 RRS'!$L$6</f>
        <v>3062.05</v>
      </c>
      <c r="O31" s="50">
        <f>SUM(C31:N31)</f>
        <v>37238</v>
      </c>
    </row>
    <row r="32" spans="1:43" ht="13.5" thickBot="1">
      <c r="A32" s="51"/>
      <c r="B32" s="52" t="s">
        <v>59</v>
      </c>
      <c r="C32" s="53">
        <f t="shared" ref="C32:O32" si="14">C31/C$7</f>
        <v>9.8782179495451317</v>
      </c>
      <c r="D32" s="54">
        <f t="shared" si="14"/>
        <v>9.9815017684434562</v>
      </c>
      <c r="E32" s="53">
        <f t="shared" si="14"/>
        <v>9.9222470345987652</v>
      </c>
      <c r="F32" s="54">
        <f t="shared" si="14"/>
        <v>9.4349082413697705</v>
      </c>
      <c r="G32" s="53">
        <f t="shared" si="14"/>
        <v>8.7549678341672657</v>
      </c>
      <c r="H32" s="54">
        <f t="shared" si="14"/>
        <v>19.166562343515274</v>
      </c>
      <c r="I32" s="53" t="e">
        <f t="shared" si="14"/>
        <v>#DIV/0!</v>
      </c>
      <c r="J32" s="54" t="e">
        <f t="shared" si="14"/>
        <v>#DIV/0!</v>
      </c>
      <c r="K32" s="53" t="e">
        <f t="shared" si="14"/>
        <v>#DIV/0!</v>
      </c>
      <c r="L32" s="54" t="e">
        <f t="shared" si="14"/>
        <v>#DIV/0!</v>
      </c>
      <c r="M32" s="53" t="e">
        <f t="shared" si="14"/>
        <v>#DIV/0!</v>
      </c>
      <c r="N32" s="54" t="e">
        <f t="shared" si="14"/>
        <v>#DIV/0!</v>
      </c>
      <c r="O32" s="55">
        <f t="shared" si="14"/>
        <v>20.583715659720305</v>
      </c>
    </row>
    <row r="33" spans="1:43">
      <c r="A33" s="28" t="s">
        <v>65</v>
      </c>
      <c r="B33" s="29" t="s">
        <v>55</v>
      </c>
      <c r="C33" s="30">
        <f t="shared" ref="C33:O33" si="15">C34/C$7</f>
        <v>0</v>
      </c>
      <c r="D33" s="31">
        <f t="shared" si="15"/>
        <v>0</v>
      </c>
      <c r="E33" s="30">
        <f t="shared" si="15"/>
        <v>0</v>
      </c>
      <c r="F33" s="31">
        <f t="shared" si="15"/>
        <v>0</v>
      </c>
      <c r="G33" s="30">
        <f t="shared" si="15"/>
        <v>0</v>
      </c>
      <c r="H33" s="31">
        <f t="shared" si="15"/>
        <v>0</v>
      </c>
      <c r="I33" s="30" t="e">
        <f t="shared" si="15"/>
        <v>#DIV/0!</v>
      </c>
      <c r="J33" s="31" t="e">
        <f t="shared" si="15"/>
        <v>#DIV/0!</v>
      </c>
      <c r="K33" s="30" t="e">
        <f t="shared" si="15"/>
        <v>#DIV/0!</v>
      </c>
      <c r="L33" s="31" t="e">
        <f t="shared" si="15"/>
        <v>#DIV/0!</v>
      </c>
      <c r="M33" s="30" t="e">
        <f t="shared" si="15"/>
        <v>#DIV/0!</v>
      </c>
      <c r="N33" s="31" t="e">
        <f t="shared" si="15"/>
        <v>#DIV/0!</v>
      </c>
      <c r="O33" s="32">
        <f t="shared" si="15"/>
        <v>0</v>
      </c>
      <c r="Q33" s="33"/>
      <c r="Y33" s="8"/>
      <c r="Z33" s="9"/>
      <c r="AA33" s="9"/>
      <c r="AB33" s="9"/>
      <c r="AC33" s="9"/>
      <c r="AD33" s="9"/>
      <c r="AE33" s="9"/>
      <c r="AF33" s="9"/>
      <c r="AG33" s="9"/>
      <c r="AH33" s="9"/>
      <c r="AI33" s="9"/>
      <c r="AJ33" s="9"/>
      <c r="AK33" s="9"/>
      <c r="AL33" s="9"/>
      <c r="AM33" s="9"/>
      <c r="AN33" s="9"/>
      <c r="AO33" s="9"/>
      <c r="AP33" s="9"/>
      <c r="AQ33" s="8"/>
    </row>
    <row r="34" spans="1:43">
      <c r="A34" s="34" t="s">
        <v>64</v>
      </c>
      <c r="B34" s="35" t="s">
        <v>57</v>
      </c>
      <c r="C34" s="36">
        <f>ABS('[13]January 2012 RRS'!$J$11)</f>
        <v>0</v>
      </c>
      <c r="D34" s="66">
        <f>ABS('[13]February 2012 RRS'!$J$11)</f>
        <v>0</v>
      </c>
      <c r="E34" s="65">
        <f>ABS('[13]March 2012 RRS'!$J$11)</f>
        <v>0</v>
      </c>
      <c r="F34" s="66">
        <f>ABS('[13]April 2012 RRS'!$J$11)</f>
        <v>0</v>
      </c>
      <c r="G34" s="65">
        <f>ABS('[13]January 2012 RRS'!$J$11)</f>
        <v>0</v>
      </c>
      <c r="H34" s="66">
        <f>ABS('[13]January 2012 RRS'!$J$11)</f>
        <v>0</v>
      </c>
      <c r="I34" s="65">
        <f>ABS('[13]January 2012 RRS'!$J$11)</f>
        <v>0</v>
      </c>
      <c r="J34" s="66">
        <f>ABS('[13]January 2012 RRS'!$J$11)</f>
        <v>0</v>
      </c>
      <c r="K34" s="65">
        <f>ABS('[13]January 2012 RRS'!$J$11)</f>
        <v>0</v>
      </c>
      <c r="L34" s="66">
        <f>ABS('[13]January 2012 RRS'!$J$11)</f>
        <v>0</v>
      </c>
      <c r="M34" s="65">
        <f>ABS('[13]January 2012 RRS'!$J$11)</f>
        <v>0</v>
      </c>
      <c r="N34" s="66">
        <f>ABS('[13]January 2012 RRS'!$J$11)</f>
        <v>0</v>
      </c>
      <c r="O34" s="67">
        <f>SUM(C34:N34)</f>
        <v>0</v>
      </c>
      <c r="Q34" s="33"/>
      <c r="R34" s="57"/>
      <c r="S34" s="57"/>
      <c r="T34" s="57"/>
      <c r="U34" s="57"/>
      <c r="V34" s="41"/>
      <c r="W34" s="8"/>
    </row>
    <row r="35" spans="1:43" ht="15.75">
      <c r="A35" s="42"/>
      <c r="B35" s="35" t="s">
        <v>58</v>
      </c>
      <c r="C35" s="43" t="e">
        <f t="shared" ref="C35:N35" si="16">C36/C34</f>
        <v>#DIV/0!</v>
      </c>
      <c r="D35" s="44" t="e">
        <f t="shared" si="16"/>
        <v>#DIV/0!</v>
      </c>
      <c r="E35" s="43" t="e">
        <f t="shared" si="16"/>
        <v>#DIV/0!</v>
      </c>
      <c r="F35" s="44" t="e">
        <f t="shared" si="16"/>
        <v>#DIV/0!</v>
      </c>
      <c r="G35" s="43" t="e">
        <f t="shared" si="16"/>
        <v>#DIV/0!</v>
      </c>
      <c r="H35" s="44" t="e">
        <f t="shared" si="16"/>
        <v>#DIV/0!</v>
      </c>
      <c r="I35" s="43" t="e">
        <f t="shared" si="16"/>
        <v>#DIV/0!</v>
      </c>
      <c r="J35" s="44" t="e">
        <f t="shared" si="16"/>
        <v>#DIV/0!</v>
      </c>
      <c r="K35" s="43" t="e">
        <f t="shared" si="16"/>
        <v>#DIV/0!</v>
      </c>
      <c r="L35" s="44" t="e">
        <f t="shared" si="16"/>
        <v>#DIV/0!</v>
      </c>
      <c r="M35" s="43" t="e">
        <f t="shared" si="16"/>
        <v>#DIV/0!</v>
      </c>
      <c r="N35" s="44" t="e">
        <f t="shared" si="16"/>
        <v>#DIV/0!</v>
      </c>
      <c r="O35" s="45">
        <f>IF(O34=0,0,+O36/O34)</f>
        <v>0</v>
      </c>
      <c r="Q35" s="33"/>
      <c r="R35" s="46"/>
      <c r="S35" s="46"/>
      <c r="T35" s="68"/>
      <c r="U35" s="47"/>
      <c r="V35" s="41"/>
      <c r="W35" s="8"/>
    </row>
    <row r="36" spans="1:43">
      <c r="A36" s="42"/>
      <c r="B36" s="35" t="s">
        <v>15</v>
      </c>
      <c r="C36" s="48">
        <f>'[13]January 2012 RRS'!$L$11</f>
        <v>0</v>
      </c>
      <c r="D36" s="49">
        <f>'[13]February 2012 RRS'!$L$11</f>
        <v>0</v>
      </c>
      <c r="E36" s="48">
        <f>'[13]March 2012 RRS'!$L$11</f>
        <v>0</v>
      </c>
      <c r="F36" s="49">
        <f>'[13]April 2012 RRS'!$L$11</f>
        <v>0</v>
      </c>
      <c r="G36" s="48">
        <f>'[13]January 2012 RRS'!$L$11</f>
        <v>0</v>
      </c>
      <c r="H36" s="49">
        <f>'[13]January 2012 RRS'!$L$11</f>
        <v>0</v>
      </c>
      <c r="I36" s="48">
        <f>'[13]January 2012 RRS'!$L$11</f>
        <v>0</v>
      </c>
      <c r="J36" s="49">
        <f>'[13]January 2012 RRS'!$L$11</f>
        <v>0</v>
      </c>
      <c r="K36" s="48">
        <f>'[13]January 2012 RRS'!$L$11</f>
        <v>0</v>
      </c>
      <c r="L36" s="49">
        <f>'[13]January 2012 RRS'!$L$11</f>
        <v>0</v>
      </c>
      <c r="M36" s="48">
        <f>'[13]January 2012 RRS'!$L$11</f>
        <v>0</v>
      </c>
      <c r="N36" s="49">
        <f>'[13]January 2012 RRS'!$L$11</f>
        <v>0</v>
      </c>
      <c r="O36" s="50">
        <f>SUM(C36:N36)</f>
        <v>0</v>
      </c>
      <c r="Q36" s="33"/>
      <c r="R36" s="40"/>
      <c r="S36" s="40"/>
      <c r="T36" s="40"/>
      <c r="U36" s="40"/>
      <c r="V36" s="41"/>
    </row>
    <row r="37" spans="1:43" ht="16.5" thickBot="1">
      <c r="A37" s="51"/>
      <c r="B37" s="52" t="s">
        <v>59</v>
      </c>
      <c r="C37" s="53">
        <f t="shared" ref="C37:O37" si="17">C36/C$7</f>
        <v>0</v>
      </c>
      <c r="D37" s="54">
        <f t="shared" si="17"/>
        <v>0</v>
      </c>
      <c r="E37" s="53">
        <f t="shared" si="17"/>
        <v>0</v>
      </c>
      <c r="F37" s="54">
        <f t="shared" si="17"/>
        <v>0</v>
      </c>
      <c r="G37" s="53">
        <f t="shared" si="17"/>
        <v>0</v>
      </c>
      <c r="H37" s="54">
        <f t="shared" si="17"/>
        <v>0</v>
      </c>
      <c r="I37" s="53" t="e">
        <f t="shared" si="17"/>
        <v>#DIV/0!</v>
      </c>
      <c r="J37" s="54" t="e">
        <f t="shared" si="17"/>
        <v>#DIV/0!</v>
      </c>
      <c r="K37" s="53" t="e">
        <f t="shared" si="17"/>
        <v>#DIV/0!</v>
      </c>
      <c r="L37" s="54" t="e">
        <f t="shared" si="17"/>
        <v>#DIV/0!</v>
      </c>
      <c r="M37" s="53" t="e">
        <f t="shared" si="17"/>
        <v>#DIV/0!</v>
      </c>
      <c r="N37" s="54" t="e">
        <f t="shared" si="17"/>
        <v>#DIV/0!</v>
      </c>
      <c r="O37" s="55">
        <f t="shared" si="17"/>
        <v>0</v>
      </c>
      <c r="Q37" s="33"/>
      <c r="R37" s="56"/>
      <c r="S37" s="56"/>
      <c r="T37" s="57"/>
      <c r="U37" s="57"/>
      <c r="V37" s="41"/>
    </row>
    <row r="38" spans="1:43">
      <c r="A38" s="34" t="s">
        <v>66</v>
      </c>
      <c r="B38" s="35" t="s">
        <v>55</v>
      </c>
      <c r="C38" s="30">
        <f t="shared" ref="C38:O38" si="18">C39/C$7</f>
        <v>35.511968514097681</v>
      </c>
      <c r="D38" s="31">
        <f t="shared" si="18"/>
        <v>37.184262418229054</v>
      </c>
      <c r="E38" s="30">
        <f t="shared" si="18"/>
        <v>37.933934630666172</v>
      </c>
      <c r="F38" s="31">
        <f t="shared" si="18"/>
        <v>39.952660539178012</v>
      </c>
      <c r="G38" s="30">
        <f t="shared" si="18"/>
        <v>31.473909935668345</v>
      </c>
      <c r="H38" s="31">
        <f t="shared" si="18"/>
        <v>68.903355032548831</v>
      </c>
      <c r="I38" s="30" t="e">
        <f t="shared" si="18"/>
        <v>#DIV/0!</v>
      </c>
      <c r="J38" s="31" t="e">
        <f t="shared" si="18"/>
        <v>#DIV/0!</v>
      </c>
      <c r="K38" s="30" t="e">
        <f t="shared" si="18"/>
        <v>#DIV/0!</v>
      </c>
      <c r="L38" s="31" t="e">
        <f t="shared" si="18"/>
        <v>#DIV/0!</v>
      </c>
      <c r="M38" s="30" t="e">
        <f t="shared" si="18"/>
        <v>#DIV/0!</v>
      </c>
      <c r="N38" s="31" t="e">
        <f t="shared" si="18"/>
        <v>#DIV/0!</v>
      </c>
      <c r="O38" s="32">
        <f t="shared" si="18"/>
        <v>75.744292742247538</v>
      </c>
      <c r="Q38" s="33"/>
    </row>
    <row r="39" spans="1:43">
      <c r="A39" s="34" t="s">
        <v>64</v>
      </c>
      <c r="B39" s="35" t="s">
        <v>57</v>
      </c>
      <c r="C39" s="36">
        <f>ABS('[13]January 2012 RRS'!$J$12)</f>
        <v>11008</v>
      </c>
      <c r="D39" s="37">
        <f>ABS('[13]February 2012 RRS'!$J$12)</f>
        <v>11880</v>
      </c>
      <c r="E39" s="36">
        <f>ABS('[13]March 2012 RRS'!$J$12)</f>
        <v>13080</v>
      </c>
      <c r="F39" s="37">
        <f>ABS('[13]April 2012 RRS'!$J$12)</f>
        <v>12997</v>
      </c>
      <c r="G39" s="36">
        <f>ABS('[13]January 2012 RRS'!$J$12)</f>
        <v>11008</v>
      </c>
      <c r="H39" s="37">
        <f>ABS('[13]January 2012 RRS'!$J$12)</f>
        <v>11008</v>
      </c>
      <c r="I39" s="36">
        <f>ABS('[13]January 2012 RRS'!$J$12)</f>
        <v>11008</v>
      </c>
      <c r="J39" s="37">
        <f>ABS('[13]January 2012 RRS'!$J$12)</f>
        <v>11008</v>
      </c>
      <c r="K39" s="36">
        <f>ABS('[13]January 2012 RRS'!$J$12)</f>
        <v>11008</v>
      </c>
      <c r="L39" s="37">
        <f>ABS('[13]January 2012 RRS'!$J$12)</f>
        <v>11008</v>
      </c>
      <c r="M39" s="36">
        <f>ABS('[13]January 2012 RRS'!$J$12)</f>
        <v>11008</v>
      </c>
      <c r="N39" s="37">
        <f>ABS('[13]January 2012 RRS'!$J$12)</f>
        <v>11008</v>
      </c>
      <c r="O39" s="38">
        <f>SUM(C39:N39)</f>
        <v>137029</v>
      </c>
      <c r="Q39" s="33"/>
      <c r="R39" s="57"/>
      <c r="S39" s="57"/>
      <c r="T39" s="57"/>
      <c r="U39" s="57"/>
      <c r="V39" s="41"/>
      <c r="W39" s="8"/>
    </row>
    <row r="40" spans="1:43" ht="15.75">
      <c r="A40" s="42"/>
      <c r="B40" s="35" t="s">
        <v>58</v>
      </c>
      <c r="C40" s="43">
        <f t="shared" ref="C40:N40" si="19">C41/C39</f>
        <v>0.27799963662790694</v>
      </c>
      <c r="D40" s="44">
        <f t="shared" si="19"/>
        <v>0.27799999999999997</v>
      </c>
      <c r="E40" s="43">
        <f t="shared" si="19"/>
        <v>0.26529969418960242</v>
      </c>
      <c r="F40" s="44">
        <f t="shared" si="19"/>
        <v>0.23790028468108024</v>
      </c>
      <c r="G40" s="43">
        <f t="shared" si="19"/>
        <v>0.27799963662790694</v>
      </c>
      <c r="H40" s="44">
        <f t="shared" si="19"/>
        <v>0.27799963662790694</v>
      </c>
      <c r="I40" s="43">
        <f t="shared" si="19"/>
        <v>0.27799963662790694</v>
      </c>
      <c r="J40" s="44">
        <f t="shared" si="19"/>
        <v>0.27799963662790694</v>
      </c>
      <c r="K40" s="43">
        <f t="shared" si="19"/>
        <v>0.27799963662790694</v>
      </c>
      <c r="L40" s="44">
        <f t="shared" si="19"/>
        <v>0.27799963662790694</v>
      </c>
      <c r="M40" s="43">
        <f t="shared" si="19"/>
        <v>0.27799963662790694</v>
      </c>
      <c r="N40" s="44">
        <f t="shared" si="19"/>
        <v>0.27799963662790694</v>
      </c>
      <c r="O40" s="45">
        <f>IF(O39=0,0,+O41/O39)</f>
        <v>0.27298403987477105</v>
      </c>
      <c r="Q40" s="33"/>
      <c r="R40" s="46"/>
      <c r="S40" s="46"/>
      <c r="T40" s="47"/>
      <c r="U40" s="47"/>
      <c r="V40" s="41"/>
      <c r="W40" s="8"/>
    </row>
    <row r="41" spans="1:43">
      <c r="A41" s="42"/>
      <c r="B41" s="35" t="s">
        <v>15</v>
      </c>
      <c r="C41" s="48">
        <f>'[13]January 2012 RRS'!$L$12</f>
        <v>3060.22</v>
      </c>
      <c r="D41" s="49">
        <f>'[13]February 2012 RRS'!$L$12</f>
        <v>3302.64</v>
      </c>
      <c r="E41" s="48">
        <f>'[13]March 2012 RRS'!$L$12</f>
        <v>3470.12</v>
      </c>
      <c r="F41" s="49">
        <f>'[13]April 2012 RRS'!$L$12</f>
        <v>3091.99</v>
      </c>
      <c r="G41" s="48">
        <f>'[13]January 2012 RRS'!$L$12</f>
        <v>3060.22</v>
      </c>
      <c r="H41" s="49">
        <f>'[13]January 2012 RRS'!$L$12</f>
        <v>3060.22</v>
      </c>
      <c r="I41" s="48">
        <f>'[13]January 2012 RRS'!$L$12</f>
        <v>3060.22</v>
      </c>
      <c r="J41" s="49">
        <f>'[13]January 2012 RRS'!$L$12</f>
        <v>3060.22</v>
      </c>
      <c r="K41" s="48">
        <f>'[13]January 2012 RRS'!$L$12</f>
        <v>3060.22</v>
      </c>
      <c r="L41" s="49">
        <f>'[13]January 2012 RRS'!$L$12</f>
        <v>3060.22</v>
      </c>
      <c r="M41" s="48">
        <f>'[13]January 2012 RRS'!$L$12</f>
        <v>3060.22</v>
      </c>
      <c r="N41" s="49">
        <f>'[13]January 2012 RRS'!$L$12</f>
        <v>3060.22</v>
      </c>
      <c r="O41" s="50">
        <f>SUM(C41:N41)</f>
        <v>37406.730000000003</v>
      </c>
      <c r="Q41" s="33"/>
      <c r="R41" s="40"/>
      <c r="S41" s="40"/>
      <c r="T41" s="40"/>
      <c r="U41" s="40"/>
      <c r="V41" s="41"/>
    </row>
    <row r="42" spans="1:43" ht="16.5" thickBot="1">
      <c r="A42" s="51"/>
      <c r="B42" s="52" t="s">
        <v>59</v>
      </c>
      <c r="C42" s="53">
        <f t="shared" ref="C42:O42" si="20">C41/C$7</f>
        <v>9.8723143428608289</v>
      </c>
      <c r="D42" s="54">
        <f t="shared" si="20"/>
        <v>10.337224952267675</v>
      </c>
      <c r="E42" s="53">
        <f t="shared" si="20"/>
        <v>10.063861256924104</v>
      </c>
      <c r="F42" s="54">
        <f t="shared" si="20"/>
        <v>9.5047493160370102</v>
      </c>
      <c r="G42" s="53">
        <f t="shared" si="20"/>
        <v>8.7497355253752698</v>
      </c>
      <c r="H42" s="54">
        <f t="shared" si="20"/>
        <v>19.155107661492238</v>
      </c>
      <c r="I42" s="53" t="e">
        <f t="shared" si="20"/>
        <v>#DIV/0!</v>
      </c>
      <c r="J42" s="54" t="e">
        <f t="shared" si="20"/>
        <v>#DIV/0!</v>
      </c>
      <c r="K42" s="53" t="e">
        <f t="shared" si="20"/>
        <v>#DIV/0!</v>
      </c>
      <c r="L42" s="54" t="e">
        <f t="shared" si="20"/>
        <v>#DIV/0!</v>
      </c>
      <c r="M42" s="53" t="e">
        <f t="shared" si="20"/>
        <v>#DIV/0!</v>
      </c>
      <c r="N42" s="54" t="e">
        <f t="shared" si="20"/>
        <v>#DIV/0!</v>
      </c>
      <c r="O42" s="55">
        <f t="shared" si="20"/>
        <v>20.676983030236034</v>
      </c>
      <c r="Q42" s="33"/>
      <c r="R42" s="56"/>
      <c r="S42" s="56"/>
      <c r="T42" s="57"/>
      <c r="U42" s="57"/>
      <c r="V42" s="41"/>
    </row>
    <row r="43" spans="1:43">
      <c r="A43" s="69" t="s">
        <v>67</v>
      </c>
      <c r="B43" s="29" t="s">
        <v>55</v>
      </c>
      <c r="C43" s="30">
        <f t="shared" ref="C43:O43" si="21">C44/C$7</f>
        <v>452.68727014646106</v>
      </c>
      <c r="D43" s="31">
        <f t="shared" si="21"/>
        <v>438.02622930295155</v>
      </c>
      <c r="E43" s="30">
        <f t="shared" si="21"/>
        <v>441.1269974768714</v>
      </c>
      <c r="F43" s="31">
        <f t="shared" si="21"/>
        <v>443.04816943838188</v>
      </c>
      <c r="G43" s="30">
        <f t="shared" si="21"/>
        <v>401.21229449606875</v>
      </c>
      <c r="H43" s="31">
        <f t="shared" si="21"/>
        <v>878.34251377065607</v>
      </c>
      <c r="I43" s="30" t="e">
        <f t="shared" si="21"/>
        <v>#DIV/0!</v>
      </c>
      <c r="J43" s="31" t="e">
        <f t="shared" si="21"/>
        <v>#DIV/0!</v>
      </c>
      <c r="K43" s="30" t="e">
        <f t="shared" si="21"/>
        <v>#DIV/0!</v>
      </c>
      <c r="L43" s="31" t="e">
        <f t="shared" si="21"/>
        <v>#DIV/0!</v>
      </c>
      <c r="M43" s="30" t="e">
        <f t="shared" si="21"/>
        <v>#DIV/0!</v>
      </c>
      <c r="N43" s="31" t="e">
        <f t="shared" si="21"/>
        <v>#DIV/0!</v>
      </c>
      <c r="O43" s="32">
        <f t="shared" si="21"/>
        <v>939.19296887955352</v>
      </c>
    </row>
    <row r="44" spans="1:43">
      <c r="A44" s="34" t="s">
        <v>64</v>
      </c>
      <c r="B44" s="35" t="s">
        <v>57</v>
      </c>
      <c r="C44" s="36">
        <f>ABS('[13]January 2012 RRS'!$J$13)</f>
        <v>140324</v>
      </c>
      <c r="D44" s="37">
        <f>ABS('[13]February 2012 RRS'!$J$13)</f>
        <v>139945</v>
      </c>
      <c r="E44" s="36">
        <f>ABS('[13]March 2012 RRS'!$J$13)</f>
        <v>152105</v>
      </c>
      <c r="F44" s="37">
        <f>ABS('[13]April 2012 RRS'!$J$13)</f>
        <v>144128</v>
      </c>
      <c r="G44" s="36">
        <f>ABS('[13]January 2012 RRS'!$J$13)</f>
        <v>140324</v>
      </c>
      <c r="H44" s="37">
        <f>ABS('[13]January 2012 RRS'!$J$13)</f>
        <v>140324</v>
      </c>
      <c r="I44" s="36">
        <f>ABS('[13]January 2012 RRS'!$J$13)</f>
        <v>140324</v>
      </c>
      <c r="J44" s="37">
        <f>ABS('[13]January 2012 RRS'!$J$13)</f>
        <v>140324</v>
      </c>
      <c r="K44" s="36">
        <f>ABS('[13]January 2012 RRS'!$J$13)</f>
        <v>140324</v>
      </c>
      <c r="L44" s="37">
        <f>ABS('[13]January 2012 RRS'!$J$13)</f>
        <v>140324</v>
      </c>
      <c r="M44" s="36">
        <f>ABS('[13]January 2012 RRS'!$J$13)</f>
        <v>140324</v>
      </c>
      <c r="N44" s="37">
        <f>ABS('[13]January 2012 RRS'!$J$13)</f>
        <v>140324</v>
      </c>
      <c r="O44" s="38">
        <f>SUM(C44:N44)</f>
        <v>1699094</v>
      </c>
    </row>
    <row r="45" spans="1:43">
      <c r="A45" s="42"/>
      <c r="B45" s="35" t="s">
        <v>58</v>
      </c>
      <c r="C45" s="43">
        <f t="shared" ref="C45:N45" si="22">C46/C44</f>
        <v>0.15</v>
      </c>
      <c r="D45" s="44">
        <f t="shared" si="22"/>
        <v>0.15289999642716781</v>
      </c>
      <c r="E45" s="43">
        <f t="shared" si="22"/>
        <v>0.15409999671279709</v>
      </c>
      <c r="F45" s="44">
        <f t="shared" si="22"/>
        <v>0.15469998889875666</v>
      </c>
      <c r="G45" s="43">
        <f t="shared" si="22"/>
        <v>0.15</v>
      </c>
      <c r="H45" s="44">
        <f t="shared" si="22"/>
        <v>0.15</v>
      </c>
      <c r="I45" s="43">
        <f t="shared" si="22"/>
        <v>0.15</v>
      </c>
      <c r="J45" s="44">
        <f t="shared" si="22"/>
        <v>0.15</v>
      </c>
      <c r="K45" s="43">
        <f t="shared" si="22"/>
        <v>0.15</v>
      </c>
      <c r="L45" s="44">
        <f t="shared" si="22"/>
        <v>0.15</v>
      </c>
      <c r="M45" s="43">
        <f t="shared" si="22"/>
        <v>0.15</v>
      </c>
      <c r="N45" s="44">
        <f t="shared" si="22"/>
        <v>0.15</v>
      </c>
      <c r="O45" s="45">
        <f>IF(O44=0,0,+O46/O44)</f>
        <v>0.15100457655668259</v>
      </c>
    </row>
    <row r="46" spans="1:43">
      <c r="A46" s="42"/>
      <c r="B46" s="35" t="s">
        <v>15</v>
      </c>
      <c r="C46" s="48">
        <f>'[13]January 2012 RRS'!$L$13</f>
        <v>21048.6</v>
      </c>
      <c r="D46" s="49">
        <f>'[13]February 2012 RRS'!$L$13</f>
        <v>21397.59</v>
      </c>
      <c r="E46" s="48">
        <f>'[13]March 2012 RRS'!$L$13</f>
        <v>23439.38</v>
      </c>
      <c r="F46" s="49">
        <f>'[13]April 2012 RRS'!$L$13</f>
        <v>22296.6</v>
      </c>
      <c r="G46" s="48">
        <f>'[13]January 2012 RRS'!$L$13</f>
        <v>21048.6</v>
      </c>
      <c r="H46" s="49">
        <f>'[13]January 2012 RRS'!$L$13</f>
        <v>21048.6</v>
      </c>
      <c r="I46" s="48">
        <f>'[13]January 2012 RRS'!$L$13</f>
        <v>21048.6</v>
      </c>
      <c r="J46" s="49">
        <f>'[13]January 2012 RRS'!$L$13</f>
        <v>21048.6</v>
      </c>
      <c r="K46" s="48">
        <f>'[13]January 2012 RRS'!$L$13</f>
        <v>21048.6</v>
      </c>
      <c r="L46" s="49">
        <f>'[13]January 2012 RRS'!$L$13</f>
        <v>21048.6</v>
      </c>
      <c r="M46" s="48">
        <f>'[13]January 2012 RRS'!$L$13</f>
        <v>21048.6</v>
      </c>
      <c r="N46" s="49">
        <f>'[13]January 2012 RRS'!$L$13</f>
        <v>21048.6</v>
      </c>
      <c r="O46" s="50">
        <f>SUM(C46:N46)</f>
        <v>256570.97000000006</v>
      </c>
    </row>
    <row r="47" spans="1:43" ht="13.5" thickBot="1">
      <c r="A47" s="51"/>
      <c r="B47" s="52" t="s">
        <v>59</v>
      </c>
      <c r="C47" s="53">
        <f t="shared" ref="C47:O47" si="23">C46/C$7</f>
        <v>67.903090521969148</v>
      </c>
      <c r="D47" s="54">
        <f t="shared" si="23"/>
        <v>66.974208895427083</v>
      </c>
      <c r="E47" s="53">
        <f t="shared" si="23"/>
        <v>67.977668861111937</v>
      </c>
      <c r="F47" s="54">
        <f t="shared" si="23"/>
        <v>68.539546893732123</v>
      </c>
      <c r="G47" s="53">
        <f t="shared" si="23"/>
        <v>60.181844174410308</v>
      </c>
      <c r="H47" s="54">
        <f t="shared" si="23"/>
        <v>131.7513770655984</v>
      </c>
      <c r="I47" s="53" t="e">
        <f t="shared" si="23"/>
        <v>#DIV/0!</v>
      </c>
      <c r="J47" s="54" t="e">
        <f t="shared" si="23"/>
        <v>#DIV/0!</v>
      </c>
      <c r="K47" s="53" t="e">
        <f t="shared" si="23"/>
        <v>#DIV/0!</v>
      </c>
      <c r="L47" s="54" t="e">
        <f t="shared" si="23"/>
        <v>#DIV/0!</v>
      </c>
      <c r="M47" s="53" t="e">
        <f t="shared" si="23"/>
        <v>#DIV/0!</v>
      </c>
      <c r="N47" s="54" t="e">
        <f t="shared" si="23"/>
        <v>#DIV/0!</v>
      </c>
      <c r="O47" s="55">
        <f t="shared" si="23"/>
        <v>141.82243657067056</v>
      </c>
    </row>
    <row r="48" spans="1:43">
      <c r="A48" s="28" t="s">
        <v>68</v>
      </c>
      <c r="B48" s="29" t="s">
        <v>55</v>
      </c>
      <c r="C48" s="30">
        <f t="shared" ref="C48:O48" si="24">C49/C$7</f>
        <v>35.857152074327374</v>
      </c>
      <c r="D48" s="31">
        <f t="shared" si="24"/>
        <v>0</v>
      </c>
      <c r="E48" s="30">
        <f t="shared" si="24"/>
        <v>0</v>
      </c>
      <c r="F48" s="31">
        <f t="shared" si="24"/>
        <v>0</v>
      </c>
      <c r="G48" s="30">
        <f t="shared" si="24"/>
        <v>31.779842744817739</v>
      </c>
      <c r="H48" s="31">
        <f t="shared" si="24"/>
        <v>69.573109664496755</v>
      </c>
      <c r="I48" s="30" t="e">
        <f t="shared" si="24"/>
        <v>#DIV/0!</v>
      </c>
      <c r="J48" s="31" t="e">
        <f t="shared" si="24"/>
        <v>#DIV/0!</v>
      </c>
      <c r="K48" s="30" t="e">
        <f t="shared" si="24"/>
        <v>#DIV/0!</v>
      </c>
      <c r="L48" s="31" t="e">
        <f t="shared" si="24"/>
        <v>#DIV/0!</v>
      </c>
      <c r="M48" s="30" t="e">
        <f t="shared" si="24"/>
        <v>#DIV/0!</v>
      </c>
      <c r="N48" s="31" t="e">
        <f t="shared" si="24"/>
        <v>#DIV/0!</v>
      </c>
      <c r="O48" s="32">
        <f t="shared" si="24"/>
        <v>55.295450776629274</v>
      </c>
      <c r="Q48" s="33"/>
      <c r="Y48" s="15"/>
      <c r="AB48" s="8"/>
      <c r="AQ48" s="15"/>
    </row>
    <row r="49" spans="1:43">
      <c r="A49" s="34" t="s">
        <v>64</v>
      </c>
      <c r="B49" s="35" t="s">
        <v>57</v>
      </c>
      <c r="C49" s="36">
        <f>ABS('[13]January 2012 RRS'!$J$15)</f>
        <v>11115</v>
      </c>
      <c r="D49" s="37">
        <f>ABS('[13]February 2012 RRS'!$J$15)</f>
        <v>0</v>
      </c>
      <c r="E49" s="36">
        <f>ABS('[13]March 2012 RRS'!$J$15)</f>
        <v>0</v>
      </c>
      <c r="F49" s="37">
        <f>ABS('[13]April 2012 RRS'!$J$15)</f>
        <v>0</v>
      </c>
      <c r="G49" s="36">
        <f>ABS('[13]January 2012 RRS'!$J$15)</f>
        <v>11115</v>
      </c>
      <c r="H49" s="37">
        <f>ABS('[13]January 2012 RRS'!$J$15)</f>
        <v>11115</v>
      </c>
      <c r="I49" s="36">
        <f>ABS('[13]January 2012 RRS'!$J$15)</f>
        <v>11115</v>
      </c>
      <c r="J49" s="37">
        <f>ABS('[13]January 2012 RRS'!$J$15)</f>
        <v>11115</v>
      </c>
      <c r="K49" s="36">
        <f>ABS('[13]January 2012 RRS'!$J$15)</f>
        <v>11115</v>
      </c>
      <c r="L49" s="37">
        <f>ABS('[13]January 2012 RRS'!$J$15)</f>
        <v>11115</v>
      </c>
      <c r="M49" s="36">
        <f>ABS('[13]January 2012 RRS'!$J$15)</f>
        <v>11115</v>
      </c>
      <c r="N49" s="37">
        <f>ABS('[13]January 2012 RRS'!$J$15)</f>
        <v>11115</v>
      </c>
      <c r="O49" s="38">
        <f>SUM(C49:N49)</f>
        <v>100035</v>
      </c>
      <c r="Q49" s="33"/>
      <c r="R49" s="57"/>
      <c r="S49" s="57"/>
      <c r="T49" s="57"/>
      <c r="U49" s="57"/>
      <c r="V49" s="41"/>
      <c r="Y49" s="15"/>
      <c r="AB49" s="8"/>
      <c r="AQ49" s="15"/>
    </row>
    <row r="50" spans="1:43" ht="15.75">
      <c r="A50" s="42"/>
      <c r="B50" s="35" t="s">
        <v>58</v>
      </c>
      <c r="C50" s="43">
        <f t="shared" ref="C50:N50" si="25">C51/C49</f>
        <v>0.31130004498425551</v>
      </c>
      <c r="D50" s="44" t="e">
        <f t="shared" si="25"/>
        <v>#DIV/0!</v>
      </c>
      <c r="E50" s="43" t="e">
        <f t="shared" si="25"/>
        <v>#DIV/0!</v>
      </c>
      <c r="F50" s="44" t="e">
        <f t="shared" si="25"/>
        <v>#DIV/0!</v>
      </c>
      <c r="G50" s="43">
        <f t="shared" si="25"/>
        <v>0.31130004498425551</v>
      </c>
      <c r="H50" s="44">
        <f t="shared" si="25"/>
        <v>0.31130004498425551</v>
      </c>
      <c r="I50" s="43">
        <f t="shared" si="25"/>
        <v>0.31130004498425551</v>
      </c>
      <c r="J50" s="44">
        <f t="shared" si="25"/>
        <v>0.31130004498425551</v>
      </c>
      <c r="K50" s="43">
        <f t="shared" si="25"/>
        <v>0.31130004498425551</v>
      </c>
      <c r="L50" s="44">
        <f t="shared" si="25"/>
        <v>0.31130004498425551</v>
      </c>
      <c r="M50" s="43">
        <f t="shared" si="25"/>
        <v>0.31130004498425551</v>
      </c>
      <c r="N50" s="44">
        <f t="shared" si="25"/>
        <v>0.31130004498425551</v>
      </c>
      <c r="O50" s="45">
        <f>IF(O49=0,0,+O51/O49)</f>
        <v>0.31130004498425545</v>
      </c>
      <c r="Q50" s="33"/>
      <c r="R50" s="46"/>
      <c r="S50" s="46"/>
      <c r="T50" s="46"/>
      <c r="U50" s="47"/>
      <c r="V50" s="41"/>
      <c r="Y50" s="15"/>
      <c r="AB50" s="8"/>
      <c r="AQ50" s="15"/>
    </row>
    <row r="51" spans="1:43">
      <c r="A51" s="42"/>
      <c r="B51" s="35" t="s">
        <v>15</v>
      </c>
      <c r="C51" s="48">
        <f>'[13]January 2012 RRS'!$L$15</f>
        <v>3460.1</v>
      </c>
      <c r="D51" s="49">
        <f>'[13]February 2012 RRS'!$L$15</f>
        <v>0</v>
      </c>
      <c r="E51" s="48">
        <f>'[13]March 2012 RRS'!$L$15</f>
        <v>0</v>
      </c>
      <c r="F51" s="49">
        <f>'[13]April 2012 RRS'!$L$15</f>
        <v>0</v>
      </c>
      <c r="G51" s="48">
        <f>'[13]January 2012 RRS'!$L$15</f>
        <v>3460.1</v>
      </c>
      <c r="H51" s="49">
        <f>'[13]January 2012 RRS'!$L$15</f>
        <v>3460.1</v>
      </c>
      <c r="I51" s="48">
        <f>'[13]January 2012 RRS'!$L$15</f>
        <v>3460.1</v>
      </c>
      <c r="J51" s="49">
        <f>'[13]January 2012 RRS'!$L$15</f>
        <v>3460.1</v>
      </c>
      <c r="K51" s="48">
        <f>'[13]January 2012 RRS'!$L$15</f>
        <v>3460.1</v>
      </c>
      <c r="L51" s="49">
        <f>'[13]January 2012 RRS'!$L$15</f>
        <v>3460.1</v>
      </c>
      <c r="M51" s="48">
        <f>'[13]January 2012 RRS'!$L$15</f>
        <v>3460.1</v>
      </c>
      <c r="N51" s="49">
        <f>'[13]January 2012 RRS'!$L$15</f>
        <v>3460.1</v>
      </c>
      <c r="O51" s="50">
        <f>SUM(C51:N51)</f>
        <v>31140.899999999994</v>
      </c>
      <c r="Q51" s="33"/>
      <c r="R51" s="40"/>
      <c r="S51" s="40"/>
      <c r="T51" s="40"/>
      <c r="U51" s="40"/>
      <c r="V51" s="41"/>
      <c r="Y51" s="15"/>
      <c r="AQ51" s="15"/>
    </row>
    <row r="52" spans="1:43" ht="16.5" thickBot="1">
      <c r="A52" s="51"/>
      <c r="B52" s="52" t="s">
        <v>59</v>
      </c>
      <c r="C52" s="53">
        <f t="shared" ref="C52:O52" si="26">C51/C$7</f>
        <v>11.162333053745401</v>
      </c>
      <c r="D52" s="54">
        <f t="shared" si="26"/>
        <v>0</v>
      </c>
      <c r="E52" s="53">
        <f t="shared" si="26"/>
        <v>0</v>
      </c>
      <c r="F52" s="54">
        <f t="shared" si="26"/>
        <v>0</v>
      </c>
      <c r="G52" s="53">
        <f t="shared" si="26"/>
        <v>9.8930664760543277</v>
      </c>
      <c r="H52" s="54">
        <f t="shared" si="26"/>
        <v>21.65811216825238</v>
      </c>
      <c r="I52" s="53" t="e">
        <f t="shared" si="26"/>
        <v>#DIV/0!</v>
      </c>
      <c r="J52" s="54" t="e">
        <f t="shared" si="26"/>
        <v>#DIV/0!</v>
      </c>
      <c r="K52" s="53" t="e">
        <f t="shared" si="26"/>
        <v>#DIV/0!</v>
      </c>
      <c r="L52" s="54" t="e">
        <f t="shared" si="26"/>
        <v>#DIV/0!</v>
      </c>
      <c r="M52" s="53" t="e">
        <f t="shared" si="26"/>
        <v>#DIV/0!</v>
      </c>
      <c r="N52" s="54" t="e">
        <f t="shared" si="26"/>
        <v>#DIV/0!</v>
      </c>
      <c r="O52" s="55">
        <f t="shared" si="26"/>
        <v>17.213476314189375</v>
      </c>
      <c r="Q52" s="33"/>
      <c r="R52" s="56"/>
      <c r="S52" s="56"/>
      <c r="T52" s="56"/>
      <c r="U52" s="57"/>
      <c r="V52" s="41"/>
      <c r="Y52" s="15"/>
      <c r="AH52" s="16"/>
      <c r="AJ52" s="8"/>
      <c r="AQ52" s="15"/>
    </row>
    <row r="53" spans="1:43">
      <c r="A53" s="28" t="s">
        <v>69</v>
      </c>
      <c r="B53" s="29" t="s">
        <v>55</v>
      </c>
      <c r="C53" s="30">
        <v>0</v>
      </c>
      <c r="D53" s="31">
        <v>0</v>
      </c>
      <c r="E53" s="30">
        <v>0</v>
      </c>
      <c r="F53" s="31">
        <v>0</v>
      </c>
      <c r="G53" s="30">
        <v>0</v>
      </c>
      <c r="H53" s="31">
        <v>0</v>
      </c>
      <c r="I53" s="30">
        <v>0</v>
      </c>
      <c r="J53" s="31">
        <v>0</v>
      </c>
      <c r="K53" s="30">
        <v>0</v>
      </c>
      <c r="L53" s="31">
        <v>0</v>
      </c>
      <c r="M53" s="30">
        <v>0</v>
      </c>
      <c r="N53" s="31">
        <v>0</v>
      </c>
      <c r="O53" s="32">
        <f>O54/O$7</f>
        <v>4.0782709634624963</v>
      </c>
      <c r="Q53" s="33"/>
    </row>
    <row r="54" spans="1:43">
      <c r="A54" s="103" t="s">
        <v>106</v>
      </c>
      <c r="B54" s="35" t="s">
        <v>57</v>
      </c>
      <c r="C54" s="36">
        <f>ABS('[13]January 2012 RRS'!$J$16)</f>
        <v>0</v>
      </c>
      <c r="D54" s="66">
        <f>ABS('[13]February 2012 RRS'!$J$16)</f>
        <v>3088</v>
      </c>
      <c r="E54" s="65">
        <f>ABS('[13]March 2012 RRS'!$J$16)</f>
        <v>2860</v>
      </c>
      <c r="F54" s="66">
        <f>ABS('[13]April 2012 RRS'!$J$16)</f>
        <v>1430</v>
      </c>
      <c r="G54" s="65">
        <f>ABS('[13]January 2012 RRS'!$J$16)</f>
        <v>0</v>
      </c>
      <c r="H54" s="66">
        <f>ABS('[13]January 2012 RRS'!$J$16)</f>
        <v>0</v>
      </c>
      <c r="I54" s="65">
        <f>ABS('[13]January 2012 RRS'!$J$16)</f>
        <v>0</v>
      </c>
      <c r="J54" s="66">
        <f>ABS('[13]January 2012 RRS'!$J$16)</f>
        <v>0</v>
      </c>
      <c r="K54" s="65">
        <f>ABS('[13]January 2012 RRS'!$J$16)</f>
        <v>0</v>
      </c>
      <c r="L54" s="66">
        <f>ABS('[13]January 2012 RRS'!$J$16)</f>
        <v>0</v>
      </c>
      <c r="M54" s="65">
        <f>ABS('[13]January 2012 RRS'!$J$16)</f>
        <v>0</v>
      </c>
      <c r="N54" s="66">
        <f>ABS('[13]January 2012 RRS'!$J$16)</f>
        <v>0</v>
      </c>
      <c r="O54" s="67">
        <f>SUM(C54:N54)</f>
        <v>7378</v>
      </c>
      <c r="Q54" s="33"/>
      <c r="R54" s="57"/>
      <c r="S54" s="60"/>
      <c r="T54" s="57"/>
      <c r="U54" s="57"/>
      <c r="V54" s="41"/>
      <c r="W54" s="8"/>
    </row>
    <row r="55" spans="1:43" ht="15.75">
      <c r="A55" s="42"/>
      <c r="B55" s="35" t="s">
        <v>58</v>
      </c>
      <c r="C55" s="43" t="e">
        <f t="shared" ref="C55:N55" si="27">C56/C54</f>
        <v>#DIV/0!</v>
      </c>
      <c r="D55" s="44">
        <f t="shared" si="27"/>
        <v>2.4920984455958552</v>
      </c>
      <c r="E55" s="43">
        <f t="shared" si="27"/>
        <v>2.5018986013986013</v>
      </c>
      <c r="F55" s="44">
        <f t="shared" si="27"/>
        <v>2.5019020979020978</v>
      </c>
      <c r="G55" s="43" t="e">
        <f t="shared" si="27"/>
        <v>#DIV/0!</v>
      </c>
      <c r="H55" s="44" t="e">
        <f t="shared" si="27"/>
        <v>#DIV/0!</v>
      </c>
      <c r="I55" s="43" t="e">
        <f t="shared" si="27"/>
        <v>#DIV/0!</v>
      </c>
      <c r="J55" s="44" t="e">
        <f t="shared" si="27"/>
        <v>#DIV/0!</v>
      </c>
      <c r="K55" s="43" t="e">
        <f t="shared" si="27"/>
        <v>#DIV/0!</v>
      </c>
      <c r="L55" s="44" t="e">
        <f t="shared" si="27"/>
        <v>#DIV/0!</v>
      </c>
      <c r="M55" s="43" t="e">
        <f t="shared" si="27"/>
        <v>#DIV/0!</v>
      </c>
      <c r="N55" s="44" t="e">
        <f t="shared" si="27"/>
        <v>#DIV/0!</v>
      </c>
      <c r="O55" s="45">
        <f>IF(O54=0,0,+O56/O54)</f>
        <v>2.4977975060992139</v>
      </c>
      <c r="Q55" s="33"/>
      <c r="R55" s="46"/>
      <c r="S55" s="46"/>
      <c r="T55" s="47"/>
      <c r="U55" s="47"/>
      <c r="V55" s="41"/>
      <c r="W55" s="8"/>
    </row>
    <row r="56" spans="1:43">
      <c r="A56" s="42"/>
      <c r="B56" s="35" t="s">
        <v>15</v>
      </c>
      <c r="C56" s="48">
        <f>'[13]January 2012 RRS'!$L$16</f>
        <v>0</v>
      </c>
      <c r="D56" s="49">
        <f>'[13]February 2012 RRS'!$L$16</f>
        <v>7695.6</v>
      </c>
      <c r="E56" s="48">
        <f>'[13]March 2012 RRS'!$L$16</f>
        <v>7155.43</v>
      </c>
      <c r="F56" s="49">
        <f>'[13]April 2012 RRS'!$L$16</f>
        <v>3577.72</v>
      </c>
      <c r="G56" s="48">
        <f>'[13]January 2012 RRS'!$L$16</f>
        <v>0</v>
      </c>
      <c r="H56" s="49">
        <f>'[13]January 2012 RRS'!$L$16</f>
        <v>0</v>
      </c>
      <c r="I56" s="48">
        <f>'[13]January 2012 RRS'!$L$16</f>
        <v>0</v>
      </c>
      <c r="J56" s="49">
        <f>'[13]January 2012 RRS'!$L$16</f>
        <v>0</v>
      </c>
      <c r="K56" s="48">
        <f>'[13]January 2012 RRS'!$L$16</f>
        <v>0</v>
      </c>
      <c r="L56" s="49">
        <f>'[13]January 2012 RRS'!$L$16</f>
        <v>0</v>
      </c>
      <c r="M56" s="48">
        <f>'[13]January 2012 RRS'!$L$16</f>
        <v>0</v>
      </c>
      <c r="N56" s="49">
        <f>'[13]January 2012 RRS'!$L$16</f>
        <v>0</v>
      </c>
      <c r="O56" s="50">
        <f>SUM(C56:N56)</f>
        <v>18428.75</v>
      </c>
      <c r="Q56" s="33"/>
      <c r="R56" s="40"/>
      <c r="S56" s="40"/>
      <c r="T56" s="40"/>
      <c r="U56" s="40"/>
      <c r="V56" s="41"/>
    </row>
    <row r="57" spans="1:43" ht="16.5" thickBot="1">
      <c r="A57" s="51"/>
      <c r="B57" s="52" t="s">
        <v>59</v>
      </c>
      <c r="C57" s="53">
        <f t="shared" ref="C57:O57" si="28">C56/C$7</f>
        <v>0</v>
      </c>
      <c r="D57" s="54">
        <f t="shared" si="28"/>
        <v>24.087138877586153</v>
      </c>
      <c r="E57" s="53">
        <f t="shared" si="28"/>
        <v>20.751805342072451</v>
      </c>
      <c r="F57" s="54">
        <f t="shared" si="28"/>
        <v>10.997878946235897</v>
      </c>
      <c r="G57" s="53">
        <f t="shared" si="28"/>
        <v>0</v>
      </c>
      <c r="H57" s="54">
        <f t="shared" si="28"/>
        <v>0</v>
      </c>
      <c r="I57" s="53" t="e">
        <f t="shared" si="28"/>
        <v>#DIV/0!</v>
      </c>
      <c r="J57" s="54" t="e">
        <f t="shared" si="28"/>
        <v>#DIV/0!</v>
      </c>
      <c r="K57" s="53" t="e">
        <f t="shared" si="28"/>
        <v>#DIV/0!</v>
      </c>
      <c r="L57" s="54" t="e">
        <f t="shared" si="28"/>
        <v>#DIV/0!</v>
      </c>
      <c r="M57" s="53" t="e">
        <f t="shared" si="28"/>
        <v>#DIV/0!</v>
      </c>
      <c r="N57" s="54" t="e">
        <f t="shared" si="28"/>
        <v>#DIV/0!</v>
      </c>
      <c r="O57" s="55">
        <f t="shared" si="28"/>
        <v>10.18669504173346</v>
      </c>
      <c r="Q57" s="33"/>
      <c r="R57" s="46"/>
      <c r="S57" s="56"/>
      <c r="T57" s="57"/>
      <c r="U57" s="57"/>
      <c r="V57" s="41"/>
    </row>
    <row r="58" spans="1:43">
      <c r="A58" s="28" t="s">
        <v>70</v>
      </c>
      <c r="B58" s="29" t="s">
        <v>55</v>
      </c>
      <c r="C58" s="30">
        <f t="shared" ref="C58:O58" si="29">C59/C$7</f>
        <v>6.3875088715400992</v>
      </c>
      <c r="D58" s="31">
        <f t="shared" si="29"/>
        <v>2.1909918933299948</v>
      </c>
      <c r="E58" s="30">
        <f t="shared" si="29"/>
        <v>2.900147907543285</v>
      </c>
      <c r="F58" s="31">
        <f t="shared" si="29"/>
        <v>2.3054932218499276</v>
      </c>
      <c r="G58" s="30">
        <f t="shared" si="29"/>
        <v>5.6611865618298802</v>
      </c>
      <c r="H58" s="31">
        <f t="shared" si="29"/>
        <v>12.393590385578369</v>
      </c>
      <c r="I58" s="30" t="e">
        <f t="shared" si="29"/>
        <v>#DIV/0!</v>
      </c>
      <c r="J58" s="31" t="e">
        <f t="shared" si="29"/>
        <v>#DIV/0!</v>
      </c>
      <c r="K58" s="30" t="e">
        <f t="shared" si="29"/>
        <v>#DIV/0!</v>
      </c>
      <c r="L58" s="31" t="e">
        <f t="shared" si="29"/>
        <v>#DIV/0!</v>
      </c>
      <c r="M58" s="30" t="e">
        <f t="shared" si="29"/>
        <v>#DIV/0!</v>
      </c>
      <c r="N58" s="31" t="e">
        <f t="shared" si="29"/>
        <v>#DIV/0!</v>
      </c>
      <c r="O58" s="32">
        <f t="shared" si="29"/>
        <v>11.204466309214528</v>
      </c>
      <c r="V58" s="15"/>
    </row>
    <row r="59" spans="1:43">
      <c r="A59" s="34" t="s">
        <v>71</v>
      </c>
      <c r="B59" s="35" t="s">
        <v>57</v>
      </c>
      <c r="C59" s="36">
        <f>ABS('[13]January 2012 RRS'!$J$17)</f>
        <v>1980</v>
      </c>
      <c r="D59" s="37">
        <f>ABS('[13]February 2012 RRS'!$J$17)</f>
        <v>700</v>
      </c>
      <c r="E59" s="36">
        <f>ABS('[13]March 2012 RRS'!$J$17)</f>
        <v>1000</v>
      </c>
      <c r="F59" s="37">
        <f>ABS('[13]April 2012 RRS'!$J$17)</f>
        <v>750</v>
      </c>
      <c r="G59" s="36">
        <f>ABS('[13]January 2012 RRS'!$J$17)</f>
        <v>1980</v>
      </c>
      <c r="H59" s="37">
        <f>ABS('[13]January 2012 RRS'!$J$17)</f>
        <v>1980</v>
      </c>
      <c r="I59" s="36">
        <f>ABS('[13]January 2012 RRS'!$J$17)</f>
        <v>1980</v>
      </c>
      <c r="J59" s="37">
        <f>ABS('[13]January 2012 RRS'!$J$17)</f>
        <v>1980</v>
      </c>
      <c r="K59" s="36">
        <f>ABS('[13]January 2012 RRS'!$J$17)</f>
        <v>1980</v>
      </c>
      <c r="L59" s="37">
        <f>ABS('[13]January 2012 RRS'!$J$17)</f>
        <v>1980</v>
      </c>
      <c r="M59" s="36">
        <f>ABS('[13]January 2012 RRS'!$J$17)</f>
        <v>1980</v>
      </c>
      <c r="N59" s="37">
        <f>ABS('[13]January 2012 RRS'!$J$17)</f>
        <v>1980</v>
      </c>
      <c r="O59" s="38">
        <f>SUM(C59:N59)</f>
        <v>20270</v>
      </c>
      <c r="P59" s="9"/>
      <c r="Q59" s="9"/>
      <c r="R59" s="9"/>
      <c r="S59" s="9"/>
      <c r="T59" s="9"/>
      <c r="U59" s="9"/>
      <c r="V59" s="70"/>
    </row>
    <row r="60" spans="1:43">
      <c r="A60" s="34" t="s">
        <v>56</v>
      </c>
      <c r="B60" s="35" t="s">
        <v>58</v>
      </c>
      <c r="C60" s="43">
        <f t="shared" ref="C60:N60" si="30">C61/C59</f>
        <v>2.4761010101010101</v>
      </c>
      <c r="D60" s="44">
        <f t="shared" si="30"/>
        <v>0.1424</v>
      </c>
      <c r="E60" s="43">
        <f t="shared" si="30"/>
        <v>0.1424</v>
      </c>
      <c r="F60" s="44">
        <f t="shared" si="30"/>
        <v>0.1424</v>
      </c>
      <c r="G60" s="43">
        <f t="shared" si="30"/>
        <v>2.4761010101010101</v>
      </c>
      <c r="H60" s="44">
        <f t="shared" si="30"/>
        <v>2.4761010101010101</v>
      </c>
      <c r="I60" s="43">
        <f t="shared" si="30"/>
        <v>2.4761010101010101</v>
      </c>
      <c r="J60" s="44">
        <f t="shared" si="30"/>
        <v>2.4761010101010101</v>
      </c>
      <c r="K60" s="43">
        <f t="shared" si="30"/>
        <v>2.4761010101010101</v>
      </c>
      <c r="L60" s="44">
        <f t="shared" si="30"/>
        <v>2.4761010101010101</v>
      </c>
      <c r="M60" s="43">
        <f t="shared" si="30"/>
        <v>2.4761010101010101</v>
      </c>
      <c r="N60" s="44">
        <f t="shared" si="30"/>
        <v>2.4761010101010101</v>
      </c>
      <c r="O60" s="45">
        <f>IF(O59=0,0,+O61/O59)</f>
        <v>2.1940305870744945</v>
      </c>
      <c r="R60" s="15"/>
      <c r="S60" s="15"/>
      <c r="T60" s="15"/>
      <c r="U60" s="15"/>
      <c r="V60" s="71"/>
    </row>
    <row r="61" spans="1:43" ht="15.75">
      <c r="A61" s="42"/>
      <c r="B61" s="35" t="s">
        <v>15</v>
      </c>
      <c r="C61" s="48">
        <f>'[13]January 2012 RRS'!$L$17</f>
        <v>4902.68</v>
      </c>
      <c r="D61" s="49">
        <f>'[13]February 2012 RRS'!$L$17</f>
        <v>99.68</v>
      </c>
      <c r="E61" s="48">
        <f>'[13]March 2012 RRS'!$L$17</f>
        <v>142.4</v>
      </c>
      <c r="F61" s="49">
        <f>'[13]April 2012 RRS'!$L$17</f>
        <v>106.8</v>
      </c>
      <c r="G61" s="48">
        <f>'[13]January 2012 RRS'!$L$17</f>
        <v>4902.68</v>
      </c>
      <c r="H61" s="49">
        <f>'[13]January 2012 RRS'!$L$17</f>
        <v>4902.68</v>
      </c>
      <c r="I61" s="48">
        <f>'[13]January 2012 RRS'!$L$17</f>
        <v>4902.68</v>
      </c>
      <c r="J61" s="49">
        <f>'[13]January 2012 RRS'!$L$17</f>
        <v>4902.68</v>
      </c>
      <c r="K61" s="48">
        <f>'[13]January 2012 RRS'!$L$17</f>
        <v>4902.68</v>
      </c>
      <c r="L61" s="49">
        <f>'[13]January 2012 RRS'!$L$17</f>
        <v>4902.68</v>
      </c>
      <c r="M61" s="48">
        <f>'[13]January 2012 RRS'!$L$17</f>
        <v>4902.68</v>
      </c>
      <c r="N61" s="49">
        <f>'[13]January 2012 RRS'!$L$17</f>
        <v>4902.68</v>
      </c>
      <c r="O61" s="50">
        <f>SUM(C61:N61)</f>
        <v>44473</v>
      </c>
      <c r="R61" s="72"/>
      <c r="S61" s="15"/>
      <c r="T61" s="72"/>
      <c r="U61" s="15"/>
      <c r="V61" s="15"/>
    </row>
    <row r="62" spans="1:43" ht="13.5" thickBot="1">
      <c r="A62" s="51"/>
      <c r="B62" s="52" t="s">
        <v>59</v>
      </c>
      <c r="C62" s="53">
        <f t="shared" ref="C62:O62" si="31">C61/C$7</f>
        <v>15.816117168849603</v>
      </c>
      <c r="D62" s="54">
        <f t="shared" si="31"/>
        <v>0.31199724561019127</v>
      </c>
      <c r="E62" s="53">
        <f t="shared" si="31"/>
        <v>0.41298106203416385</v>
      </c>
      <c r="F62" s="54">
        <f t="shared" si="31"/>
        <v>0.32830223479142973</v>
      </c>
      <c r="G62" s="53">
        <f t="shared" si="31"/>
        <v>14.017669764117231</v>
      </c>
      <c r="H62" s="54">
        <f t="shared" si="31"/>
        <v>30.687781672508766</v>
      </c>
      <c r="I62" s="53" t="e">
        <f t="shared" si="31"/>
        <v>#DIV/0!</v>
      </c>
      <c r="J62" s="54" t="e">
        <f t="shared" si="31"/>
        <v>#DIV/0!</v>
      </c>
      <c r="K62" s="53" t="e">
        <f t="shared" si="31"/>
        <v>#DIV/0!</v>
      </c>
      <c r="L62" s="54" t="e">
        <f t="shared" si="31"/>
        <v>#DIV/0!</v>
      </c>
      <c r="M62" s="53" t="e">
        <f t="shared" si="31"/>
        <v>#DIV/0!</v>
      </c>
      <c r="N62" s="54" t="e">
        <f t="shared" si="31"/>
        <v>#DIV/0!</v>
      </c>
      <c r="O62" s="55">
        <f t="shared" si="31"/>
        <v>24.582941794262346</v>
      </c>
      <c r="R62" s="15"/>
      <c r="S62" s="15"/>
      <c r="T62" s="15"/>
      <c r="U62" s="15"/>
      <c r="V62" s="15"/>
    </row>
    <row r="63" spans="1:43">
      <c r="A63" s="28" t="s">
        <v>72</v>
      </c>
      <c r="B63" s="29" t="s">
        <v>55</v>
      </c>
      <c r="C63" s="30">
        <f t="shared" ref="C63:O63" si="32">C64/C$7</f>
        <v>2.4195109361894316</v>
      </c>
      <c r="D63" s="31">
        <f t="shared" si="32"/>
        <v>0</v>
      </c>
      <c r="E63" s="30">
        <f t="shared" si="32"/>
        <v>0</v>
      </c>
      <c r="F63" s="31">
        <f t="shared" si="32"/>
        <v>0</v>
      </c>
      <c r="G63" s="30">
        <f t="shared" si="32"/>
        <v>2.144388849177985</v>
      </c>
      <c r="H63" s="31">
        <f t="shared" si="32"/>
        <v>4.6945418127190788</v>
      </c>
      <c r="I63" s="30" t="e">
        <f t="shared" si="32"/>
        <v>#DIV/0!</v>
      </c>
      <c r="J63" s="31" t="e">
        <f t="shared" si="32"/>
        <v>#DIV/0!</v>
      </c>
      <c r="K63" s="30" t="e">
        <f t="shared" si="32"/>
        <v>#DIV/0!</v>
      </c>
      <c r="L63" s="31" t="e">
        <f t="shared" si="32"/>
        <v>#DIV/0!</v>
      </c>
      <c r="M63" s="30" t="e">
        <f t="shared" si="32"/>
        <v>#DIV/0!</v>
      </c>
      <c r="N63" s="31" t="e">
        <f t="shared" si="32"/>
        <v>#DIV/0!</v>
      </c>
      <c r="O63" s="32">
        <f t="shared" si="32"/>
        <v>3.7311370294621642</v>
      </c>
      <c r="Q63" s="33"/>
    </row>
    <row r="64" spans="1:43">
      <c r="A64" s="34" t="s">
        <v>56</v>
      </c>
      <c r="B64" s="35" t="s">
        <v>57</v>
      </c>
      <c r="C64" s="36">
        <f>ABS('[13]January 2012 RRS'!$J$18)</f>
        <v>750</v>
      </c>
      <c r="D64" s="37">
        <f>ABS('[13]February 2012 RRS'!$J$18)</f>
        <v>0</v>
      </c>
      <c r="E64" s="36">
        <f>ABS('[13]March 2012 RRS'!$J$18)</f>
        <v>0</v>
      </c>
      <c r="F64" s="37">
        <f>ABS('[13]April 2012 RRS'!$J$18)</f>
        <v>0</v>
      </c>
      <c r="G64" s="36">
        <f>ABS('[13]January 2012 RRS'!$J$18)</f>
        <v>750</v>
      </c>
      <c r="H64" s="37">
        <f>ABS('[13]January 2012 RRS'!$J$18)</f>
        <v>750</v>
      </c>
      <c r="I64" s="36">
        <f>ABS('[13]January 2012 RRS'!$J$18)</f>
        <v>750</v>
      </c>
      <c r="J64" s="37">
        <f>ABS('[13]January 2012 RRS'!$J$18)</f>
        <v>750</v>
      </c>
      <c r="K64" s="36">
        <f>ABS('[13]January 2012 RRS'!$J$18)</f>
        <v>750</v>
      </c>
      <c r="L64" s="37">
        <f>ABS('[13]January 2012 RRS'!$J$18)</f>
        <v>750</v>
      </c>
      <c r="M64" s="36">
        <f>ABS('[13]January 2012 RRS'!$J$18)</f>
        <v>750</v>
      </c>
      <c r="N64" s="37">
        <f>ABS('[13]January 2012 RRS'!$J$18)</f>
        <v>750</v>
      </c>
      <c r="O64" s="38">
        <f>SUM(C64:N64)</f>
        <v>6750</v>
      </c>
      <c r="Q64" s="33"/>
      <c r="R64" s="57"/>
      <c r="S64" s="57"/>
      <c r="T64" s="57"/>
      <c r="U64" s="60"/>
      <c r="V64" s="41"/>
    </row>
    <row r="65" spans="1:22" ht="15.75">
      <c r="A65" s="42"/>
      <c r="B65" s="35" t="s">
        <v>58</v>
      </c>
      <c r="C65" s="43">
        <f t="shared" ref="C65:N65" si="33">C66/C64</f>
        <v>0.14133333333333334</v>
      </c>
      <c r="D65" s="44" t="e">
        <f t="shared" si="33"/>
        <v>#DIV/0!</v>
      </c>
      <c r="E65" s="43" t="e">
        <f t="shared" si="33"/>
        <v>#DIV/0!</v>
      </c>
      <c r="F65" s="44" t="e">
        <f t="shared" si="33"/>
        <v>#DIV/0!</v>
      </c>
      <c r="G65" s="43">
        <f t="shared" si="33"/>
        <v>0.14133333333333334</v>
      </c>
      <c r="H65" s="44">
        <f t="shared" si="33"/>
        <v>0.14133333333333334</v>
      </c>
      <c r="I65" s="43">
        <f t="shared" si="33"/>
        <v>0.14133333333333334</v>
      </c>
      <c r="J65" s="44">
        <f t="shared" si="33"/>
        <v>0.14133333333333334</v>
      </c>
      <c r="K65" s="43">
        <f t="shared" si="33"/>
        <v>0.14133333333333334</v>
      </c>
      <c r="L65" s="44">
        <f t="shared" si="33"/>
        <v>0.14133333333333334</v>
      </c>
      <c r="M65" s="43">
        <f t="shared" si="33"/>
        <v>0.14133333333333334</v>
      </c>
      <c r="N65" s="44">
        <f t="shared" si="33"/>
        <v>0.14133333333333334</v>
      </c>
      <c r="O65" s="45">
        <f>IF(O64=0,0,+O66/O64)</f>
        <v>0.14133333333333334</v>
      </c>
      <c r="Q65" s="33"/>
      <c r="R65" s="46"/>
      <c r="S65" s="46"/>
      <c r="T65" s="47"/>
      <c r="U65" s="47"/>
      <c r="V65" s="41"/>
    </row>
    <row r="66" spans="1:22">
      <c r="A66" s="42"/>
      <c r="B66" s="35" t="s">
        <v>15</v>
      </c>
      <c r="C66" s="48">
        <f>'[13]January 2012 RRS'!$L$18</f>
        <v>106</v>
      </c>
      <c r="D66" s="49">
        <f>'[13]February 2012 RRS'!$L$18</f>
        <v>0</v>
      </c>
      <c r="E66" s="48">
        <f>'[13]March 2012 RRS'!$L$18</f>
        <v>0</v>
      </c>
      <c r="F66" s="49">
        <f>'[13]April 2012 RRS'!$L$18</f>
        <v>0</v>
      </c>
      <c r="G66" s="48">
        <f>'[13]January 2012 RRS'!$L$18</f>
        <v>106</v>
      </c>
      <c r="H66" s="49">
        <f>'[13]January 2012 RRS'!$L$18</f>
        <v>106</v>
      </c>
      <c r="I66" s="48">
        <f>'[13]January 2012 RRS'!$L$18</f>
        <v>106</v>
      </c>
      <c r="J66" s="49">
        <f>'[13]January 2012 RRS'!$L$18</f>
        <v>106</v>
      </c>
      <c r="K66" s="48">
        <f>'[13]January 2012 RRS'!$L$18</f>
        <v>106</v>
      </c>
      <c r="L66" s="49">
        <f>'[13]January 2012 RRS'!$L$18</f>
        <v>106</v>
      </c>
      <c r="M66" s="48">
        <f>'[13]January 2012 RRS'!$L$18</f>
        <v>106</v>
      </c>
      <c r="N66" s="49">
        <f>'[13]January 2012 RRS'!$L$18</f>
        <v>106</v>
      </c>
      <c r="O66" s="50">
        <f>SUM(C66:N66)</f>
        <v>954</v>
      </c>
      <c r="Q66" s="33"/>
      <c r="R66" s="40"/>
      <c r="S66" s="40"/>
      <c r="T66" s="40"/>
      <c r="U66" s="40"/>
      <c r="V66" s="41"/>
    </row>
    <row r="67" spans="1:22" ht="16.5" thickBot="1">
      <c r="A67" s="51"/>
      <c r="B67" s="52" t="s">
        <v>59</v>
      </c>
      <c r="C67" s="53">
        <f t="shared" ref="C67:O67" si="34">C66/C$7</f>
        <v>0.34195754564810632</v>
      </c>
      <c r="D67" s="54">
        <f t="shared" si="34"/>
        <v>0</v>
      </c>
      <c r="E67" s="53">
        <f t="shared" si="34"/>
        <v>0</v>
      </c>
      <c r="F67" s="54">
        <f t="shared" si="34"/>
        <v>0</v>
      </c>
      <c r="G67" s="53">
        <f t="shared" si="34"/>
        <v>0.30307362401715521</v>
      </c>
      <c r="H67" s="54">
        <f t="shared" si="34"/>
        <v>0.66349524286429651</v>
      </c>
      <c r="I67" s="53" t="e">
        <f t="shared" si="34"/>
        <v>#DIV/0!</v>
      </c>
      <c r="J67" s="54" t="e">
        <f t="shared" si="34"/>
        <v>#DIV/0!</v>
      </c>
      <c r="K67" s="53" t="e">
        <f t="shared" si="34"/>
        <v>#DIV/0!</v>
      </c>
      <c r="L67" s="54" t="e">
        <f t="shared" si="34"/>
        <v>#DIV/0!</v>
      </c>
      <c r="M67" s="53" t="e">
        <f t="shared" si="34"/>
        <v>#DIV/0!</v>
      </c>
      <c r="N67" s="54" t="e">
        <f t="shared" si="34"/>
        <v>#DIV/0!</v>
      </c>
      <c r="O67" s="55">
        <f t="shared" si="34"/>
        <v>0.52733403349731922</v>
      </c>
      <c r="Q67" s="33"/>
      <c r="R67" s="56"/>
      <c r="S67" s="56"/>
      <c r="T67" s="57"/>
      <c r="U67" s="57"/>
      <c r="V67" s="41"/>
    </row>
    <row r="68" spans="1:22">
      <c r="A68" s="181" t="s">
        <v>73</v>
      </c>
      <c r="B68" s="29" t="s">
        <v>55</v>
      </c>
      <c r="C68" s="30">
        <v>0</v>
      </c>
      <c r="D68" s="31">
        <v>0</v>
      </c>
      <c r="E68" s="30">
        <v>0</v>
      </c>
      <c r="F68" s="31">
        <v>0</v>
      </c>
      <c r="G68" s="30">
        <v>0</v>
      </c>
      <c r="H68" s="31">
        <v>0</v>
      </c>
      <c r="I68" s="30">
        <v>0</v>
      </c>
      <c r="J68" s="31">
        <v>0</v>
      </c>
      <c r="K68" s="30">
        <v>0</v>
      </c>
      <c r="L68" s="31">
        <v>0</v>
      </c>
      <c r="M68" s="30">
        <v>0</v>
      </c>
      <c r="N68" s="31">
        <v>0</v>
      </c>
      <c r="O68" s="32">
        <f>O69/O$7</f>
        <v>0</v>
      </c>
      <c r="Q68" s="33"/>
    </row>
    <row r="69" spans="1:22">
      <c r="A69" s="34" t="s">
        <v>64</v>
      </c>
      <c r="B69" s="35" t="s">
        <v>57</v>
      </c>
      <c r="C69" s="36">
        <v>0</v>
      </c>
      <c r="D69" s="66">
        <v>0</v>
      </c>
      <c r="E69" s="65">
        <v>0</v>
      </c>
      <c r="F69" s="66">
        <v>0</v>
      </c>
      <c r="G69" s="65">
        <v>0</v>
      </c>
      <c r="H69" s="66">
        <v>0</v>
      </c>
      <c r="I69" s="65">
        <v>0</v>
      </c>
      <c r="J69" s="66">
        <v>0</v>
      </c>
      <c r="K69" s="65">
        <v>0</v>
      </c>
      <c r="L69" s="66">
        <v>0</v>
      </c>
      <c r="M69" s="65">
        <v>0</v>
      </c>
      <c r="N69" s="66">
        <v>0</v>
      </c>
      <c r="O69" s="67">
        <f>SUM(C69:N69)</f>
        <v>0</v>
      </c>
      <c r="Q69" s="33"/>
      <c r="R69" s="57"/>
      <c r="S69" s="57"/>
      <c r="T69" s="57"/>
      <c r="U69" s="60"/>
      <c r="V69" s="41"/>
    </row>
    <row r="70" spans="1:22" ht="15.75">
      <c r="A70" s="42"/>
      <c r="B70" s="35" t="s">
        <v>58</v>
      </c>
      <c r="C70" s="43">
        <v>0</v>
      </c>
      <c r="D70" s="44">
        <v>0</v>
      </c>
      <c r="E70" s="43">
        <v>0</v>
      </c>
      <c r="F70" s="44">
        <v>0</v>
      </c>
      <c r="G70" s="43">
        <v>0</v>
      </c>
      <c r="H70" s="44">
        <v>0</v>
      </c>
      <c r="I70" s="43">
        <v>0</v>
      </c>
      <c r="J70" s="44">
        <v>0</v>
      </c>
      <c r="K70" s="43">
        <v>0</v>
      </c>
      <c r="L70" s="44">
        <v>0</v>
      </c>
      <c r="M70" s="43">
        <v>0</v>
      </c>
      <c r="N70" s="44">
        <v>0</v>
      </c>
      <c r="O70" s="45">
        <f>IF(O69=0,0,+O71/O69)</f>
        <v>0</v>
      </c>
      <c r="Q70" s="33"/>
      <c r="R70" s="46"/>
      <c r="S70" s="46"/>
      <c r="T70" s="47"/>
      <c r="U70" s="47"/>
      <c r="V70" s="41"/>
    </row>
    <row r="71" spans="1:22">
      <c r="A71" s="42"/>
      <c r="B71" s="35" t="s">
        <v>15</v>
      </c>
      <c r="C71" s="48">
        <v>0</v>
      </c>
      <c r="D71" s="49">
        <v>0</v>
      </c>
      <c r="E71" s="48">
        <v>0</v>
      </c>
      <c r="F71" s="49">
        <v>0</v>
      </c>
      <c r="G71" s="48">
        <v>0</v>
      </c>
      <c r="H71" s="49">
        <v>0</v>
      </c>
      <c r="I71" s="48">
        <v>0</v>
      </c>
      <c r="J71" s="49">
        <v>0</v>
      </c>
      <c r="K71" s="48">
        <v>0</v>
      </c>
      <c r="L71" s="49">
        <v>0</v>
      </c>
      <c r="M71" s="48">
        <v>0</v>
      </c>
      <c r="N71" s="49">
        <v>0</v>
      </c>
      <c r="O71" s="50">
        <f>SUM(C71:N71)</f>
        <v>0</v>
      </c>
      <c r="Q71" s="33"/>
      <c r="R71" s="40"/>
      <c r="S71" s="40"/>
      <c r="T71" s="40"/>
      <c r="U71" s="40"/>
      <c r="V71" s="41"/>
    </row>
    <row r="72" spans="1:22" ht="16.5" thickBot="1">
      <c r="A72" s="51"/>
      <c r="B72" s="52" t="s">
        <v>59</v>
      </c>
      <c r="C72" s="53">
        <f t="shared" ref="C72:O72" si="35">C71/C$7</f>
        <v>0</v>
      </c>
      <c r="D72" s="54">
        <f t="shared" si="35"/>
        <v>0</v>
      </c>
      <c r="E72" s="53">
        <f t="shared" si="35"/>
        <v>0</v>
      </c>
      <c r="F72" s="54">
        <f t="shared" si="35"/>
        <v>0</v>
      </c>
      <c r="G72" s="53">
        <f t="shared" si="35"/>
        <v>0</v>
      </c>
      <c r="H72" s="54">
        <f t="shared" si="35"/>
        <v>0</v>
      </c>
      <c r="I72" s="53" t="e">
        <f t="shared" si="35"/>
        <v>#DIV/0!</v>
      </c>
      <c r="J72" s="54" t="e">
        <f t="shared" si="35"/>
        <v>#DIV/0!</v>
      </c>
      <c r="K72" s="53" t="e">
        <f t="shared" si="35"/>
        <v>#DIV/0!</v>
      </c>
      <c r="L72" s="54" t="e">
        <f t="shared" si="35"/>
        <v>#DIV/0!</v>
      </c>
      <c r="M72" s="53" t="e">
        <f t="shared" si="35"/>
        <v>#DIV/0!</v>
      </c>
      <c r="N72" s="54" t="e">
        <f t="shared" si="35"/>
        <v>#DIV/0!</v>
      </c>
      <c r="O72" s="55">
        <f t="shared" si="35"/>
        <v>0</v>
      </c>
      <c r="Q72" s="33"/>
      <c r="R72" s="56"/>
      <c r="S72" s="56"/>
      <c r="T72" s="57"/>
      <c r="U72" s="57"/>
      <c r="V72" s="41"/>
    </row>
    <row r="73" spans="1:22">
      <c r="A73" s="28" t="s">
        <v>74</v>
      </c>
      <c r="B73" s="29" t="s">
        <v>55</v>
      </c>
      <c r="C73" s="30">
        <f t="shared" ref="C73:O73" si="36">C74/C$7</f>
        <v>0</v>
      </c>
      <c r="D73" s="31">
        <f t="shared" si="36"/>
        <v>4.9923315283733452</v>
      </c>
      <c r="E73" s="30">
        <f t="shared" si="36"/>
        <v>4.6518372436994291</v>
      </c>
      <c r="F73" s="31">
        <f t="shared" si="36"/>
        <v>5.7483630998124866</v>
      </c>
      <c r="G73" s="30">
        <f t="shared" si="36"/>
        <v>0</v>
      </c>
      <c r="H73" s="31">
        <f t="shared" si="36"/>
        <v>0</v>
      </c>
      <c r="I73" s="30" t="e">
        <f t="shared" si="36"/>
        <v>#DIV/0!</v>
      </c>
      <c r="J73" s="31" t="e">
        <f t="shared" si="36"/>
        <v>#DIV/0!</v>
      </c>
      <c r="K73" s="30" t="e">
        <f t="shared" si="36"/>
        <v>#DIV/0!</v>
      </c>
      <c r="L73" s="31" t="e">
        <f t="shared" si="36"/>
        <v>#DIV/0!</v>
      </c>
      <c r="M73" s="30" t="e">
        <f t="shared" si="36"/>
        <v>#DIV/0!</v>
      </c>
      <c r="N73" s="31" t="e">
        <f t="shared" si="36"/>
        <v>#DIV/0!</v>
      </c>
      <c r="O73" s="32">
        <f t="shared" si="36"/>
        <v>2.8019457188657348</v>
      </c>
      <c r="Q73" s="33"/>
    </row>
    <row r="74" spans="1:22">
      <c r="A74" s="34" t="s">
        <v>64</v>
      </c>
      <c r="B74" s="35" t="s">
        <v>57</v>
      </c>
      <c r="C74" s="36">
        <f>ABS('[13]January 2012 RRS'!$J$19)</f>
        <v>0</v>
      </c>
      <c r="D74" s="37">
        <f>ABS('[13]February 2012 RRS'!$J$19)</f>
        <v>1595</v>
      </c>
      <c r="E74" s="36">
        <f>ABS('[13]March 2012 RRS'!$J$19)</f>
        <v>1604</v>
      </c>
      <c r="F74" s="37">
        <f>ABS('[13]April 2012 RRS'!$J$19)</f>
        <v>1870</v>
      </c>
      <c r="G74" s="36">
        <f>ABS('[13]January 2012 RRS'!$J$19)</f>
        <v>0</v>
      </c>
      <c r="H74" s="37">
        <f>ABS('[13]January 2012 RRS'!$J$19)</f>
        <v>0</v>
      </c>
      <c r="I74" s="36">
        <f>ABS('[13]January 2012 RRS'!$J$19)</f>
        <v>0</v>
      </c>
      <c r="J74" s="37">
        <f>ABS('[13]January 2012 RRS'!$J$19)</f>
        <v>0</v>
      </c>
      <c r="K74" s="36">
        <f>ABS('[13]January 2012 RRS'!$J$19)</f>
        <v>0</v>
      </c>
      <c r="L74" s="37">
        <f>ABS('[13]January 2012 RRS'!$J$19)</f>
        <v>0</v>
      </c>
      <c r="M74" s="36">
        <f>ABS('[13]January 2012 RRS'!$J$19)</f>
        <v>0</v>
      </c>
      <c r="N74" s="37">
        <f>ABS('[13]January 2012 RRS'!$J$19)</f>
        <v>0</v>
      </c>
      <c r="O74" s="38">
        <f>SUM(C74:N74)</f>
        <v>5069</v>
      </c>
      <c r="Q74" s="33"/>
      <c r="R74" s="57"/>
      <c r="S74" s="57"/>
      <c r="T74" s="57"/>
      <c r="U74" s="60"/>
      <c r="V74" s="41"/>
    </row>
    <row r="75" spans="1:22" ht="15.75">
      <c r="A75" s="42"/>
      <c r="B75" s="35" t="s">
        <v>58</v>
      </c>
      <c r="C75" s="43" t="e">
        <f t="shared" ref="C75:N75" si="37">C76/C74</f>
        <v>#DIV/0!</v>
      </c>
      <c r="D75" s="44">
        <f t="shared" si="37"/>
        <v>0.50880250783699055</v>
      </c>
      <c r="E75" s="43">
        <f t="shared" si="37"/>
        <v>0.55410224438902744</v>
      </c>
      <c r="F75" s="44">
        <f t="shared" si="37"/>
        <v>0.52810160427807484</v>
      </c>
      <c r="G75" s="43" t="e">
        <f t="shared" si="37"/>
        <v>#DIV/0!</v>
      </c>
      <c r="H75" s="44" t="e">
        <f t="shared" si="37"/>
        <v>#DIV/0!</v>
      </c>
      <c r="I75" s="43" t="e">
        <f t="shared" si="37"/>
        <v>#DIV/0!</v>
      </c>
      <c r="J75" s="44" t="e">
        <f t="shared" si="37"/>
        <v>#DIV/0!</v>
      </c>
      <c r="K75" s="43" t="e">
        <f t="shared" si="37"/>
        <v>#DIV/0!</v>
      </c>
      <c r="L75" s="44" t="e">
        <f t="shared" si="37"/>
        <v>#DIV/0!</v>
      </c>
      <c r="M75" s="43" t="e">
        <f t="shared" si="37"/>
        <v>#DIV/0!</v>
      </c>
      <c r="N75" s="44" t="e">
        <f t="shared" si="37"/>
        <v>#DIV/0!</v>
      </c>
      <c r="O75" s="45">
        <f>IF(O74=0,0,+O76/O74)</f>
        <v>0.53025646084040245</v>
      </c>
      <c r="Q75" s="33"/>
      <c r="R75" s="46"/>
      <c r="S75" s="46"/>
      <c r="T75" s="47"/>
      <c r="U75" s="47"/>
      <c r="V75" s="41"/>
    </row>
    <row r="76" spans="1:22">
      <c r="A76" s="42"/>
      <c r="B76" s="35" t="s">
        <v>15</v>
      </c>
      <c r="C76" s="48">
        <f>'[13]January 2012 RRS'!$L$19</f>
        <v>0</v>
      </c>
      <c r="D76" s="49">
        <f>'[13]February 2012 RRS'!$L$19</f>
        <v>811.54</v>
      </c>
      <c r="E76" s="48">
        <f>'[13]March 2012 RRS'!$L$19</f>
        <v>888.78</v>
      </c>
      <c r="F76" s="49">
        <f>'[13]April 2012 RRS'!$L$19</f>
        <v>987.55</v>
      </c>
      <c r="G76" s="48">
        <f>'[13]January 2012 RRS'!$L$19</f>
        <v>0</v>
      </c>
      <c r="H76" s="49">
        <f>'[13]January 2012 RRS'!$L$19</f>
        <v>0</v>
      </c>
      <c r="I76" s="48">
        <f>'[13]January 2012 RRS'!$L$19</f>
        <v>0</v>
      </c>
      <c r="J76" s="49">
        <f>'[13]January 2012 RRS'!$L$19</f>
        <v>0</v>
      </c>
      <c r="K76" s="48">
        <f>'[13]January 2012 RRS'!$L$19</f>
        <v>0</v>
      </c>
      <c r="L76" s="49">
        <f>'[13]January 2012 RRS'!$L$19</f>
        <v>0</v>
      </c>
      <c r="M76" s="48">
        <f>'[13]January 2012 RRS'!$L$19</f>
        <v>0</v>
      </c>
      <c r="N76" s="49">
        <f>'[13]January 2012 RRS'!$L$19</f>
        <v>0</v>
      </c>
      <c r="O76" s="50">
        <f>SUM(C76:N76)</f>
        <v>2687.87</v>
      </c>
      <c r="Q76" s="33"/>
      <c r="R76" s="40"/>
      <c r="S76" s="40"/>
      <c r="T76" s="40"/>
      <c r="U76" s="40"/>
      <c r="V76" s="41"/>
    </row>
    <row r="77" spans="1:22" ht="16.5" thickBot="1">
      <c r="A77" s="51"/>
      <c r="B77" s="52" t="s">
        <v>59</v>
      </c>
      <c r="C77" s="53">
        <f t="shared" ref="C77:O77" si="38">C76/C$7</f>
        <v>0</v>
      </c>
      <c r="D77" s="54">
        <f t="shared" si="38"/>
        <v>2.5401108015900338</v>
      </c>
      <c r="E77" s="53">
        <f t="shared" si="38"/>
        <v>2.5775934572663211</v>
      </c>
      <c r="F77" s="54">
        <f t="shared" si="38"/>
        <v>3.0357197749838614</v>
      </c>
      <c r="G77" s="53">
        <f t="shared" si="38"/>
        <v>0</v>
      </c>
      <c r="H77" s="54">
        <f t="shared" si="38"/>
        <v>0</v>
      </c>
      <c r="I77" s="53" t="e">
        <f t="shared" si="38"/>
        <v>#DIV/0!</v>
      </c>
      <c r="J77" s="54" t="e">
        <f t="shared" si="38"/>
        <v>#DIV/0!</v>
      </c>
      <c r="K77" s="53" t="e">
        <f t="shared" si="38"/>
        <v>#DIV/0!</v>
      </c>
      <c r="L77" s="54" t="e">
        <f t="shared" si="38"/>
        <v>#DIV/0!</v>
      </c>
      <c r="M77" s="53" t="e">
        <f t="shared" si="38"/>
        <v>#DIV/0!</v>
      </c>
      <c r="N77" s="54" t="e">
        <f t="shared" si="38"/>
        <v>#DIV/0!</v>
      </c>
      <c r="O77" s="55">
        <f t="shared" si="38"/>
        <v>1.4857498203526618</v>
      </c>
      <c r="Q77" s="33"/>
      <c r="R77" s="56"/>
      <c r="S77" s="56"/>
      <c r="T77" s="57"/>
      <c r="U77" s="57"/>
      <c r="V77" s="41"/>
    </row>
    <row r="78" spans="1:22">
      <c r="A78" s="181" t="s">
        <v>75</v>
      </c>
      <c r="B78" s="29" t="s">
        <v>55</v>
      </c>
      <c r="C78" s="30">
        <v>0</v>
      </c>
      <c r="D78" s="31">
        <v>0</v>
      </c>
      <c r="E78" s="30">
        <v>0</v>
      </c>
      <c r="F78" s="31">
        <v>0</v>
      </c>
      <c r="G78" s="30">
        <v>0</v>
      </c>
      <c r="H78" s="31">
        <v>0</v>
      </c>
      <c r="I78" s="30">
        <v>0</v>
      </c>
      <c r="J78" s="31">
        <v>0</v>
      </c>
      <c r="K78" s="30">
        <v>0</v>
      </c>
      <c r="L78" s="31">
        <v>0</v>
      </c>
      <c r="M78" s="30">
        <v>0</v>
      </c>
      <c r="N78" s="31">
        <v>0</v>
      </c>
      <c r="O78" s="32">
        <f>O79/O$7</f>
        <v>0</v>
      </c>
      <c r="V78" s="15"/>
    </row>
    <row r="79" spans="1:22">
      <c r="A79" s="34" t="s">
        <v>71</v>
      </c>
      <c r="B79" s="35" t="s">
        <v>57</v>
      </c>
      <c r="C79" s="36">
        <v>0</v>
      </c>
      <c r="D79" s="66">
        <v>0</v>
      </c>
      <c r="E79" s="65">
        <v>0</v>
      </c>
      <c r="F79" s="66">
        <v>0</v>
      </c>
      <c r="G79" s="65">
        <v>0</v>
      </c>
      <c r="H79" s="66">
        <v>0</v>
      </c>
      <c r="I79" s="65">
        <v>0</v>
      </c>
      <c r="J79" s="66">
        <v>0</v>
      </c>
      <c r="K79" s="65">
        <v>0</v>
      </c>
      <c r="L79" s="66">
        <v>0</v>
      </c>
      <c r="M79" s="65">
        <v>0</v>
      </c>
      <c r="N79" s="66">
        <v>0</v>
      </c>
      <c r="O79" s="67">
        <f>SUM(C79:N79)</f>
        <v>0</v>
      </c>
      <c r="P79" s="9"/>
      <c r="Q79" s="9"/>
      <c r="R79" s="9"/>
      <c r="S79" s="9"/>
      <c r="T79" s="9"/>
      <c r="U79" s="9"/>
      <c r="V79" s="70"/>
    </row>
    <row r="80" spans="1:22">
      <c r="A80" s="182" t="s">
        <v>64</v>
      </c>
      <c r="B80" s="35" t="s">
        <v>58</v>
      </c>
      <c r="C80" s="43">
        <v>0</v>
      </c>
      <c r="D80" s="44">
        <v>0</v>
      </c>
      <c r="E80" s="43">
        <v>0</v>
      </c>
      <c r="F80" s="44">
        <v>0</v>
      </c>
      <c r="G80" s="43">
        <v>0</v>
      </c>
      <c r="H80" s="44">
        <v>0</v>
      </c>
      <c r="I80" s="43">
        <v>0</v>
      </c>
      <c r="J80" s="44">
        <v>0</v>
      </c>
      <c r="K80" s="43">
        <v>0</v>
      </c>
      <c r="L80" s="44">
        <v>0</v>
      </c>
      <c r="M80" s="43">
        <v>0</v>
      </c>
      <c r="N80" s="44">
        <v>0</v>
      </c>
      <c r="O80" s="45">
        <f>IF(O79=0,0,+O81/O79)</f>
        <v>0</v>
      </c>
      <c r="R80" s="15"/>
      <c r="S80" s="15"/>
      <c r="T80" s="15"/>
      <c r="U80" s="15"/>
      <c r="V80" s="71"/>
    </row>
    <row r="81" spans="1:23" ht="15.75">
      <c r="A81" s="42"/>
      <c r="B81" s="35" t="s">
        <v>15</v>
      </c>
      <c r="C81" s="48">
        <v>0</v>
      </c>
      <c r="D81" s="49">
        <v>0</v>
      </c>
      <c r="E81" s="48">
        <v>0</v>
      </c>
      <c r="F81" s="49">
        <v>0</v>
      </c>
      <c r="G81" s="48">
        <v>0</v>
      </c>
      <c r="H81" s="49">
        <v>0</v>
      </c>
      <c r="I81" s="48">
        <v>0</v>
      </c>
      <c r="J81" s="49">
        <v>0</v>
      </c>
      <c r="K81" s="48">
        <v>0</v>
      </c>
      <c r="L81" s="49">
        <v>0</v>
      </c>
      <c r="M81" s="48">
        <v>0</v>
      </c>
      <c r="N81" s="49">
        <v>0</v>
      </c>
      <c r="O81" s="50">
        <f>SUM(C81:N81)</f>
        <v>0</v>
      </c>
      <c r="R81" s="72"/>
      <c r="S81" s="15"/>
      <c r="T81" s="72"/>
      <c r="U81" s="15"/>
      <c r="V81" s="15"/>
    </row>
    <row r="82" spans="1:23" ht="13.5" thickBot="1">
      <c r="A82" s="51"/>
      <c r="B82" s="52" t="s">
        <v>59</v>
      </c>
      <c r="C82" s="53">
        <v>0</v>
      </c>
      <c r="D82" s="54">
        <v>0</v>
      </c>
      <c r="E82" s="53">
        <v>0</v>
      </c>
      <c r="F82" s="54">
        <v>0</v>
      </c>
      <c r="G82" s="53">
        <v>0</v>
      </c>
      <c r="H82" s="54">
        <v>0</v>
      </c>
      <c r="I82" s="53">
        <v>0</v>
      </c>
      <c r="J82" s="54">
        <v>0</v>
      </c>
      <c r="K82" s="53">
        <v>0</v>
      </c>
      <c r="L82" s="54">
        <v>0</v>
      </c>
      <c r="M82" s="53">
        <v>0</v>
      </c>
      <c r="N82" s="54">
        <v>0</v>
      </c>
      <c r="O82" s="55">
        <f>O81/O$7</f>
        <v>0</v>
      </c>
      <c r="R82" s="15"/>
      <c r="S82" s="15"/>
      <c r="T82" s="15"/>
      <c r="U82" s="15"/>
      <c r="V82" s="15"/>
    </row>
    <row r="83" spans="1:23">
      <c r="A83" s="181" t="s">
        <v>76</v>
      </c>
      <c r="B83" s="29" t="s">
        <v>55</v>
      </c>
      <c r="C83" s="30">
        <v>0</v>
      </c>
      <c r="D83" s="31">
        <v>0</v>
      </c>
      <c r="E83" s="30">
        <v>0</v>
      </c>
      <c r="F83" s="31">
        <v>0</v>
      </c>
      <c r="G83" s="30">
        <v>0</v>
      </c>
      <c r="H83" s="31">
        <v>0</v>
      </c>
      <c r="I83" s="30">
        <v>0</v>
      </c>
      <c r="J83" s="31">
        <v>0</v>
      </c>
      <c r="K83" s="30">
        <v>0</v>
      </c>
      <c r="L83" s="31">
        <v>0</v>
      </c>
      <c r="M83" s="30">
        <v>0</v>
      </c>
      <c r="N83" s="31">
        <v>0</v>
      </c>
      <c r="O83" s="32">
        <f>O84/O$7</f>
        <v>0</v>
      </c>
    </row>
    <row r="84" spans="1:23">
      <c r="A84" s="34" t="s">
        <v>64</v>
      </c>
      <c r="B84" s="35" t="s">
        <v>57</v>
      </c>
      <c r="C84" s="65">
        <f t="shared" ref="C84:N84" si="39">C$7*C83</f>
        <v>0</v>
      </c>
      <c r="D84" s="66">
        <f t="shared" si="39"/>
        <v>0</v>
      </c>
      <c r="E84" s="65">
        <f t="shared" si="39"/>
        <v>0</v>
      </c>
      <c r="F84" s="66">
        <f t="shared" si="39"/>
        <v>0</v>
      </c>
      <c r="G84" s="65">
        <f t="shared" si="39"/>
        <v>0</v>
      </c>
      <c r="H84" s="66">
        <f t="shared" si="39"/>
        <v>0</v>
      </c>
      <c r="I84" s="65">
        <f t="shared" si="39"/>
        <v>0</v>
      </c>
      <c r="J84" s="66">
        <f t="shared" si="39"/>
        <v>0</v>
      </c>
      <c r="K84" s="65">
        <f t="shared" si="39"/>
        <v>0</v>
      </c>
      <c r="L84" s="66">
        <f t="shared" si="39"/>
        <v>0</v>
      </c>
      <c r="M84" s="65">
        <f t="shared" si="39"/>
        <v>0</v>
      </c>
      <c r="N84" s="66">
        <f t="shared" si="39"/>
        <v>0</v>
      </c>
      <c r="O84" s="67">
        <f>SUM(C84:N84)</f>
        <v>0</v>
      </c>
    </row>
    <row r="85" spans="1:23">
      <c r="A85" s="34"/>
      <c r="B85" s="35" t="s">
        <v>58</v>
      </c>
      <c r="C85" s="43">
        <f>'[14]Price Changes'!D18</f>
        <v>0</v>
      </c>
      <c r="D85" s="44">
        <f>'[14]Price Changes'!E18</f>
        <v>0.01</v>
      </c>
      <c r="E85" s="43">
        <f>'[14]Price Changes'!F18</f>
        <v>0</v>
      </c>
      <c r="F85" s="44">
        <f>'[14]Price Changes'!G18</f>
        <v>0.03</v>
      </c>
      <c r="G85" s="43">
        <f>'[14]Price Changes'!H18</f>
        <v>0</v>
      </c>
      <c r="H85" s="44">
        <f>'[14]Price Changes'!I18</f>
        <v>0.01</v>
      </c>
      <c r="I85" s="43">
        <f>'[14]Price Changes'!J18</f>
        <v>0</v>
      </c>
      <c r="J85" s="44">
        <f>'[14]Price Changes'!K18</f>
        <v>0.03</v>
      </c>
      <c r="K85" s="43">
        <f>'[14]Price Changes'!L18</f>
        <v>0</v>
      </c>
      <c r="L85" s="44">
        <f>'[14]Price Changes'!M18</f>
        <v>0</v>
      </c>
      <c r="M85" s="43">
        <f>'[14]Price Changes'!N18</f>
        <v>0</v>
      </c>
      <c r="N85" s="44">
        <f>'[14]Price Changes'!O18</f>
        <v>0</v>
      </c>
      <c r="O85" s="45">
        <f>IF(O84=0,0,+O86/O84)</f>
        <v>0</v>
      </c>
    </row>
    <row r="86" spans="1:23">
      <c r="A86" s="42"/>
      <c r="B86" s="35" t="s">
        <v>15</v>
      </c>
      <c r="C86" s="48">
        <f t="shared" ref="C86:N86" si="40">C84*C85</f>
        <v>0</v>
      </c>
      <c r="D86" s="49">
        <f t="shared" si="40"/>
        <v>0</v>
      </c>
      <c r="E86" s="48">
        <f t="shared" si="40"/>
        <v>0</v>
      </c>
      <c r="F86" s="49">
        <f t="shared" si="40"/>
        <v>0</v>
      </c>
      <c r="G86" s="48">
        <f t="shared" si="40"/>
        <v>0</v>
      </c>
      <c r="H86" s="49">
        <f t="shared" si="40"/>
        <v>0</v>
      </c>
      <c r="I86" s="48">
        <f t="shared" si="40"/>
        <v>0</v>
      </c>
      <c r="J86" s="49">
        <f t="shared" si="40"/>
        <v>0</v>
      </c>
      <c r="K86" s="48">
        <f t="shared" si="40"/>
        <v>0</v>
      </c>
      <c r="L86" s="49">
        <f t="shared" si="40"/>
        <v>0</v>
      </c>
      <c r="M86" s="48">
        <f t="shared" si="40"/>
        <v>0</v>
      </c>
      <c r="N86" s="49">
        <f t="shared" si="40"/>
        <v>0</v>
      </c>
      <c r="O86" s="50">
        <f>SUM(C86:N86)</f>
        <v>0</v>
      </c>
    </row>
    <row r="87" spans="1:23" ht="13.5" thickBot="1">
      <c r="A87" s="51"/>
      <c r="B87" s="52" t="s">
        <v>59</v>
      </c>
      <c r="C87" s="53">
        <f t="shared" ref="C87:O87" si="41">C86/C$7</f>
        <v>0</v>
      </c>
      <c r="D87" s="54">
        <f t="shared" si="41"/>
        <v>0</v>
      </c>
      <c r="E87" s="53">
        <f t="shared" si="41"/>
        <v>0</v>
      </c>
      <c r="F87" s="54">
        <f t="shared" si="41"/>
        <v>0</v>
      </c>
      <c r="G87" s="53">
        <f t="shared" si="41"/>
        <v>0</v>
      </c>
      <c r="H87" s="54">
        <f t="shared" si="41"/>
        <v>0</v>
      </c>
      <c r="I87" s="53" t="e">
        <f t="shared" si="41"/>
        <v>#DIV/0!</v>
      </c>
      <c r="J87" s="54" t="e">
        <f t="shared" si="41"/>
        <v>#DIV/0!</v>
      </c>
      <c r="K87" s="53" t="e">
        <f t="shared" si="41"/>
        <v>#DIV/0!</v>
      </c>
      <c r="L87" s="54" t="e">
        <f t="shared" si="41"/>
        <v>#DIV/0!</v>
      </c>
      <c r="M87" s="53" t="e">
        <f t="shared" si="41"/>
        <v>#DIV/0!</v>
      </c>
      <c r="N87" s="54" t="e">
        <f t="shared" si="41"/>
        <v>#DIV/0!</v>
      </c>
      <c r="O87" s="55">
        <f t="shared" si="41"/>
        <v>0</v>
      </c>
    </row>
    <row r="88" spans="1:23" ht="13.5" thickBot="1">
      <c r="A88" s="10" t="s">
        <v>1</v>
      </c>
      <c r="B88" s="73" t="s">
        <v>1</v>
      </c>
      <c r="C88" s="74" t="s">
        <v>1</v>
      </c>
      <c r="D88" s="75" t="s">
        <v>1</v>
      </c>
      <c r="E88" s="74" t="s">
        <v>1</v>
      </c>
      <c r="F88" s="75" t="s">
        <v>1</v>
      </c>
      <c r="G88" s="74" t="s">
        <v>1</v>
      </c>
      <c r="H88" s="75" t="s">
        <v>1</v>
      </c>
      <c r="I88" s="74" t="s">
        <v>1</v>
      </c>
      <c r="J88" s="75" t="s">
        <v>1</v>
      </c>
      <c r="K88" s="74" t="s">
        <v>1</v>
      </c>
      <c r="L88" s="75" t="s">
        <v>1</v>
      </c>
      <c r="M88" s="74" t="s">
        <v>1</v>
      </c>
      <c r="N88" s="75" t="s">
        <v>1</v>
      </c>
      <c r="O88" s="6" t="s">
        <v>1</v>
      </c>
      <c r="P88" s="9"/>
      <c r="Q88" s="9"/>
      <c r="R88" s="76"/>
      <c r="S88" s="9"/>
      <c r="T88" s="9"/>
      <c r="U88" s="9"/>
      <c r="V88" s="70"/>
    </row>
    <row r="89" spans="1:23">
      <c r="A89" s="77" t="s">
        <v>77</v>
      </c>
      <c r="B89" s="29" t="s">
        <v>55</v>
      </c>
      <c r="C89" s="78">
        <f t="shared" ref="C89:N89" si="42">C90/C7</f>
        <v>624.04026066197821</v>
      </c>
      <c r="D89" s="79">
        <f t="shared" si="42"/>
        <v>588.57867225891266</v>
      </c>
      <c r="E89" s="78">
        <f t="shared" si="42"/>
        <v>597.81038832980494</v>
      </c>
      <c r="F89" s="79">
        <f t="shared" si="42"/>
        <v>596.36346869140209</v>
      </c>
      <c r="G89" s="78">
        <f t="shared" si="42"/>
        <v>553.08077197998591</v>
      </c>
      <c r="H89" s="79">
        <f t="shared" si="42"/>
        <v>1210.8162243365048</v>
      </c>
      <c r="I89" s="78" t="e">
        <f t="shared" si="42"/>
        <v>#DIV/0!</v>
      </c>
      <c r="J89" s="79" t="e">
        <f t="shared" si="42"/>
        <v>#DIV/0!</v>
      </c>
      <c r="K89" s="78" t="e">
        <f t="shared" si="42"/>
        <v>#DIV/0!</v>
      </c>
      <c r="L89" s="79" t="e">
        <f t="shared" si="42"/>
        <v>#DIV/0!</v>
      </c>
      <c r="M89" s="78" t="e">
        <f t="shared" si="42"/>
        <v>#DIV/0!</v>
      </c>
      <c r="N89" s="79" t="e">
        <f t="shared" si="42"/>
        <v>#DIV/0!</v>
      </c>
      <c r="O89" s="32">
        <f>O90/O$7</f>
        <v>1287.457299209552</v>
      </c>
      <c r="Q89" s="33"/>
      <c r="R89" s="68"/>
      <c r="S89" s="68"/>
      <c r="T89" s="68"/>
      <c r="U89" s="39"/>
      <c r="V89" s="41"/>
    </row>
    <row r="90" spans="1:23" ht="15.75">
      <c r="A90" s="34"/>
      <c r="B90" s="35" t="s">
        <v>57</v>
      </c>
      <c r="C90" s="36">
        <f t="shared" ref="C90:N90" si="43">C9+C14+C19+C24+C34+C39+C44+C49+C54+C59+C64+C74+C84+C69+C29+C79</f>
        <v>193440</v>
      </c>
      <c r="D90" s="37">
        <f t="shared" si="43"/>
        <v>188045</v>
      </c>
      <c r="E90" s="36">
        <f t="shared" si="43"/>
        <v>206131</v>
      </c>
      <c r="F90" s="37">
        <f t="shared" si="43"/>
        <v>194003</v>
      </c>
      <c r="G90" s="36">
        <f t="shared" si="43"/>
        <v>193440</v>
      </c>
      <c r="H90" s="37">
        <f t="shared" si="43"/>
        <v>193440</v>
      </c>
      <c r="I90" s="36">
        <f t="shared" si="43"/>
        <v>193440</v>
      </c>
      <c r="J90" s="37">
        <f t="shared" si="43"/>
        <v>193440</v>
      </c>
      <c r="K90" s="36">
        <f t="shared" si="43"/>
        <v>193440</v>
      </c>
      <c r="L90" s="37">
        <f t="shared" si="43"/>
        <v>193440</v>
      </c>
      <c r="M90" s="36">
        <f t="shared" si="43"/>
        <v>193440</v>
      </c>
      <c r="N90" s="37">
        <f t="shared" si="43"/>
        <v>193440</v>
      </c>
      <c r="O90" s="67">
        <f>SUM(C90:N90)</f>
        <v>2329139</v>
      </c>
      <c r="Q90" s="33"/>
      <c r="R90" s="46"/>
      <c r="S90" s="80"/>
      <c r="T90" s="68"/>
      <c r="U90" s="47"/>
      <c r="V90" s="41"/>
    </row>
    <row r="91" spans="1:23">
      <c r="A91" s="42"/>
      <c r="B91" s="35" t="s">
        <v>58</v>
      </c>
      <c r="C91" s="81">
        <f t="shared" ref="C91:N91" si="44">C92/C90</f>
        <v>0.20843408808933001</v>
      </c>
      <c r="D91" s="82">
        <f t="shared" si="44"/>
        <v>0.22637863277407005</v>
      </c>
      <c r="E91" s="81">
        <f t="shared" si="44"/>
        <v>0.22068160538686563</v>
      </c>
      <c r="F91" s="82">
        <f t="shared" si="44"/>
        <v>0.20548223481080188</v>
      </c>
      <c r="G91" s="81">
        <f t="shared" si="44"/>
        <v>0.20843408808933001</v>
      </c>
      <c r="H91" s="82">
        <f t="shared" si="44"/>
        <v>0.20843408808933001</v>
      </c>
      <c r="I91" s="81">
        <f t="shared" si="44"/>
        <v>0.20843408808933001</v>
      </c>
      <c r="J91" s="82">
        <f t="shared" si="44"/>
        <v>0.20843408808933001</v>
      </c>
      <c r="K91" s="81">
        <f t="shared" si="44"/>
        <v>0.20843408808933001</v>
      </c>
      <c r="L91" s="82">
        <f t="shared" si="44"/>
        <v>0.20843408808933001</v>
      </c>
      <c r="M91" s="81">
        <f t="shared" si="44"/>
        <v>0.20843408808933001</v>
      </c>
      <c r="N91" s="82">
        <f t="shared" si="44"/>
        <v>0.20843408808933001</v>
      </c>
      <c r="O91" s="45">
        <f>IF(O90=0,0,+O92/O90)</f>
        <v>0.21072090158638015</v>
      </c>
      <c r="Q91" s="33"/>
      <c r="R91" s="40"/>
      <c r="S91" s="40"/>
      <c r="T91" s="40"/>
      <c r="U91" s="40"/>
      <c r="V91" s="41"/>
    </row>
    <row r="92" spans="1:23" ht="15.75">
      <c r="A92" s="83" t="s">
        <v>467</v>
      </c>
      <c r="B92" s="35" t="s">
        <v>15</v>
      </c>
      <c r="C92" s="48">
        <f t="shared" ref="C92:N92" si="45">C11+C16+C21+C26+C36+C41+C46+C51+C56+C61+C66+C76+C86+C71+C31+C81</f>
        <v>40319.49</v>
      </c>
      <c r="D92" s="49">
        <f t="shared" si="45"/>
        <v>42569.37</v>
      </c>
      <c r="E92" s="48">
        <f t="shared" si="45"/>
        <v>45489.32</v>
      </c>
      <c r="F92" s="49">
        <f t="shared" si="45"/>
        <v>39864.17</v>
      </c>
      <c r="G92" s="48">
        <f t="shared" si="45"/>
        <v>40319.49</v>
      </c>
      <c r="H92" s="49">
        <f t="shared" si="45"/>
        <v>40319.49</v>
      </c>
      <c r="I92" s="48">
        <f t="shared" si="45"/>
        <v>40319.49</v>
      </c>
      <c r="J92" s="49">
        <f t="shared" si="45"/>
        <v>40319.49</v>
      </c>
      <c r="K92" s="48">
        <f t="shared" si="45"/>
        <v>40319.49</v>
      </c>
      <c r="L92" s="49">
        <f t="shared" si="45"/>
        <v>40319.49</v>
      </c>
      <c r="M92" s="48">
        <f t="shared" si="45"/>
        <v>40319.49</v>
      </c>
      <c r="N92" s="49">
        <f t="shared" si="45"/>
        <v>40319.49</v>
      </c>
      <c r="O92" s="50">
        <f>SUM(C92:N92)</f>
        <v>490798.2699999999</v>
      </c>
      <c r="Q92" s="33"/>
      <c r="R92" s="56"/>
      <c r="S92" s="56"/>
      <c r="T92" s="57"/>
      <c r="U92" s="57"/>
      <c r="V92" s="41"/>
    </row>
    <row r="93" spans="1:23" ht="13.5" thickBot="1">
      <c r="A93" s="51"/>
      <c r="B93" s="52" t="s">
        <v>59</v>
      </c>
      <c r="C93" s="53">
        <f t="shared" ref="C93:N93" si="46">C92/C7</f>
        <v>130.07126266210722</v>
      </c>
      <c r="D93" s="54">
        <f t="shared" si="46"/>
        <v>133.24163510595011</v>
      </c>
      <c r="E93" s="53">
        <f t="shared" si="46"/>
        <v>131.9257562135669</v>
      </c>
      <c r="F93" s="54">
        <f t="shared" si="46"/>
        <v>122.54209830623097</v>
      </c>
      <c r="G93" s="53">
        <f t="shared" si="46"/>
        <v>115.28088634739103</v>
      </c>
      <c r="H93" s="54">
        <f t="shared" si="46"/>
        <v>252.37537556334502</v>
      </c>
      <c r="I93" s="53" t="e">
        <f t="shared" si="46"/>
        <v>#DIV/0!</v>
      </c>
      <c r="J93" s="54" t="e">
        <f t="shared" si="46"/>
        <v>#DIV/0!</v>
      </c>
      <c r="K93" s="53" t="e">
        <f t="shared" si="46"/>
        <v>#DIV/0!</v>
      </c>
      <c r="L93" s="54" t="e">
        <f t="shared" si="46"/>
        <v>#DIV/0!</v>
      </c>
      <c r="M93" s="53" t="e">
        <f t="shared" si="46"/>
        <v>#DIV/0!</v>
      </c>
      <c r="N93" s="54" t="e">
        <f t="shared" si="46"/>
        <v>#DIV/0!</v>
      </c>
      <c r="O93" s="55">
        <f>O92/O$7</f>
        <v>271.29416284340277</v>
      </c>
      <c r="P93" s="109"/>
      <c r="Q93" s="9"/>
      <c r="R93" s="76"/>
      <c r="S93" s="9"/>
      <c r="T93" s="9"/>
      <c r="U93" s="9"/>
      <c r="V93" s="70"/>
    </row>
    <row r="94" spans="1:23" ht="13.5" thickBot="1">
      <c r="A94" s="10" t="s">
        <v>1</v>
      </c>
      <c r="B94" s="73" t="s">
        <v>1</v>
      </c>
      <c r="C94" s="74" t="s">
        <v>1</v>
      </c>
      <c r="D94" s="75" t="s">
        <v>1</v>
      </c>
      <c r="E94" s="74" t="s">
        <v>1</v>
      </c>
      <c r="F94" s="75" t="s">
        <v>1</v>
      </c>
      <c r="G94" s="74" t="s">
        <v>1</v>
      </c>
      <c r="H94" s="75" t="s">
        <v>1</v>
      </c>
      <c r="I94" s="74" t="s">
        <v>1</v>
      </c>
      <c r="J94" s="75" t="s">
        <v>1</v>
      </c>
      <c r="K94" s="74" t="s">
        <v>1</v>
      </c>
      <c r="L94" s="75" t="s">
        <v>1</v>
      </c>
      <c r="M94" s="74" t="s">
        <v>1</v>
      </c>
      <c r="N94" s="75" t="s">
        <v>1</v>
      </c>
      <c r="O94" s="6" t="s">
        <v>1</v>
      </c>
      <c r="Q94" s="33"/>
      <c r="R94" s="39"/>
      <c r="S94" s="39"/>
      <c r="T94" s="39"/>
      <c r="U94" s="39"/>
      <c r="V94" s="41"/>
      <c r="W94" s="8"/>
    </row>
    <row r="95" spans="1:23">
      <c r="A95" s="28"/>
      <c r="B95" s="29"/>
      <c r="C95" s="84"/>
      <c r="D95" s="85"/>
      <c r="E95" s="84"/>
      <c r="F95" s="85"/>
      <c r="G95" s="84"/>
      <c r="H95" s="85"/>
      <c r="I95" s="84"/>
      <c r="J95" s="85"/>
      <c r="K95" s="84"/>
      <c r="L95" s="85"/>
      <c r="M95" s="84"/>
      <c r="N95" s="85"/>
      <c r="O95" s="86">
        <f>SUM(C95:N95)</f>
        <v>0</v>
      </c>
    </row>
    <row r="96" spans="1:23">
      <c r="A96" s="34" t="s">
        <v>293</v>
      </c>
      <c r="B96" s="35" t="s">
        <v>511</v>
      </c>
      <c r="C96" s="406">
        <f>'[15]Page 3 Water Quality'!$M$46</f>
        <v>6.612903225806452</v>
      </c>
      <c r="D96" s="407">
        <f>'[16]Page 3 Water Quality'!$M$46</f>
        <v>5.8620689655172411</v>
      </c>
      <c r="E96" s="406">
        <f>'[17]Page 3 Water Quality'!$M$46</f>
        <v>8.0967741935483879</v>
      </c>
      <c r="F96" s="407">
        <f>'[18]Page 3 Water Quality'!$M$46</f>
        <v>18.2</v>
      </c>
      <c r="G96" s="406">
        <f>'[19]Page 3 Water Quality'!$M$46</f>
        <v>27.933333333333334</v>
      </c>
      <c r="H96" s="407" t="e">
        <f>'[20]Page 3 Water Quality'!$M$46</f>
        <v>#REF!</v>
      </c>
      <c r="I96" s="406" t="e">
        <f>'[21]Page 3 Water Quality'!$M$46</f>
        <v>#REF!</v>
      </c>
      <c r="J96" s="407" t="e">
        <f>'[22]Page 3 Water Quality'!$M$46</f>
        <v>#REF!</v>
      </c>
      <c r="K96" s="406" t="e">
        <f>'[23]Page 3 Water Quality'!$M$46</f>
        <v>#REF!</v>
      </c>
      <c r="L96" s="407" t="e">
        <f>'[24]Page 3 Water Quality'!$M$46</f>
        <v>#REF!</v>
      </c>
      <c r="M96" s="406" t="e">
        <f>'[25]Page 3 Water Quality'!$M$46</f>
        <v>#REF!</v>
      </c>
      <c r="N96" s="407" t="e">
        <f>'[26]Page 3 Water Quality'!$M$46</f>
        <v>#REF!</v>
      </c>
      <c r="O96" s="89"/>
    </row>
    <row r="97" spans="1:23" s="414" customFormat="1" ht="13.5" thickBot="1">
      <c r="A97" s="412"/>
      <c r="B97" s="413"/>
      <c r="C97" s="92"/>
      <c r="D97" s="93"/>
      <c r="E97" s="92"/>
      <c r="F97" s="94"/>
      <c r="G97" s="92"/>
      <c r="H97" s="94"/>
      <c r="I97" s="92"/>
      <c r="J97" s="94"/>
      <c r="K97" s="92"/>
      <c r="L97" s="94"/>
      <c r="M97" s="92"/>
      <c r="N97" s="94"/>
      <c r="O97" s="95"/>
    </row>
    <row r="98" spans="1:23" ht="48.75" customHeight="1" thickBot="1">
      <c r="A98" s="580" t="s">
        <v>80</v>
      </c>
      <c r="B98" s="588"/>
      <c r="C98" s="588"/>
      <c r="D98" s="588"/>
      <c r="E98" s="588"/>
      <c r="F98" s="588"/>
      <c r="G98" s="588"/>
      <c r="H98" s="588"/>
      <c r="I98" s="588"/>
      <c r="J98" s="588"/>
      <c r="K98" s="588"/>
      <c r="L98" s="588"/>
      <c r="M98" s="588"/>
      <c r="N98" s="588"/>
      <c r="O98" s="589"/>
    </row>
    <row r="99" spans="1:23">
      <c r="A99" s="10" t="s">
        <v>1</v>
      </c>
      <c r="B99" s="11" t="s">
        <v>0</v>
      </c>
      <c r="C99" s="96"/>
      <c r="D99" s="97"/>
      <c r="E99" s="96"/>
      <c r="F99" s="97"/>
      <c r="G99" s="96"/>
      <c r="H99" s="97"/>
      <c r="I99" s="96"/>
      <c r="O99" s="2"/>
      <c r="V99" s="15"/>
    </row>
    <row r="100" spans="1:23" ht="15.75">
      <c r="A100" s="98" t="str">
        <f>A4</f>
        <v>2012 BUDGET</v>
      </c>
      <c r="B100" s="3"/>
      <c r="O100" s="2"/>
    </row>
    <row r="101" spans="1:23">
      <c r="A101" s="99" t="str">
        <f>A5</f>
        <v>Bid Dollars</v>
      </c>
      <c r="B101" s="3"/>
      <c r="O101" s="2"/>
      <c r="P101" s="9"/>
      <c r="Q101" s="9"/>
      <c r="R101" s="9"/>
      <c r="S101" s="9"/>
      <c r="T101" s="9"/>
      <c r="U101" s="9"/>
      <c r="V101" s="9"/>
    </row>
    <row r="102" spans="1:23">
      <c r="A102" s="4"/>
      <c r="B102" s="3"/>
      <c r="C102" s="22" t="str">
        <f t="shared" ref="C102:N102" si="47">C6</f>
        <v>JAN</v>
      </c>
      <c r="D102" s="23" t="str">
        <f t="shared" si="47"/>
        <v>FEB</v>
      </c>
      <c r="E102" s="22" t="str">
        <f t="shared" si="47"/>
        <v>MAR</v>
      </c>
      <c r="F102" s="23" t="str">
        <f t="shared" si="47"/>
        <v>APR</v>
      </c>
      <c r="G102" s="22" t="str">
        <f t="shared" si="47"/>
        <v>MAY</v>
      </c>
      <c r="H102" s="23" t="str">
        <f t="shared" si="47"/>
        <v>JUNE</v>
      </c>
      <c r="I102" s="22" t="str">
        <f t="shared" si="47"/>
        <v>JULY</v>
      </c>
      <c r="J102" s="23" t="str">
        <f t="shared" si="47"/>
        <v>AUG</v>
      </c>
      <c r="K102" s="22" t="str">
        <f t="shared" si="47"/>
        <v>SEPT</v>
      </c>
      <c r="L102" s="23" t="str">
        <f t="shared" si="47"/>
        <v>OCT</v>
      </c>
      <c r="M102" s="22" t="str">
        <f t="shared" si="47"/>
        <v>NOV</v>
      </c>
      <c r="N102" s="23" t="str">
        <f t="shared" si="47"/>
        <v>DEC</v>
      </c>
      <c r="O102" s="24" t="s">
        <v>13</v>
      </c>
      <c r="R102" s="15"/>
      <c r="S102" s="15"/>
      <c r="T102" s="15"/>
      <c r="U102" s="15"/>
      <c r="V102" s="15"/>
    </row>
    <row r="103" spans="1:23" ht="16.5" thickBot="1">
      <c r="A103" s="19" t="s">
        <v>53</v>
      </c>
      <c r="B103" s="3"/>
      <c r="C103" s="25">
        <f>'[12]January 2012'!$G$46</f>
        <v>559.33400000000006</v>
      </c>
      <c r="D103" s="26">
        <f>'[12]February 2012'!$G$46</f>
        <v>486.59099999999995</v>
      </c>
      <c r="E103" s="25">
        <f>'[12]March 2012'!$G$46</f>
        <v>516.16899999999998</v>
      </c>
      <c r="F103" s="26">
        <f>'[12]April 2012'!$G$46</f>
        <v>559.46900000000005</v>
      </c>
      <c r="G103" s="25">
        <f>'[12]May 2012'!$G$46</f>
        <v>744.83100000000013</v>
      </c>
      <c r="H103" s="26">
        <f>'[12]June 2012'!$G$46</f>
        <v>338.63</v>
      </c>
      <c r="I103" s="25">
        <f>'[12]July 2012'!$G$46</f>
        <v>0</v>
      </c>
      <c r="J103" s="26">
        <f>'[12]August 2012'!$G$46</f>
        <v>0</v>
      </c>
      <c r="K103" s="25">
        <f>'[12]September 2012'!$G$46</f>
        <v>0</v>
      </c>
      <c r="L103" s="26">
        <f>'[12]October 2012'!$G$46</f>
        <v>0</v>
      </c>
      <c r="M103" s="25">
        <f>'[12]November 2012'!$G$46</f>
        <v>0</v>
      </c>
      <c r="N103" s="26">
        <f>'[12]December 2012'!$G$46</f>
        <v>0</v>
      </c>
      <c r="O103" s="102">
        <f>SUM(C103:N103)</f>
        <v>3205.0240000000003</v>
      </c>
      <c r="R103" s="72"/>
      <c r="S103" s="15"/>
      <c r="T103" s="72"/>
      <c r="U103" s="15"/>
      <c r="V103" s="15"/>
    </row>
    <row r="104" spans="1:23">
      <c r="A104" s="28" t="s">
        <v>54</v>
      </c>
      <c r="B104" s="29" t="s">
        <v>55</v>
      </c>
      <c r="C104" s="30">
        <f>'[27]Lex WTPs 2007-2010'!G55</f>
        <v>9.031267187314505</v>
      </c>
      <c r="D104" s="31">
        <f>'[27]Lex WTPs 2007-2010'!L55</f>
        <v>9.1955546016682401</v>
      </c>
      <c r="E104" s="30">
        <f>'[27]Lex WTPs 2007-2010'!Q55</f>
        <v>9.3031148546752966</v>
      </c>
      <c r="F104" s="31">
        <f>'[27]Lex WTPs 2007-2010'!V55</f>
        <v>5.4398875360040941</v>
      </c>
      <c r="G104" s="30">
        <f>'[27]Lex WTPs 2007-2010'!AA55</f>
        <v>6.8108088093808306</v>
      </c>
      <c r="H104" s="31">
        <f>'[27]Lex WTPs 2007-2010'!AF55</f>
        <v>8.9186890225694242</v>
      </c>
      <c r="I104" s="30">
        <f>'[27]Lex WTPs 2007-2010'!AK55</f>
        <v>8.9066331002865091</v>
      </c>
      <c r="J104" s="31">
        <f>'[27]Lex WTPs 2007-2010'!AP55</f>
        <v>9.193035093711373</v>
      </c>
      <c r="K104" s="30">
        <f>'[27]Lex WTPs 2007-2010'!AU55</f>
        <v>8.6182530437159279</v>
      </c>
      <c r="L104" s="31">
        <f>'[27]Lex WTPs 2007-2010'!AZ55</f>
        <v>9.0231869357960441</v>
      </c>
      <c r="M104" s="30">
        <f>'[27]Lex WTPs 2007-2010'!BE55</f>
        <v>12.462216603425396</v>
      </c>
      <c r="N104" s="31">
        <f>'[27]Lex WTPs 2007-2010'!BJ55</f>
        <v>9.4394573971600408</v>
      </c>
      <c r="O104" s="32">
        <f>O105/O$103</f>
        <v>7.9451617340294201</v>
      </c>
      <c r="Q104" s="33"/>
    </row>
    <row r="105" spans="1:23">
      <c r="A105" s="34" t="s">
        <v>56</v>
      </c>
      <c r="B105" s="35" t="s">
        <v>57</v>
      </c>
      <c r="C105" s="36">
        <f t="shared" ref="C105:N105" si="48">C$103*C104</f>
        <v>5051.4948009493719</v>
      </c>
      <c r="D105" s="37">
        <f t="shared" si="48"/>
        <v>4474.4741091803498</v>
      </c>
      <c r="E105" s="36">
        <f t="shared" si="48"/>
        <v>4801.9794914228933</v>
      </c>
      <c r="F105" s="37">
        <f t="shared" si="48"/>
        <v>3043.4484398806749</v>
      </c>
      <c r="G105" s="36">
        <f t="shared" si="48"/>
        <v>5072.9015362999344</v>
      </c>
      <c r="H105" s="37">
        <f t="shared" si="48"/>
        <v>3020.1356637126842</v>
      </c>
      <c r="I105" s="36">
        <f t="shared" si="48"/>
        <v>0</v>
      </c>
      <c r="J105" s="37">
        <f t="shared" si="48"/>
        <v>0</v>
      </c>
      <c r="K105" s="36">
        <f t="shared" si="48"/>
        <v>0</v>
      </c>
      <c r="L105" s="37">
        <f t="shared" si="48"/>
        <v>0</v>
      </c>
      <c r="M105" s="36">
        <f t="shared" si="48"/>
        <v>0</v>
      </c>
      <c r="N105" s="37">
        <f t="shared" si="48"/>
        <v>0</v>
      </c>
      <c r="O105" s="38">
        <f>SUM(C105:N105)</f>
        <v>25464.434041445911</v>
      </c>
      <c r="Q105" s="33"/>
      <c r="R105" s="57"/>
      <c r="S105" s="57"/>
      <c r="T105" s="57"/>
      <c r="U105" s="57"/>
      <c r="V105" s="41"/>
    </row>
    <row r="106" spans="1:23" ht="15.75">
      <c r="A106" s="42"/>
      <c r="B106" s="35" t="s">
        <v>58</v>
      </c>
      <c r="C106" s="43">
        <f>C10</f>
        <v>0.50839699436443331</v>
      </c>
      <c r="D106" s="44">
        <f t="shared" ref="D106:N106" si="49">C106</f>
        <v>0.50839699436443331</v>
      </c>
      <c r="E106" s="43">
        <f t="shared" si="49"/>
        <v>0.50839699436443331</v>
      </c>
      <c r="F106" s="44">
        <f t="shared" si="49"/>
        <v>0.50839699436443331</v>
      </c>
      <c r="G106" s="43">
        <f t="shared" si="49"/>
        <v>0.50839699436443331</v>
      </c>
      <c r="H106" s="44">
        <f t="shared" si="49"/>
        <v>0.50839699436443331</v>
      </c>
      <c r="I106" s="43">
        <f t="shared" si="49"/>
        <v>0.50839699436443331</v>
      </c>
      <c r="J106" s="44">
        <f t="shared" si="49"/>
        <v>0.50839699436443331</v>
      </c>
      <c r="K106" s="43">
        <f t="shared" si="49"/>
        <v>0.50839699436443331</v>
      </c>
      <c r="L106" s="44">
        <f t="shared" si="49"/>
        <v>0.50839699436443331</v>
      </c>
      <c r="M106" s="43">
        <f t="shared" si="49"/>
        <v>0.50839699436443331</v>
      </c>
      <c r="N106" s="44">
        <f t="shared" si="49"/>
        <v>0.50839699436443331</v>
      </c>
      <c r="O106" s="45">
        <f>IF(O105=0,0,+O107/O105)</f>
        <v>0.50839699436443331</v>
      </c>
      <c r="Q106" s="33"/>
      <c r="R106" s="46"/>
      <c r="S106" s="80"/>
      <c r="T106" s="68"/>
      <c r="U106" s="47"/>
      <c r="V106" s="41"/>
    </row>
    <row r="107" spans="1:23">
      <c r="A107" s="42"/>
      <c r="B107" s="35" t="s">
        <v>15</v>
      </c>
      <c r="C107" s="48">
        <f t="shared" ref="C107:N107" si="50">C105*C106</f>
        <v>2568.164773850222</v>
      </c>
      <c r="D107" s="49">
        <f t="shared" si="50"/>
        <v>2274.8091884687651</v>
      </c>
      <c r="E107" s="48">
        <f t="shared" si="50"/>
        <v>2441.3119404390491</v>
      </c>
      <c r="F107" s="49">
        <f t="shared" si="50"/>
        <v>1547.2800393384589</v>
      </c>
      <c r="G107" s="48">
        <f t="shared" si="50"/>
        <v>2579.0478937616026</v>
      </c>
      <c r="H107" s="49">
        <f t="shared" si="50"/>
        <v>1535.4278940043616</v>
      </c>
      <c r="I107" s="48">
        <f t="shared" si="50"/>
        <v>0</v>
      </c>
      <c r="J107" s="49">
        <f t="shared" si="50"/>
        <v>0</v>
      </c>
      <c r="K107" s="48">
        <f t="shared" si="50"/>
        <v>0</v>
      </c>
      <c r="L107" s="49">
        <f t="shared" si="50"/>
        <v>0</v>
      </c>
      <c r="M107" s="48">
        <f t="shared" si="50"/>
        <v>0</v>
      </c>
      <c r="N107" s="49">
        <f t="shared" si="50"/>
        <v>0</v>
      </c>
      <c r="O107" s="50">
        <f>SUM(C107:N107)</f>
        <v>12946.04172986246</v>
      </c>
      <c r="Q107" s="33"/>
      <c r="R107" s="40"/>
      <c r="S107" s="40"/>
      <c r="T107" s="40"/>
      <c r="U107" s="40"/>
      <c r="V107" s="41"/>
    </row>
    <row r="108" spans="1:23" ht="16.5" thickBot="1">
      <c r="A108" s="51"/>
      <c r="B108" s="52" t="s">
        <v>59</v>
      </c>
      <c r="C108" s="53">
        <f t="shared" ref="C108:O108" si="51">C107/C$103</f>
        <v>4.5914690933328242</v>
      </c>
      <c r="D108" s="54">
        <f t="shared" si="51"/>
        <v>4.6749923210021667</v>
      </c>
      <c r="E108" s="53">
        <f t="shared" si="51"/>
        <v>4.7296756303440333</v>
      </c>
      <c r="F108" s="54">
        <f t="shared" si="51"/>
        <v>2.7656224729850245</v>
      </c>
      <c r="G108" s="53">
        <f t="shared" si="51"/>
        <v>3.4625947278800187</v>
      </c>
      <c r="H108" s="54">
        <f t="shared" si="51"/>
        <v>4.5342346927453612</v>
      </c>
      <c r="I108" s="53" t="e">
        <f t="shared" si="51"/>
        <v>#DIV/0!</v>
      </c>
      <c r="J108" s="54" t="e">
        <f t="shared" si="51"/>
        <v>#DIV/0!</v>
      </c>
      <c r="K108" s="53" t="e">
        <f t="shared" si="51"/>
        <v>#DIV/0!</v>
      </c>
      <c r="L108" s="54" t="e">
        <f t="shared" si="51"/>
        <v>#DIV/0!</v>
      </c>
      <c r="M108" s="53" t="e">
        <f t="shared" si="51"/>
        <v>#DIV/0!</v>
      </c>
      <c r="N108" s="54" t="e">
        <f t="shared" si="51"/>
        <v>#DIV/0!</v>
      </c>
      <c r="O108" s="55">
        <f t="shared" si="51"/>
        <v>4.0392963453198663</v>
      </c>
      <c r="Q108" s="33"/>
      <c r="R108" s="56"/>
      <c r="S108" s="80"/>
      <c r="T108" s="57"/>
      <c r="U108" s="57"/>
      <c r="V108" s="41"/>
    </row>
    <row r="109" spans="1:23">
      <c r="A109" s="28" t="s">
        <v>60</v>
      </c>
      <c r="B109" s="29" t="s">
        <v>55</v>
      </c>
      <c r="C109" s="30">
        <f>'[27]Lex WTPs 2007-2010'!G50</f>
        <v>1.4079978026053339</v>
      </c>
      <c r="D109" s="31">
        <f>'[27]Lex WTPs 2007-2010'!L50</f>
        <v>7.6719122087742134E-2</v>
      </c>
      <c r="E109" s="30">
        <f>'[27]Lex WTPs 2007-2010'!Q50</f>
        <v>0</v>
      </c>
      <c r="F109" s="31">
        <f>'[27]Lex WTPs 2007-2010'!V50</f>
        <v>0</v>
      </c>
      <c r="G109" s="30">
        <f>'[27]Lex WTPs 2007-2010'!AA50</f>
        <v>0</v>
      </c>
      <c r="H109" s="31">
        <f>'[27]Lex WTPs 2007-2010'!AF50</f>
        <v>0.73354441749958399</v>
      </c>
      <c r="I109" s="30">
        <f>'[27]Lex WTPs 2007-2010'!AK50</f>
        <v>0</v>
      </c>
      <c r="J109" s="31">
        <f>'[27]Lex WTPs 2007-2010'!AP50</f>
        <v>0</v>
      </c>
      <c r="K109" s="30">
        <f>'[27]Lex WTPs 2007-2010'!AU50</f>
        <v>3.7592367708406909</v>
      </c>
      <c r="L109" s="31">
        <f>'[27]Lex WTPs 2007-2010'!AZ50</f>
        <v>12.118780150515144</v>
      </c>
      <c r="M109" s="30">
        <f>'[27]Lex WTPs 2007-2010'!BE50</f>
        <v>0</v>
      </c>
      <c r="N109" s="31">
        <f>'[27]Lex WTPs 2007-2010'!BJ50</f>
        <v>0</v>
      </c>
      <c r="O109" s="32">
        <f>O110/O$103</f>
        <v>0.33487175863773017</v>
      </c>
      <c r="Q109" s="33"/>
      <c r="R109" s="58"/>
      <c r="S109" s="58"/>
      <c r="T109" s="58"/>
      <c r="U109" s="58"/>
      <c r="V109" s="41"/>
      <c r="W109" s="8"/>
    </row>
    <row r="110" spans="1:23">
      <c r="A110" s="34" t="s">
        <v>56</v>
      </c>
      <c r="B110" s="35" t="s">
        <v>57</v>
      </c>
      <c r="C110" s="65">
        <f t="shared" ref="C110:N110" si="52">C$103*C109</f>
        <v>787.54104292245188</v>
      </c>
      <c r="D110" s="66">
        <f t="shared" si="52"/>
        <v>37.330834335796531</v>
      </c>
      <c r="E110" s="65">
        <f t="shared" si="52"/>
        <v>0</v>
      </c>
      <c r="F110" s="66">
        <f t="shared" si="52"/>
        <v>0</v>
      </c>
      <c r="G110" s="65">
        <f t="shared" si="52"/>
        <v>0</v>
      </c>
      <c r="H110" s="66">
        <f t="shared" si="52"/>
        <v>248.40014609788412</v>
      </c>
      <c r="I110" s="65">
        <f t="shared" si="52"/>
        <v>0</v>
      </c>
      <c r="J110" s="66">
        <f t="shared" si="52"/>
        <v>0</v>
      </c>
      <c r="K110" s="65">
        <f t="shared" si="52"/>
        <v>0</v>
      </c>
      <c r="L110" s="66">
        <f t="shared" si="52"/>
        <v>0</v>
      </c>
      <c r="M110" s="65">
        <f t="shared" si="52"/>
        <v>0</v>
      </c>
      <c r="N110" s="66">
        <f t="shared" si="52"/>
        <v>0</v>
      </c>
      <c r="O110" s="67">
        <f>SUM(C110:N110)</f>
        <v>1073.2720233561326</v>
      </c>
      <c r="Q110" s="33"/>
      <c r="R110" s="57"/>
      <c r="S110" s="57"/>
      <c r="T110" s="57"/>
      <c r="U110" s="57"/>
      <c r="V110" s="41"/>
      <c r="W110" s="8"/>
    </row>
    <row r="111" spans="1:23" ht="15.75">
      <c r="A111" s="42"/>
      <c r="B111" s="35" t="s">
        <v>58</v>
      </c>
      <c r="C111" s="43">
        <f>'[14]Price Changes'!D22</f>
        <v>0.87719999999999998</v>
      </c>
      <c r="D111" s="44">
        <f t="shared" ref="D111:N111" si="53">C111</f>
        <v>0.87719999999999998</v>
      </c>
      <c r="E111" s="43">
        <f t="shared" si="53"/>
        <v>0.87719999999999998</v>
      </c>
      <c r="F111" s="44">
        <f t="shared" si="53"/>
        <v>0.87719999999999998</v>
      </c>
      <c r="G111" s="43">
        <f t="shared" si="53"/>
        <v>0.87719999999999998</v>
      </c>
      <c r="H111" s="44">
        <f t="shared" si="53"/>
        <v>0.87719999999999998</v>
      </c>
      <c r="I111" s="43">
        <f t="shared" si="53"/>
        <v>0.87719999999999998</v>
      </c>
      <c r="J111" s="44">
        <f t="shared" si="53"/>
        <v>0.87719999999999998</v>
      </c>
      <c r="K111" s="43">
        <f t="shared" si="53"/>
        <v>0.87719999999999998</v>
      </c>
      <c r="L111" s="44">
        <f t="shared" si="53"/>
        <v>0.87719999999999998</v>
      </c>
      <c r="M111" s="43">
        <f t="shared" si="53"/>
        <v>0.87719999999999998</v>
      </c>
      <c r="N111" s="44">
        <f t="shared" si="53"/>
        <v>0.87719999999999998</v>
      </c>
      <c r="O111" s="45">
        <f>IF(O110=0,0,+O112/O110)</f>
        <v>0.87719999999999987</v>
      </c>
      <c r="Q111" s="33"/>
      <c r="R111" s="46"/>
      <c r="S111" s="46"/>
      <c r="T111" s="47"/>
      <c r="U111" s="47"/>
      <c r="V111" s="41"/>
      <c r="W111" s="8"/>
    </row>
    <row r="112" spans="1:23">
      <c r="A112" s="42"/>
      <c r="B112" s="35" t="s">
        <v>15</v>
      </c>
      <c r="C112" s="48">
        <f t="shared" ref="C112:N112" si="54">C110*C111</f>
        <v>690.83100285157479</v>
      </c>
      <c r="D112" s="49">
        <f t="shared" si="54"/>
        <v>32.746607879360717</v>
      </c>
      <c r="E112" s="48">
        <f t="shared" si="54"/>
        <v>0</v>
      </c>
      <c r="F112" s="49">
        <f t="shared" si="54"/>
        <v>0</v>
      </c>
      <c r="G112" s="48">
        <f t="shared" si="54"/>
        <v>0</v>
      </c>
      <c r="H112" s="49">
        <f t="shared" si="54"/>
        <v>217.89660815706395</v>
      </c>
      <c r="I112" s="48">
        <f t="shared" si="54"/>
        <v>0</v>
      </c>
      <c r="J112" s="49">
        <f t="shared" si="54"/>
        <v>0</v>
      </c>
      <c r="K112" s="48">
        <f t="shared" si="54"/>
        <v>0</v>
      </c>
      <c r="L112" s="49">
        <f t="shared" si="54"/>
        <v>0</v>
      </c>
      <c r="M112" s="48">
        <f t="shared" si="54"/>
        <v>0</v>
      </c>
      <c r="N112" s="49">
        <f t="shared" si="54"/>
        <v>0</v>
      </c>
      <c r="O112" s="50">
        <f>SUM(C112:N112)</f>
        <v>941.47421888799943</v>
      </c>
      <c r="Q112" s="33"/>
      <c r="R112" s="40"/>
      <c r="S112" s="40"/>
      <c r="T112" s="40"/>
      <c r="U112" s="40"/>
      <c r="V112" s="41"/>
      <c r="W112" s="8"/>
    </row>
    <row r="113" spans="1:23" ht="16.5" thickBot="1">
      <c r="A113" s="51"/>
      <c r="B113" s="52" t="s">
        <v>59</v>
      </c>
      <c r="C113" s="53">
        <f t="shared" ref="C113:O113" si="55">C112/C$103</f>
        <v>1.2350956724453988</v>
      </c>
      <c r="D113" s="54">
        <f t="shared" si="55"/>
        <v>6.7298013895367409E-2</v>
      </c>
      <c r="E113" s="53">
        <f t="shared" si="55"/>
        <v>0</v>
      </c>
      <c r="F113" s="54">
        <f t="shared" si="55"/>
        <v>0</v>
      </c>
      <c r="G113" s="53">
        <f t="shared" si="55"/>
        <v>0</v>
      </c>
      <c r="H113" s="54">
        <f t="shared" si="55"/>
        <v>0.64346516303063506</v>
      </c>
      <c r="I113" s="53" t="e">
        <f t="shared" si="55"/>
        <v>#DIV/0!</v>
      </c>
      <c r="J113" s="54" t="e">
        <f t="shared" si="55"/>
        <v>#DIV/0!</v>
      </c>
      <c r="K113" s="53" t="e">
        <f t="shared" si="55"/>
        <v>#DIV/0!</v>
      </c>
      <c r="L113" s="54" t="e">
        <f t="shared" si="55"/>
        <v>#DIV/0!</v>
      </c>
      <c r="M113" s="53" t="e">
        <f t="shared" si="55"/>
        <v>#DIV/0!</v>
      </c>
      <c r="N113" s="54" t="e">
        <f t="shared" si="55"/>
        <v>#DIV/0!</v>
      </c>
      <c r="O113" s="55">
        <f t="shared" si="55"/>
        <v>0.29374950667701688</v>
      </c>
      <c r="Q113" s="33"/>
      <c r="R113" s="56"/>
      <c r="S113" s="56"/>
      <c r="T113" s="57"/>
      <c r="U113" s="57"/>
      <c r="V113" s="41"/>
      <c r="W113" s="8"/>
    </row>
    <row r="114" spans="1:23">
      <c r="A114" s="28" t="s">
        <v>61</v>
      </c>
      <c r="B114" s="29" t="s">
        <v>55</v>
      </c>
      <c r="C114" s="30">
        <f>'[27]Lex WTPs 2007-2010'!G48</f>
        <v>46.803221989981175</v>
      </c>
      <c r="D114" s="31">
        <f>'[27]Lex WTPs 2007-2010'!L48</f>
        <v>46.669602621101298</v>
      </c>
      <c r="E114" s="30">
        <f>'[27]Lex WTPs 2007-2010'!Q48</f>
        <v>47.067472846068455</v>
      </c>
      <c r="F114" s="31">
        <f>'[27]Lex WTPs 2007-2010'!V48</f>
        <v>47.449551444984692</v>
      </c>
      <c r="G114" s="30">
        <f>'[27]Lex WTPs 2007-2010'!AA48</f>
        <v>51.307466362695052</v>
      </c>
      <c r="H114" s="31">
        <f>'[27]Lex WTPs 2007-2010'!AF48</f>
        <v>56.830692482765109</v>
      </c>
      <c r="I114" s="30">
        <f>'[27]Lex WTPs 2007-2010'!AK48</f>
        <v>60.126982635912285</v>
      </c>
      <c r="J114" s="31">
        <f>'[27]Lex WTPs 2007-2010'!AP48</f>
        <v>61.829715068192243</v>
      </c>
      <c r="K114" s="30">
        <f>'[27]Lex WTPs 2007-2010'!AU48</f>
        <v>60.705626008815102</v>
      </c>
      <c r="L114" s="31">
        <f>'[27]Lex WTPs 2007-2010'!AZ48</f>
        <v>58.394595430718105</v>
      </c>
      <c r="M114" s="30">
        <f>'[27]Lex WTPs 2007-2010'!BE48</f>
        <v>56.322606200669647</v>
      </c>
      <c r="N114" s="31">
        <f>'[27]Lex WTPs 2007-2010'!BJ48</f>
        <v>50.870208400577241</v>
      </c>
      <c r="O114" s="32">
        <f>O115/O$103</f>
        <v>49.044542050304813</v>
      </c>
      <c r="Q114" s="33"/>
    </row>
    <row r="115" spans="1:23">
      <c r="A115" s="34" t="s">
        <v>56</v>
      </c>
      <c r="B115" s="35" t="s">
        <v>57</v>
      </c>
      <c r="C115" s="36">
        <f t="shared" ref="C115:N115" si="56">C$103*C114</f>
        <v>26178.633368544135</v>
      </c>
      <c r="D115" s="37">
        <f t="shared" si="56"/>
        <v>22709.008609004301</v>
      </c>
      <c r="E115" s="36">
        <f t="shared" si="56"/>
        <v>24294.770391482307</v>
      </c>
      <c r="F115" s="37">
        <f t="shared" si="56"/>
        <v>26546.553097374144</v>
      </c>
      <c r="G115" s="36">
        <f t="shared" si="56"/>
        <v>38215.391478392528</v>
      </c>
      <c r="H115" s="37">
        <f t="shared" si="56"/>
        <v>19244.577395438748</v>
      </c>
      <c r="I115" s="36">
        <f t="shared" si="56"/>
        <v>0</v>
      </c>
      <c r="J115" s="37">
        <f t="shared" si="56"/>
        <v>0</v>
      </c>
      <c r="K115" s="36">
        <f t="shared" si="56"/>
        <v>0</v>
      </c>
      <c r="L115" s="37">
        <f t="shared" si="56"/>
        <v>0</v>
      </c>
      <c r="M115" s="36">
        <f t="shared" si="56"/>
        <v>0</v>
      </c>
      <c r="N115" s="37">
        <f t="shared" si="56"/>
        <v>0</v>
      </c>
      <c r="O115" s="38">
        <f>SUM(C115:N115)</f>
        <v>157188.93434023616</v>
      </c>
      <c r="Q115" s="33"/>
      <c r="R115" s="57"/>
      <c r="S115" s="57"/>
      <c r="T115" s="47"/>
      <c r="U115" s="57"/>
      <c r="V115" s="41"/>
      <c r="W115" s="8"/>
    </row>
    <row r="116" spans="1:23" ht="15.75">
      <c r="A116" s="42"/>
      <c r="B116" s="35" t="s">
        <v>58</v>
      </c>
      <c r="C116" s="43">
        <f>C20</f>
        <v>0.20009984480082771</v>
      </c>
      <c r="D116" s="44">
        <f t="shared" ref="D116:N116" si="57">C116</f>
        <v>0.20009984480082771</v>
      </c>
      <c r="E116" s="43">
        <f t="shared" si="57"/>
        <v>0.20009984480082771</v>
      </c>
      <c r="F116" s="44">
        <f t="shared" si="57"/>
        <v>0.20009984480082771</v>
      </c>
      <c r="G116" s="43">
        <f t="shared" si="57"/>
        <v>0.20009984480082771</v>
      </c>
      <c r="H116" s="44">
        <f t="shared" si="57"/>
        <v>0.20009984480082771</v>
      </c>
      <c r="I116" s="43">
        <f t="shared" si="57"/>
        <v>0.20009984480082771</v>
      </c>
      <c r="J116" s="44">
        <f t="shared" si="57"/>
        <v>0.20009984480082771</v>
      </c>
      <c r="K116" s="43">
        <f t="shared" si="57"/>
        <v>0.20009984480082771</v>
      </c>
      <c r="L116" s="44">
        <f t="shared" si="57"/>
        <v>0.20009984480082771</v>
      </c>
      <c r="M116" s="43">
        <f t="shared" si="57"/>
        <v>0.20009984480082771</v>
      </c>
      <c r="N116" s="44">
        <f t="shared" si="57"/>
        <v>0.20009984480082771</v>
      </c>
      <c r="O116" s="45">
        <f>IF(O115=0,0,+O117/O115)</f>
        <v>0.20009984480082771</v>
      </c>
      <c r="Q116" s="33"/>
      <c r="R116" s="46"/>
      <c r="S116" s="46"/>
      <c r="T116" s="47"/>
      <c r="U116" s="47"/>
      <c r="V116" s="41"/>
      <c r="W116" s="8"/>
    </row>
    <row r="117" spans="1:23">
      <c r="A117" s="42"/>
      <c r="B117" s="35" t="s">
        <v>15</v>
      </c>
      <c r="C117" s="48">
        <f t="shared" ref="C117:N117" si="58">C115*C116</f>
        <v>5238.3404741434506</v>
      </c>
      <c r="D117" s="49">
        <f t="shared" si="58"/>
        <v>4544.0690982424212</v>
      </c>
      <c r="E117" s="48">
        <f t="shared" si="58"/>
        <v>4861.3797848073536</v>
      </c>
      <c r="F117" s="49">
        <f t="shared" si="58"/>
        <v>5311.9611547814984</v>
      </c>
      <c r="G117" s="48">
        <f t="shared" si="58"/>
        <v>7646.8939038292183</v>
      </c>
      <c r="H117" s="49">
        <f t="shared" si="58"/>
        <v>3850.8369500848107</v>
      </c>
      <c r="I117" s="48">
        <f t="shared" si="58"/>
        <v>0</v>
      </c>
      <c r="J117" s="49">
        <f t="shared" si="58"/>
        <v>0</v>
      </c>
      <c r="K117" s="48">
        <f t="shared" si="58"/>
        <v>0</v>
      </c>
      <c r="L117" s="49">
        <f t="shared" si="58"/>
        <v>0</v>
      </c>
      <c r="M117" s="48">
        <f t="shared" si="58"/>
        <v>0</v>
      </c>
      <c r="N117" s="49">
        <f t="shared" si="58"/>
        <v>0</v>
      </c>
      <c r="O117" s="50">
        <f>SUM(C117:N117)</f>
        <v>31453.481365888751</v>
      </c>
      <c r="Q117" s="33"/>
      <c r="R117" s="40"/>
      <c r="S117" s="40"/>
      <c r="T117" s="40"/>
      <c r="U117" s="40"/>
      <c r="V117" s="41"/>
    </row>
    <row r="118" spans="1:23" ht="16.5" thickBot="1">
      <c r="A118" s="51"/>
      <c r="B118" s="52" t="s">
        <v>59</v>
      </c>
      <c r="C118" s="53">
        <f t="shared" ref="C118:O118" si="59">C117/C$103</f>
        <v>9.3653174563739192</v>
      </c>
      <c r="D118" s="54">
        <f t="shared" si="59"/>
        <v>9.338580241398672</v>
      </c>
      <c r="E118" s="53">
        <f t="shared" si="59"/>
        <v>9.4181940116654701</v>
      </c>
      <c r="F118" s="54">
        <f t="shared" si="59"/>
        <v>9.4946478800103282</v>
      </c>
      <c r="G118" s="53">
        <f t="shared" si="59"/>
        <v>10.266616056298968</v>
      </c>
      <c r="H118" s="54">
        <f t="shared" si="59"/>
        <v>11.371812745724863</v>
      </c>
      <c r="I118" s="53" t="e">
        <f t="shared" si="59"/>
        <v>#DIV/0!</v>
      </c>
      <c r="J118" s="54" t="e">
        <f t="shared" si="59"/>
        <v>#DIV/0!</v>
      </c>
      <c r="K118" s="53" t="e">
        <f t="shared" si="59"/>
        <v>#DIV/0!</v>
      </c>
      <c r="L118" s="54" t="e">
        <f t="shared" si="59"/>
        <v>#DIV/0!</v>
      </c>
      <c r="M118" s="53" t="e">
        <f t="shared" si="59"/>
        <v>#DIV/0!</v>
      </c>
      <c r="N118" s="54" t="e">
        <f t="shared" si="59"/>
        <v>#DIV/0!</v>
      </c>
      <c r="O118" s="55">
        <f t="shared" si="59"/>
        <v>9.8138052525936619</v>
      </c>
      <c r="Q118" s="33"/>
      <c r="R118" s="46"/>
      <c r="S118" s="56"/>
      <c r="T118" s="57"/>
      <c r="U118" s="57"/>
      <c r="V118" s="41"/>
    </row>
    <row r="119" spans="1:23">
      <c r="A119" s="28" t="s">
        <v>62</v>
      </c>
      <c r="B119" s="29" t="s">
        <v>55</v>
      </c>
      <c r="C119" s="30">
        <v>0</v>
      </c>
      <c r="D119" s="31">
        <v>0</v>
      </c>
      <c r="E119" s="30">
        <v>0</v>
      </c>
      <c r="F119" s="31">
        <v>0</v>
      </c>
      <c r="G119" s="30">
        <v>0</v>
      </c>
      <c r="H119" s="31">
        <v>0</v>
      </c>
      <c r="I119" s="30">
        <v>0</v>
      </c>
      <c r="J119" s="31">
        <v>0</v>
      </c>
      <c r="K119" s="30">
        <v>0</v>
      </c>
      <c r="L119" s="31">
        <v>0</v>
      </c>
      <c r="M119" s="30">
        <v>0</v>
      </c>
      <c r="N119" s="31">
        <v>0</v>
      </c>
      <c r="O119" s="32">
        <f>O120/O$103</f>
        <v>0</v>
      </c>
      <c r="Q119" s="33"/>
    </row>
    <row r="120" spans="1:23">
      <c r="A120" s="34" t="s">
        <v>56</v>
      </c>
      <c r="B120" s="35" t="s">
        <v>57</v>
      </c>
      <c r="C120" s="65">
        <f t="shared" ref="C120:N120" si="60">C$103*C119</f>
        <v>0</v>
      </c>
      <c r="D120" s="66">
        <f t="shared" si="60"/>
        <v>0</v>
      </c>
      <c r="E120" s="65">
        <f t="shared" si="60"/>
        <v>0</v>
      </c>
      <c r="F120" s="66">
        <f t="shared" si="60"/>
        <v>0</v>
      </c>
      <c r="G120" s="65">
        <f t="shared" si="60"/>
        <v>0</v>
      </c>
      <c r="H120" s="66">
        <f t="shared" si="60"/>
        <v>0</v>
      </c>
      <c r="I120" s="65">
        <f t="shared" si="60"/>
        <v>0</v>
      </c>
      <c r="J120" s="66">
        <f t="shared" si="60"/>
        <v>0</v>
      </c>
      <c r="K120" s="65">
        <f t="shared" si="60"/>
        <v>0</v>
      </c>
      <c r="L120" s="66">
        <f t="shared" si="60"/>
        <v>0</v>
      </c>
      <c r="M120" s="65">
        <f t="shared" si="60"/>
        <v>0</v>
      </c>
      <c r="N120" s="66">
        <f t="shared" si="60"/>
        <v>0</v>
      </c>
      <c r="O120" s="67">
        <f>SUM(C120:N120)</f>
        <v>0</v>
      </c>
      <c r="Q120" s="33"/>
      <c r="R120" s="57"/>
      <c r="S120" s="60"/>
      <c r="T120" s="57"/>
      <c r="U120" s="57"/>
      <c r="V120" s="41"/>
      <c r="W120" s="8"/>
    </row>
    <row r="121" spans="1:23" ht="15.75">
      <c r="A121" s="42"/>
      <c r="B121" s="35" t="s">
        <v>58</v>
      </c>
      <c r="C121" s="43">
        <v>0</v>
      </c>
      <c r="D121" s="44">
        <f t="shared" ref="D121:N121" si="61">C121</f>
        <v>0</v>
      </c>
      <c r="E121" s="43">
        <f t="shared" si="61"/>
        <v>0</v>
      </c>
      <c r="F121" s="44">
        <f t="shared" si="61"/>
        <v>0</v>
      </c>
      <c r="G121" s="43">
        <f t="shared" si="61"/>
        <v>0</v>
      </c>
      <c r="H121" s="44">
        <f t="shared" si="61"/>
        <v>0</v>
      </c>
      <c r="I121" s="43">
        <f t="shared" si="61"/>
        <v>0</v>
      </c>
      <c r="J121" s="44">
        <f t="shared" si="61"/>
        <v>0</v>
      </c>
      <c r="K121" s="43">
        <f t="shared" si="61"/>
        <v>0</v>
      </c>
      <c r="L121" s="44">
        <f t="shared" si="61"/>
        <v>0</v>
      </c>
      <c r="M121" s="43">
        <f t="shared" si="61"/>
        <v>0</v>
      </c>
      <c r="N121" s="44">
        <f t="shared" si="61"/>
        <v>0</v>
      </c>
      <c r="O121" s="45">
        <f>IF(O120=0,0,+O122/O120)</f>
        <v>0</v>
      </c>
      <c r="Q121" s="33"/>
      <c r="R121" s="46"/>
      <c r="S121" s="46"/>
      <c r="T121" s="47"/>
      <c r="U121" s="47"/>
      <c r="V121" s="41"/>
      <c r="W121" s="8"/>
    </row>
    <row r="122" spans="1:23">
      <c r="A122" s="42"/>
      <c r="B122" s="35" t="s">
        <v>15</v>
      </c>
      <c r="C122" s="48">
        <f t="shared" ref="C122:N122" si="62">C120*C121</f>
        <v>0</v>
      </c>
      <c r="D122" s="49">
        <f t="shared" si="62"/>
        <v>0</v>
      </c>
      <c r="E122" s="48">
        <f t="shared" si="62"/>
        <v>0</v>
      </c>
      <c r="F122" s="49">
        <f t="shared" si="62"/>
        <v>0</v>
      </c>
      <c r="G122" s="48">
        <f t="shared" si="62"/>
        <v>0</v>
      </c>
      <c r="H122" s="49">
        <f t="shared" si="62"/>
        <v>0</v>
      </c>
      <c r="I122" s="48">
        <f t="shared" si="62"/>
        <v>0</v>
      </c>
      <c r="J122" s="49">
        <f t="shared" si="62"/>
        <v>0</v>
      </c>
      <c r="K122" s="48">
        <f t="shared" si="62"/>
        <v>0</v>
      </c>
      <c r="L122" s="49">
        <f t="shared" si="62"/>
        <v>0</v>
      </c>
      <c r="M122" s="48">
        <f t="shared" si="62"/>
        <v>0</v>
      </c>
      <c r="N122" s="49">
        <f t="shared" si="62"/>
        <v>0</v>
      </c>
      <c r="O122" s="50">
        <f>SUM(C122:N122)</f>
        <v>0</v>
      </c>
      <c r="Q122" s="33"/>
      <c r="R122" s="40"/>
      <c r="S122" s="40"/>
      <c r="T122" s="40"/>
      <c r="U122" s="40"/>
      <c r="V122" s="41"/>
      <c r="W122" s="8"/>
    </row>
    <row r="123" spans="1:23" ht="16.5" thickBot="1">
      <c r="A123" s="51"/>
      <c r="B123" s="52" t="s">
        <v>59</v>
      </c>
      <c r="C123" s="53">
        <f t="shared" ref="C123:O123" si="63">C122/C$103</f>
        <v>0</v>
      </c>
      <c r="D123" s="54">
        <f t="shared" si="63"/>
        <v>0</v>
      </c>
      <c r="E123" s="53">
        <f t="shared" si="63"/>
        <v>0</v>
      </c>
      <c r="F123" s="54">
        <f t="shared" si="63"/>
        <v>0</v>
      </c>
      <c r="G123" s="53">
        <f t="shared" si="63"/>
        <v>0</v>
      </c>
      <c r="H123" s="54">
        <f t="shared" si="63"/>
        <v>0</v>
      </c>
      <c r="I123" s="53" t="e">
        <f t="shared" si="63"/>
        <v>#DIV/0!</v>
      </c>
      <c r="J123" s="54" t="e">
        <f t="shared" si="63"/>
        <v>#DIV/0!</v>
      </c>
      <c r="K123" s="53" t="e">
        <f t="shared" si="63"/>
        <v>#DIV/0!</v>
      </c>
      <c r="L123" s="54" t="e">
        <f t="shared" si="63"/>
        <v>#DIV/0!</v>
      </c>
      <c r="M123" s="53" t="e">
        <f t="shared" si="63"/>
        <v>#DIV/0!</v>
      </c>
      <c r="N123" s="54" t="e">
        <f t="shared" si="63"/>
        <v>#DIV/0!</v>
      </c>
      <c r="O123" s="55">
        <f t="shared" si="63"/>
        <v>0</v>
      </c>
      <c r="Q123" s="33"/>
      <c r="R123" s="46"/>
      <c r="S123" s="56"/>
      <c r="T123" s="57"/>
      <c r="U123" s="57"/>
      <c r="V123" s="41"/>
    </row>
    <row r="124" spans="1:23">
      <c r="A124" s="181" t="s">
        <v>63</v>
      </c>
      <c r="B124" s="29" t="s">
        <v>55</v>
      </c>
      <c r="C124" s="30">
        <f>'[27]Lex WTPs 2007-2010'!G47</f>
        <v>29.954543242884206</v>
      </c>
      <c r="D124" s="31">
        <f>'[27]Lex WTPs 2007-2010'!L47</f>
        <v>31.320825088674415</v>
      </c>
      <c r="E124" s="30">
        <f>'[27]Lex WTPs 2007-2010'!Q47</f>
        <v>28.75079723419503</v>
      </c>
      <c r="F124" s="31">
        <f>'[27]Lex WTPs 2007-2010'!V47</f>
        <v>28.364345219563045</v>
      </c>
      <c r="G124" s="30">
        <f>'[27]Lex WTPs 2007-2010'!AA47</f>
        <v>31.463640592651075</v>
      </c>
      <c r="H124" s="31">
        <f>'[27]Lex WTPs 2007-2010'!AF47</f>
        <v>30.871441557560285</v>
      </c>
      <c r="I124" s="30">
        <f>'[27]Lex WTPs 2007-2010'!AK47</f>
        <v>29.386012714275623</v>
      </c>
      <c r="J124" s="31">
        <f>'[27]Lex WTPs 2007-2010'!AP47</f>
        <v>27.751731976139943</v>
      </c>
      <c r="K124" s="30">
        <f>'[27]Lex WTPs 2007-2010'!AU47</f>
        <v>31.323470860108017</v>
      </c>
      <c r="L124" s="31">
        <f>'[27]Lex WTPs 2007-2010'!AZ47</f>
        <v>31.338254532430479</v>
      </c>
      <c r="M124" s="30">
        <f>'[27]Lex WTPs 2007-2010'!BE47</f>
        <v>34.620406027025908</v>
      </c>
      <c r="N124" s="31">
        <f>'[27]Lex WTPs 2007-2010'!BJ47</f>
        <v>34.843615394706546</v>
      </c>
      <c r="O124" s="32">
        <f>O125/O$103</f>
        <v>30.138107965825224</v>
      </c>
    </row>
    <row r="125" spans="1:23">
      <c r="A125" s="34" t="s">
        <v>64</v>
      </c>
      <c r="B125" s="35" t="s">
        <v>57</v>
      </c>
      <c r="C125" s="36">
        <f t="shared" ref="C125:N125" si="64">C$103*C124</f>
        <v>16754.594490215397</v>
      </c>
      <c r="D125" s="37">
        <f t="shared" si="64"/>
        <v>15240.43160072317</v>
      </c>
      <c r="E125" s="36">
        <f t="shared" si="64"/>
        <v>14840.270257577215</v>
      </c>
      <c r="F125" s="37">
        <f t="shared" si="64"/>
        <v>15868.971855643718</v>
      </c>
      <c r="G125" s="36">
        <f t="shared" si="64"/>
        <v>23435.094886264898</v>
      </c>
      <c r="H125" s="37">
        <f t="shared" si="64"/>
        <v>10453.996254636639</v>
      </c>
      <c r="I125" s="36">
        <f t="shared" si="64"/>
        <v>0</v>
      </c>
      <c r="J125" s="37">
        <f t="shared" si="64"/>
        <v>0</v>
      </c>
      <c r="K125" s="36">
        <f t="shared" si="64"/>
        <v>0</v>
      </c>
      <c r="L125" s="37">
        <f t="shared" si="64"/>
        <v>0</v>
      </c>
      <c r="M125" s="36">
        <f t="shared" si="64"/>
        <v>0</v>
      </c>
      <c r="N125" s="37">
        <f t="shared" si="64"/>
        <v>0</v>
      </c>
      <c r="O125" s="38">
        <f>SUM(C125:N125)</f>
        <v>96593.359345061035</v>
      </c>
    </row>
    <row r="126" spans="1:23">
      <c r="A126" s="34"/>
      <c r="B126" s="35" t="s">
        <v>58</v>
      </c>
      <c r="C126" s="43">
        <f>'[14]Price Changes'!D25</f>
        <v>0.42745</v>
      </c>
      <c r="D126" s="44">
        <f t="shared" ref="D126:N126" si="65">C126</f>
        <v>0.42745</v>
      </c>
      <c r="E126" s="43">
        <f t="shared" si="65"/>
        <v>0.42745</v>
      </c>
      <c r="F126" s="44">
        <f t="shared" si="65"/>
        <v>0.42745</v>
      </c>
      <c r="G126" s="43">
        <f t="shared" si="65"/>
        <v>0.42745</v>
      </c>
      <c r="H126" s="44">
        <f t="shared" si="65"/>
        <v>0.42745</v>
      </c>
      <c r="I126" s="43">
        <f t="shared" si="65"/>
        <v>0.42745</v>
      </c>
      <c r="J126" s="44">
        <f t="shared" si="65"/>
        <v>0.42745</v>
      </c>
      <c r="K126" s="43">
        <f t="shared" si="65"/>
        <v>0.42745</v>
      </c>
      <c r="L126" s="44">
        <f t="shared" si="65"/>
        <v>0.42745</v>
      </c>
      <c r="M126" s="43">
        <f t="shared" si="65"/>
        <v>0.42745</v>
      </c>
      <c r="N126" s="44">
        <f t="shared" si="65"/>
        <v>0.42745</v>
      </c>
      <c r="O126" s="45">
        <f>IF(O125=0,0,+O127/O125)</f>
        <v>0.42745</v>
      </c>
    </row>
    <row r="127" spans="1:23">
      <c r="A127" s="42"/>
      <c r="B127" s="35" t="s">
        <v>15</v>
      </c>
      <c r="C127" s="48">
        <f t="shared" ref="C127:N127" si="66">C125*C126</f>
        <v>7161.7514148425716</v>
      </c>
      <c r="D127" s="49">
        <f t="shared" si="66"/>
        <v>6514.5224877291193</v>
      </c>
      <c r="E127" s="48">
        <f t="shared" si="66"/>
        <v>6343.4735216013805</v>
      </c>
      <c r="F127" s="49">
        <f t="shared" si="66"/>
        <v>6783.1920196949077</v>
      </c>
      <c r="G127" s="48">
        <f t="shared" si="66"/>
        <v>10017.331309133931</v>
      </c>
      <c r="H127" s="49">
        <f t="shared" si="66"/>
        <v>4468.5606990444312</v>
      </c>
      <c r="I127" s="48">
        <f t="shared" si="66"/>
        <v>0</v>
      </c>
      <c r="J127" s="49">
        <f t="shared" si="66"/>
        <v>0</v>
      </c>
      <c r="K127" s="48">
        <f t="shared" si="66"/>
        <v>0</v>
      </c>
      <c r="L127" s="49">
        <f t="shared" si="66"/>
        <v>0</v>
      </c>
      <c r="M127" s="48">
        <f t="shared" si="66"/>
        <v>0</v>
      </c>
      <c r="N127" s="49">
        <f t="shared" si="66"/>
        <v>0</v>
      </c>
      <c r="O127" s="50">
        <f>SUM(C127:N127)</f>
        <v>41288.831452046339</v>
      </c>
    </row>
    <row r="128" spans="1:23" ht="13.5" thickBot="1">
      <c r="A128" s="51"/>
      <c r="B128" s="52" t="s">
        <v>59</v>
      </c>
      <c r="C128" s="53">
        <f t="shared" ref="C128:O128" si="67">C127/C$103</f>
        <v>12.804069509170855</v>
      </c>
      <c r="D128" s="54">
        <f t="shared" si="67"/>
        <v>13.388086684153878</v>
      </c>
      <c r="E128" s="53">
        <f t="shared" si="67"/>
        <v>12.289528277756666</v>
      </c>
      <c r="F128" s="54">
        <f t="shared" si="67"/>
        <v>12.124339364102223</v>
      </c>
      <c r="G128" s="53">
        <f t="shared" si="67"/>
        <v>13.449133171328704</v>
      </c>
      <c r="H128" s="54">
        <f t="shared" si="67"/>
        <v>13.195997693779143</v>
      </c>
      <c r="I128" s="53" t="e">
        <f t="shared" si="67"/>
        <v>#DIV/0!</v>
      </c>
      <c r="J128" s="54" t="e">
        <f t="shared" si="67"/>
        <v>#DIV/0!</v>
      </c>
      <c r="K128" s="53" t="e">
        <f t="shared" si="67"/>
        <v>#DIV/0!</v>
      </c>
      <c r="L128" s="54" t="e">
        <f t="shared" si="67"/>
        <v>#DIV/0!</v>
      </c>
      <c r="M128" s="53" t="e">
        <f t="shared" si="67"/>
        <v>#DIV/0!</v>
      </c>
      <c r="N128" s="54" t="e">
        <f t="shared" si="67"/>
        <v>#DIV/0!</v>
      </c>
      <c r="O128" s="55">
        <f t="shared" si="67"/>
        <v>12.882534249991993</v>
      </c>
    </row>
    <row r="129" spans="1:23">
      <c r="A129" s="28" t="s">
        <v>65</v>
      </c>
      <c r="B129" s="29" t="s">
        <v>55</v>
      </c>
      <c r="C129" s="30">
        <f>'[27]Lex WTPs 2007-2010'!G59</f>
        <v>2.1669819149400804</v>
      </c>
      <c r="D129" s="31">
        <f>'[27]Lex WTPs 2007-2010'!L59</f>
        <v>25.538179794243852</v>
      </c>
      <c r="E129" s="30">
        <f>'[27]Lex WTPs 2007-2010'!Q59</f>
        <v>0</v>
      </c>
      <c r="F129" s="31">
        <f>'[27]Lex WTPs 2007-2010'!V59</f>
        <v>0</v>
      </c>
      <c r="G129" s="30">
        <f>'[27]Lex WTPs 2007-2010'!AA59</f>
        <v>9.6916923061896085</v>
      </c>
      <c r="H129" s="31">
        <f>'[27]Lex WTPs 2007-2010'!AF59</f>
        <v>27.733796614678468</v>
      </c>
      <c r="I129" s="30">
        <f>'[27]Lex WTPs 2007-2010'!AK59</f>
        <v>48.521786468749447</v>
      </c>
      <c r="J129" s="31">
        <f>'[27]Lex WTPs 2007-2010'!AP59</f>
        <v>308.19297361843343</v>
      </c>
      <c r="K129" s="30">
        <f>'[27]Lex WTPs 2007-2010'!AU59</f>
        <v>306.52801044664528</v>
      </c>
      <c r="L129" s="31">
        <f>'[27]Lex WTPs 2007-2010'!AZ59</f>
        <v>432.16370882759441</v>
      </c>
      <c r="M129" s="30">
        <f>'[27]Lex WTPs 2007-2010'!BE59</f>
        <v>169.48711473128071</v>
      </c>
      <c r="N129" s="31">
        <f>'[27]Lex WTPs 2007-2010'!BJ59</f>
        <v>10.365641735867333</v>
      </c>
      <c r="O129" s="32">
        <f>O130/O$103</f>
        <v>9.4379585071475542</v>
      </c>
      <c r="Q129" s="33"/>
    </row>
    <row r="130" spans="1:23">
      <c r="A130" s="34" t="s">
        <v>56</v>
      </c>
      <c r="B130" s="35" t="s">
        <v>57</v>
      </c>
      <c r="C130" s="36">
        <f t="shared" ref="C130:N130" si="68">C$103*C129</f>
        <v>1212.066662411095</v>
      </c>
      <c r="D130" s="37">
        <f t="shared" si="68"/>
        <v>12426.648444260909</v>
      </c>
      <c r="E130" s="36">
        <f t="shared" si="68"/>
        <v>0</v>
      </c>
      <c r="F130" s="37">
        <f t="shared" si="68"/>
        <v>0</v>
      </c>
      <c r="G130" s="36">
        <f t="shared" si="68"/>
        <v>7218.6728721115132</v>
      </c>
      <c r="H130" s="37">
        <f t="shared" si="68"/>
        <v>9391.4955476285686</v>
      </c>
      <c r="I130" s="36">
        <f t="shared" si="68"/>
        <v>0</v>
      </c>
      <c r="J130" s="37">
        <f t="shared" si="68"/>
        <v>0</v>
      </c>
      <c r="K130" s="36">
        <f t="shared" si="68"/>
        <v>0</v>
      </c>
      <c r="L130" s="37">
        <f t="shared" si="68"/>
        <v>0</v>
      </c>
      <c r="M130" s="36">
        <f t="shared" si="68"/>
        <v>0</v>
      </c>
      <c r="N130" s="37">
        <f t="shared" si="68"/>
        <v>0</v>
      </c>
      <c r="O130" s="38">
        <f>SUM(C130:N130)</f>
        <v>30248.883526412086</v>
      </c>
      <c r="Q130" s="33"/>
      <c r="R130" s="57"/>
      <c r="S130" s="57"/>
      <c r="T130" s="57"/>
      <c r="U130" s="57"/>
      <c r="V130" s="41"/>
      <c r="W130" s="8"/>
    </row>
    <row r="131" spans="1:23" ht="15.75">
      <c r="A131" s="42"/>
      <c r="B131" s="35" t="s">
        <v>58</v>
      </c>
      <c r="C131" s="43">
        <f>'[14]Price Changes'!D26</f>
        <v>9.5950000000000008E-2</v>
      </c>
      <c r="D131" s="44">
        <f t="shared" ref="D131:N131" si="69">C131</f>
        <v>9.5950000000000008E-2</v>
      </c>
      <c r="E131" s="43">
        <f t="shared" si="69"/>
        <v>9.5950000000000008E-2</v>
      </c>
      <c r="F131" s="44">
        <f t="shared" si="69"/>
        <v>9.5950000000000008E-2</v>
      </c>
      <c r="G131" s="43">
        <f t="shared" si="69"/>
        <v>9.5950000000000008E-2</v>
      </c>
      <c r="H131" s="44">
        <f t="shared" si="69"/>
        <v>9.5950000000000008E-2</v>
      </c>
      <c r="I131" s="43">
        <f t="shared" si="69"/>
        <v>9.5950000000000008E-2</v>
      </c>
      <c r="J131" s="44">
        <f t="shared" si="69"/>
        <v>9.5950000000000008E-2</v>
      </c>
      <c r="K131" s="43">
        <f t="shared" si="69"/>
        <v>9.5950000000000008E-2</v>
      </c>
      <c r="L131" s="44">
        <f t="shared" si="69"/>
        <v>9.5950000000000008E-2</v>
      </c>
      <c r="M131" s="43">
        <f t="shared" si="69"/>
        <v>9.5950000000000008E-2</v>
      </c>
      <c r="N131" s="44">
        <f t="shared" si="69"/>
        <v>9.5950000000000008E-2</v>
      </c>
      <c r="O131" s="45">
        <f>IF(O130=0,0,+O132/O130)</f>
        <v>9.5950000000000008E-2</v>
      </c>
      <c r="Q131" s="33"/>
      <c r="R131" s="46"/>
      <c r="S131" s="46"/>
      <c r="T131" s="47"/>
      <c r="U131" s="47"/>
      <c r="V131" s="41"/>
      <c r="W131" s="8"/>
    </row>
    <row r="132" spans="1:23">
      <c r="A132" s="42"/>
      <c r="B132" s="35" t="s">
        <v>15</v>
      </c>
      <c r="C132" s="48">
        <f t="shared" ref="C132:N132" si="70">C130*C131</f>
        <v>116.29779625834458</v>
      </c>
      <c r="D132" s="49">
        <f t="shared" si="70"/>
        <v>1192.3369182268343</v>
      </c>
      <c r="E132" s="48">
        <f t="shared" si="70"/>
        <v>0</v>
      </c>
      <c r="F132" s="49">
        <f t="shared" si="70"/>
        <v>0</v>
      </c>
      <c r="G132" s="48">
        <f t="shared" si="70"/>
        <v>692.63166207909978</v>
      </c>
      <c r="H132" s="49">
        <f t="shared" si="70"/>
        <v>901.11399779496128</v>
      </c>
      <c r="I132" s="48">
        <f t="shared" si="70"/>
        <v>0</v>
      </c>
      <c r="J132" s="49">
        <f t="shared" si="70"/>
        <v>0</v>
      </c>
      <c r="K132" s="48">
        <f t="shared" si="70"/>
        <v>0</v>
      </c>
      <c r="L132" s="49">
        <f t="shared" si="70"/>
        <v>0</v>
      </c>
      <c r="M132" s="48">
        <f t="shared" si="70"/>
        <v>0</v>
      </c>
      <c r="N132" s="49">
        <f t="shared" si="70"/>
        <v>0</v>
      </c>
      <c r="O132" s="50">
        <f>SUM(C132:N132)</f>
        <v>2902.3803743592398</v>
      </c>
      <c r="Q132" s="33"/>
      <c r="R132" s="40"/>
      <c r="S132" s="40"/>
      <c r="T132" s="40"/>
      <c r="U132" s="40"/>
      <c r="V132" s="41"/>
    </row>
    <row r="133" spans="1:23" ht="16.5" thickBot="1">
      <c r="A133" s="51"/>
      <c r="B133" s="52" t="s">
        <v>59</v>
      </c>
      <c r="C133" s="53">
        <f t="shared" ref="C133:O133" si="71">C132/C$103</f>
        <v>0.20792191473850072</v>
      </c>
      <c r="D133" s="54">
        <f t="shared" si="71"/>
        <v>2.4503883512576978</v>
      </c>
      <c r="E133" s="53">
        <f t="shared" si="71"/>
        <v>0</v>
      </c>
      <c r="F133" s="54">
        <f t="shared" si="71"/>
        <v>0</v>
      </c>
      <c r="G133" s="53">
        <f t="shared" si="71"/>
        <v>0.92991787677889304</v>
      </c>
      <c r="H133" s="54">
        <f t="shared" si="71"/>
        <v>2.6610577851783992</v>
      </c>
      <c r="I133" s="53" t="e">
        <f t="shared" si="71"/>
        <v>#DIV/0!</v>
      </c>
      <c r="J133" s="54" t="e">
        <f t="shared" si="71"/>
        <v>#DIV/0!</v>
      </c>
      <c r="K133" s="53" t="e">
        <f t="shared" si="71"/>
        <v>#DIV/0!</v>
      </c>
      <c r="L133" s="54" t="e">
        <f t="shared" si="71"/>
        <v>#DIV/0!</v>
      </c>
      <c r="M133" s="53" t="e">
        <f t="shared" si="71"/>
        <v>#DIV/0!</v>
      </c>
      <c r="N133" s="54" t="e">
        <f t="shared" si="71"/>
        <v>#DIV/0!</v>
      </c>
      <c r="O133" s="55">
        <f t="shared" si="71"/>
        <v>0.9055721187608079</v>
      </c>
      <c r="Q133" s="33"/>
      <c r="R133" s="56"/>
      <c r="S133" s="56"/>
      <c r="T133" s="57"/>
      <c r="U133" s="57"/>
      <c r="V133" s="41"/>
    </row>
    <row r="134" spans="1:23">
      <c r="A134" s="28" t="s">
        <v>66</v>
      </c>
      <c r="B134" s="29" t="s">
        <v>55</v>
      </c>
      <c r="C134" s="30">
        <f>'[27]Lex WTPs 2007-2010'!G49</f>
        <v>40.146220242047548</v>
      </c>
      <c r="D134" s="31">
        <f>'[27]Lex WTPs 2007-2010'!L49</f>
        <v>41.175448922365227</v>
      </c>
      <c r="E134" s="30">
        <f>'[27]Lex WTPs 2007-2010'!Q49</f>
        <v>39.085584053915298</v>
      </c>
      <c r="F134" s="31">
        <f>'[27]Lex WTPs 2007-2010'!V49</f>
        <v>40.886145912778716</v>
      </c>
      <c r="G134" s="30">
        <f>'[27]Lex WTPs 2007-2010'!AA49</f>
        <v>41.704033156774315</v>
      </c>
      <c r="H134" s="31">
        <f>'[27]Lex WTPs 2007-2010'!AF49</f>
        <v>42.656064737830334</v>
      </c>
      <c r="I134" s="30">
        <f>'[27]Lex WTPs 2007-2010'!AK49</f>
        <v>43.174798732653414</v>
      </c>
      <c r="J134" s="31">
        <f>'[27]Lex WTPs 2007-2010'!AP49</f>
        <v>42.251249245997471</v>
      </c>
      <c r="K134" s="30">
        <f>'[27]Lex WTPs 2007-2010'!AU49</f>
        <v>37.538558981259371</v>
      </c>
      <c r="L134" s="31">
        <f>'[27]Lex WTPs 2007-2010'!AZ49</f>
        <v>36.777677838297066</v>
      </c>
      <c r="M134" s="30">
        <f>'[27]Lex WTPs 2007-2010'!BE49</f>
        <v>42.365431135458586</v>
      </c>
      <c r="N134" s="31">
        <f>'[27]Lex WTPs 2007-2010'!BJ49</f>
        <v>42.512338499983031</v>
      </c>
      <c r="O134" s="32">
        <f>O135/O$103</f>
        <v>40.888032896170103</v>
      </c>
      <c r="Q134" s="33"/>
    </row>
    <row r="135" spans="1:23">
      <c r="A135" s="34" t="s">
        <v>64</v>
      </c>
      <c r="B135" s="35" t="s">
        <v>57</v>
      </c>
      <c r="C135" s="36">
        <f t="shared" ref="C135:N135" si="72">C$103*C134</f>
        <v>22455.145952865427</v>
      </c>
      <c r="D135" s="37">
        <f t="shared" si="72"/>
        <v>20035.602866582616</v>
      </c>
      <c r="E135" s="36">
        <f t="shared" si="72"/>
        <v>20174.766835525406</v>
      </c>
      <c r="F135" s="37">
        <f t="shared" si="72"/>
        <v>22874.531167676396</v>
      </c>
      <c r="G135" s="36">
        <f t="shared" si="72"/>
        <v>31062.456720193375</v>
      </c>
      <c r="H135" s="37">
        <f t="shared" si="72"/>
        <v>14444.623202171486</v>
      </c>
      <c r="I135" s="36">
        <f t="shared" si="72"/>
        <v>0</v>
      </c>
      <c r="J135" s="37">
        <f t="shared" si="72"/>
        <v>0</v>
      </c>
      <c r="K135" s="36">
        <f t="shared" si="72"/>
        <v>0</v>
      </c>
      <c r="L135" s="37">
        <f t="shared" si="72"/>
        <v>0</v>
      </c>
      <c r="M135" s="36">
        <f t="shared" si="72"/>
        <v>0</v>
      </c>
      <c r="N135" s="37">
        <f t="shared" si="72"/>
        <v>0</v>
      </c>
      <c r="O135" s="38">
        <f>SUM(C135:N135)</f>
        <v>131047.1267450147</v>
      </c>
      <c r="Q135" s="33"/>
      <c r="R135" s="57"/>
      <c r="S135" s="57"/>
      <c r="T135" s="57"/>
      <c r="U135" s="57"/>
      <c r="V135" s="41"/>
      <c r="W135" s="8"/>
    </row>
    <row r="136" spans="1:23" ht="15.75">
      <c r="A136" s="42"/>
      <c r="B136" s="35" t="s">
        <v>58</v>
      </c>
      <c r="C136" s="43">
        <f>C40</f>
        <v>0.27799963662790694</v>
      </c>
      <c r="D136" s="44">
        <f t="shared" ref="D136:N136" si="73">C136</f>
        <v>0.27799963662790694</v>
      </c>
      <c r="E136" s="43">
        <f t="shared" si="73"/>
        <v>0.27799963662790694</v>
      </c>
      <c r="F136" s="44">
        <f t="shared" si="73"/>
        <v>0.27799963662790694</v>
      </c>
      <c r="G136" s="43">
        <f t="shared" si="73"/>
        <v>0.27799963662790694</v>
      </c>
      <c r="H136" s="44">
        <f t="shared" si="73"/>
        <v>0.27799963662790694</v>
      </c>
      <c r="I136" s="43">
        <f t="shared" si="73"/>
        <v>0.27799963662790694</v>
      </c>
      <c r="J136" s="44">
        <f t="shared" si="73"/>
        <v>0.27799963662790694</v>
      </c>
      <c r="K136" s="43">
        <f t="shared" si="73"/>
        <v>0.27799963662790694</v>
      </c>
      <c r="L136" s="44">
        <f t="shared" si="73"/>
        <v>0.27799963662790694</v>
      </c>
      <c r="M136" s="43">
        <f t="shared" si="73"/>
        <v>0.27799963662790694</v>
      </c>
      <c r="N136" s="44">
        <f t="shared" si="73"/>
        <v>0.27799963662790694</v>
      </c>
      <c r="O136" s="45">
        <f>IF(O135=0,0,+O137/O135)</f>
        <v>0.27799963662790694</v>
      </c>
      <c r="Q136" s="33"/>
      <c r="R136" s="46"/>
      <c r="S136" s="46"/>
      <c r="T136" s="47"/>
      <c r="U136" s="47"/>
      <c r="V136" s="41"/>
      <c r="W136" s="8"/>
    </row>
    <row r="137" spans="1:23">
      <c r="A137" s="42"/>
      <c r="B137" s="35" t="s">
        <v>15</v>
      </c>
      <c r="C137" s="48">
        <f t="shared" ref="C137:N137" si="74">C135*C136</f>
        <v>6242.5224153232039</v>
      </c>
      <c r="D137" s="49">
        <f t="shared" si="74"/>
        <v>5569.8903165310176</v>
      </c>
      <c r="E137" s="48">
        <f t="shared" si="74"/>
        <v>5608.5778493288108</v>
      </c>
      <c r="F137" s="49">
        <f t="shared" si="74"/>
        <v>6359.1113526477702</v>
      </c>
      <c r="G137" s="48">
        <f t="shared" si="74"/>
        <v>8635.3516809838438</v>
      </c>
      <c r="H137" s="49">
        <f t="shared" si="74"/>
        <v>4015.6000014307065</v>
      </c>
      <c r="I137" s="48">
        <f t="shared" si="74"/>
        <v>0</v>
      </c>
      <c r="J137" s="49">
        <f t="shared" si="74"/>
        <v>0</v>
      </c>
      <c r="K137" s="48">
        <f t="shared" si="74"/>
        <v>0</v>
      </c>
      <c r="L137" s="49">
        <f t="shared" si="74"/>
        <v>0</v>
      </c>
      <c r="M137" s="48">
        <f t="shared" si="74"/>
        <v>0</v>
      </c>
      <c r="N137" s="49">
        <f t="shared" si="74"/>
        <v>0</v>
      </c>
      <c r="O137" s="50">
        <f>SUM(C137:N137)</f>
        <v>36431.05361624535</v>
      </c>
      <c r="Q137" s="33"/>
      <c r="R137" s="40"/>
      <c r="S137" s="40"/>
      <c r="T137" s="40"/>
      <c r="U137" s="40"/>
      <c r="V137" s="41"/>
    </row>
    <row r="138" spans="1:23" ht="16.5" thickBot="1">
      <c r="A138" s="51"/>
      <c r="B138" s="52" t="s">
        <v>59</v>
      </c>
      <c r="C138" s="53">
        <f t="shared" ref="C138:O138" si="75">C137/C$103</f>
        <v>11.160634639273141</v>
      </c>
      <c r="D138" s="54">
        <f t="shared" si="75"/>
        <v>11.446759838408475</v>
      </c>
      <c r="E138" s="53">
        <f t="shared" si="75"/>
        <v>10.865778164377968</v>
      </c>
      <c r="F138" s="54">
        <f t="shared" si="75"/>
        <v>11.366333706868065</v>
      </c>
      <c r="G138" s="53">
        <f t="shared" si="75"/>
        <v>11.593706063501442</v>
      </c>
      <c r="H138" s="54">
        <f t="shared" si="75"/>
        <v>11.858370497093308</v>
      </c>
      <c r="I138" s="53" t="e">
        <f t="shared" si="75"/>
        <v>#DIV/0!</v>
      </c>
      <c r="J138" s="54" t="e">
        <f t="shared" si="75"/>
        <v>#DIV/0!</v>
      </c>
      <c r="K138" s="53" t="e">
        <f t="shared" si="75"/>
        <v>#DIV/0!</v>
      </c>
      <c r="L138" s="54" t="e">
        <f t="shared" si="75"/>
        <v>#DIV/0!</v>
      </c>
      <c r="M138" s="53" t="e">
        <f t="shared" si="75"/>
        <v>#DIV/0!</v>
      </c>
      <c r="N138" s="54" t="e">
        <f t="shared" si="75"/>
        <v>#DIV/0!</v>
      </c>
      <c r="O138" s="55">
        <f t="shared" si="75"/>
        <v>11.366858287565194</v>
      </c>
      <c r="Q138" s="33"/>
      <c r="R138" s="46"/>
      <c r="S138" s="56"/>
      <c r="T138" s="57"/>
      <c r="U138" s="57"/>
      <c r="V138" s="41"/>
    </row>
    <row r="139" spans="1:23">
      <c r="A139" s="69" t="s">
        <v>67</v>
      </c>
      <c r="B139" s="29" t="s">
        <v>55</v>
      </c>
      <c r="C139" s="30">
        <f>'[27]Lex WTPs 2007-2010'!G60</f>
        <v>325.26066475604307</v>
      </c>
      <c r="D139" s="31">
        <f>'[27]Lex WTPs 2007-2010'!L60</f>
        <v>298.20666621560474</v>
      </c>
      <c r="E139" s="30">
        <f>'[27]Lex WTPs 2007-2010'!Q60</f>
        <v>231.89032634199037</v>
      </c>
      <c r="F139" s="31">
        <f>'[27]Lex WTPs 2007-2010'!V60</f>
        <v>245.73679742445483</v>
      </c>
      <c r="G139" s="30">
        <f>'[27]Lex WTPs 2007-2010'!AA60</f>
        <v>287.95571146768566</v>
      </c>
      <c r="H139" s="31">
        <f>'[27]Lex WTPs 2007-2010'!AF60</f>
        <v>310.35933681706837</v>
      </c>
      <c r="I139" s="30">
        <f>'[27]Lex WTPs 2007-2010'!AK60</f>
        <v>208.13309912382749</v>
      </c>
      <c r="J139" s="31">
        <f>'[27]Lex WTPs 2007-2010'!AP60</f>
        <v>218.4240324658839</v>
      </c>
      <c r="K139" s="30">
        <f>'[27]Lex WTPs 2007-2010'!AU60</f>
        <v>165.79771295119389</v>
      </c>
      <c r="L139" s="31">
        <f>'[27]Lex WTPs 2007-2010'!AZ60</f>
        <v>146.94888456382969</v>
      </c>
      <c r="M139" s="30">
        <f>'[27]Lex WTPs 2007-2010'!BE60</f>
        <v>155.5546847734131</v>
      </c>
      <c r="N139" s="31">
        <f>'[27]Lex WTPs 2007-2010'!BJ60</f>
        <v>423.00689123760003</v>
      </c>
      <c r="O139" s="32">
        <f>O140/O$103</f>
        <v>281.99042176021351</v>
      </c>
    </row>
    <row r="140" spans="1:23">
      <c r="A140" s="34" t="s">
        <v>64</v>
      </c>
      <c r="B140" s="35" t="s">
        <v>57</v>
      </c>
      <c r="C140" s="36">
        <f t="shared" ref="C140:N140" si="76">C$103*C139</f>
        <v>181929.3486606566</v>
      </c>
      <c r="D140" s="37">
        <f t="shared" si="76"/>
        <v>145104.67992051732</v>
      </c>
      <c r="E140" s="36">
        <f t="shared" si="76"/>
        <v>119694.59785761882</v>
      </c>
      <c r="F140" s="37">
        <f t="shared" si="76"/>
        <v>137482.12031826234</v>
      </c>
      <c r="G140" s="36">
        <f t="shared" si="76"/>
        <v>214478.34052818781</v>
      </c>
      <c r="H140" s="37">
        <f t="shared" si="76"/>
        <v>105096.98222636386</v>
      </c>
      <c r="I140" s="36">
        <f t="shared" si="76"/>
        <v>0</v>
      </c>
      <c r="J140" s="37">
        <f t="shared" si="76"/>
        <v>0</v>
      </c>
      <c r="K140" s="36">
        <f t="shared" si="76"/>
        <v>0</v>
      </c>
      <c r="L140" s="37">
        <f t="shared" si="76"/>
        <v>0</v>
      </c>
      <c r="M140" s="36">
        <f t="shared" si="76"/>
        <v>0</v>
      </c>
      <c r="N140" s="37">
        <f t="shared" si="76"/>
        <v>0</v>
      </c>
      <c r="O140" s="38">
        <f>SUM(C140:N140)</f>
        <v>903786.06951160671</v>
      </c>
    </row>
    <row r="141" spans="1:23">
      <c r="A141" s="42"/>
      <c r="B141" s="35" t="s">
        <v>58</v>
      </c>
      <c r="C141" s="43">
        <f>C45</f>
        <v>0.15</v>
      </c>
      <c r="D141" s="44">
        <f t="shared" ref="D141:N141" si="77">C141</f>
        <v>0.15</v>
      </c>
      <c r="E141" s="43">
        <f t="shared" si="77"/>
        <v>0.15</v>
      </c>
      <c r="F141" s="44">
        <f t="shared" si="77"/>
        <v>0.15</v>
      </c>
      <c r="G141" s="43">
        <f t="shared" si="77"/>
        <v>0.15</v>
      </c>
      <c r="H141" s="44">
        <f t="shared" si="77"/>
        <v>0.15</v>
      </c>
      <c r="I141" s="43">
        <f t="shared" si="77"/>
        <v>0.15</v>
      </c>
      <c r="J141" s="44">
        <f t="shared" si="77"/>
        <v>0.15</v>
      </c>
      <c r="K141" s="43">
        <f t="shared" si="77"/>
        <v>0.15</v>
      </c>
      <c r="L141" s="44">
        <f t="shared" si="77"/>
        <v>0.15</v>
      </c>
      <c r="M141" s="43">
        <f t="shared" si="77"/>
        <v>0.15</v>
      </c>
      <c r="N141" s="44">
        <f t="shared" si="77"/>
        <v>0.15</v>
      </c>
      <c r="O141" s="45">
        <f>IF(O140=0,0,+O142/O140)</f>
        <v>0.15</v>
      </c>
    </row>
    <row r="142" spans="1:23">
      <c r="A142" s="42"/>
      <c r="B142" s="35" t="s">
        <v>15</v>
      </c>
      <c r="C142" s="48">
        <f t="shared" ref="C142:N142" si="78">C140*C141</f>
        <v>27289.402299098489</v>
      </c>
      <c r="D142" s="49">
        <f t="shared" si="78"/>
        <v>21765.701988077595</v>
      </c>
      <c r="E142" s="48">
        <f t="shared" si="78"/>
        <v>17954.189678642822</v>
      </c>
      <c r="F142" s="49">
        <f t="shared" si="78"/>
        <v>20622.318047739351</v>
      </c>
      <c r="G142" s="48">
        <f t="shared" si="78"/>
        <v>32171.751079228168</v>
      </c>
      <c r="H142" s="49">
        <f t="shared" si="78"/>
        <v>15764.547333954579</v>
      </c>
      <c r="I142" s="48">
        <f t="shared" si="78"/>
        <v>0</v>
      </c>
      <c r="J142" s="49">
        <f t="shared" si="78"/>
        <v>0</v>
      </c>
      <c r="K142" s="48">
        <f t="shared" si="78"/>
        <v>0</v>
      </c>
      <c r="L142" s="49">
        <f t="shared" si="78"/>
        <v>0</v>
      </c>
      <c r="M142" s="48">
        <f t="shared" si="78"/>
        <v>0</v>
      </c>
      <c r="N142" s="49">
        <f t="shared" si="78"/>
        <v>0</v>
      </c>
      <c r="O142" s="50">
        <f>SUM(C142:N142)</f>
        <v>135567.910426741</v>
      </c>
    </row>
    <row r="143" spans="1:23" ht="13.5" thickBot="1">
      <c r="A143" s="51"/>
      <c r="B143" s="52" t="s">
        <v>59</v>
      </c>
      <c r="C143" s="53">
        <f t="shared" ref="C143:O143" si="79">C142/C$103</f>
        <v>48.789099713406458</v>
      </c>
      <c r="D143" s="54">
        <f t="shared" si="79"/>
        <v>44.730999932340708</v>
      </c>
      <c r="E143" s="53">
        <f t="shared" si="79"/>
        <v>34.783548951298556</v>
      </c>
      <c r="F143" s="54">
        <f t="shared" si="79"/>
        <v>36.860519613668224</v>
      </c>
      <c r="G143" s="53">
        <f t="shared" si="79"/>
        <v>43.193356720152842</v>
      </c>
      <c r="H143" s="54">
        <f t="shared" si="79"/>
        <v>46.553900522560255</v>
      </c>
      <c r="I143" s="53" t="e">
        <f t="shared" si="79"/>
        <v>#DIV/0!</v>
      </c>
      <c r="J143" s="54" t="e">
        <f t="shared" si="79"/>
        <v>#DIV/0!</v>
      </c>
      <c r="K143" s="53" t="e">
        <f t="shared" si="79"/>
        <v>#DIV/0!</v>
      </c>
      <c r="L143" s="54" t="e">
        <f t="shared" si="79"/>
        <v>#DIV/0!</v>
      </c>
      <c r="M143" s="53" t="e">
        <f t="shared" si="79"/>
        <v>#DIV/0!</v>
      </c>
      <c r="N143" s="54" t="e">
        <f t="shared" si="79"/>
        <v>#DIV/0!</v>
      </c>
      <c r="O143" s="55">
        <f t="shared" si="79"/>
        <v>42.298563264032026</v>
      </c>
    </row>
    <row r="144" spans="1:23">
      <c r="A144" s="28" t="s">
        <v>68</v>
      </c>
      <c r="B144" s="29" t="s">
        <v>55</v>
      </c>
      <c r="C144" s="30">
        <f>'[27]Lex WTPs 2007-2010'!G52</f>
        <v>18.814148065282922</v>
      </c>
      <c r="D144" s="31">
        <f>'[27]Lex WTPs 2007-2010'!L52</f>
        <v>19.429910550482322</v>
      </c>
      <c r="E144" s="30">
        <f>'[27]Lex WTPs 2007-2010'!Q52</f>
        <v>21.756786013364383</v>
      </c>
      <c r="F144" s="31">
        <f>'[27]Lex WTPs 2007-2010'!V52</f>
        <v>20.452665456945557</v>
      </c>
      <c r="G144" s="30">
        <f>'[27]Lex WTPs 2007-2010'!AA52</f>
        <v>20.401566973704494</v>
      </c>
      <c r="H144" s="31">
        <f>'[27]Lex WTPs 2007-2010'!AF52</f>
        <v>18.368174668086375</v>
      </c>
      <c r="I144" s="30">
        <f>'[27]Lex WTPs 2007-2010'!AK52</f>
        <v>20.5599809878961</v>
      </c>
      <c r="J144" s="31">
        <f>'[27]Lex WTPs 2007-2010'!AP52</f>
        <v>21.735148546030178</v>
      </c>
      <c r="K144" s="30">
        <f>'[27]Lex WTPs 2007-2010'!AU52</f>
        <v>20.637903593489916</v>
      </c>
      <c r="L144" s="31">
        <f>'[27]Lex WTPs 2007-2010'!AZ52</f>
        <v>19.132303903842271</v>
      </c>
      <c r="M144" s="30">
        <f>'[27]Lex WTPs 2007-2010'!BE52</f>
        <v>21.311873943764791</v>
      </c>
      <c r="N144" s="31">
        <f>'[27]Lex WTPs 2007-2010'!BJ52</f>
        <v>20.868895298365178</v>
      </c>
      <c r="O144" s="32">
        <f>O145/O$103</f>
        <v>19.989353461105512</v>
      </c>
      <c r="Q144" s="33"/>
    </row>
    <row r="145" spans="1:22">
      <c r="A145" s="34" t="s">
        <v>64</v>
      </c>
      <c r="B145" s="35" t="s">
        <v>57</v>
      </c>
      <c r="C145" s="36">
        <f t="shared" ref="C145:N145" si="80">C$103*C144</f>
        <v>10523.392693946958</v>
      </c>
      <c r="D145" s="37">
        <f t="shared" si="80"/>
        <v>9454.4196046697434</v>
      </c>
      <c r="E145" s="36">
        <f t="shared" si="80"/>
        <v>11230.17847973228</v>
      </c>
      <c r="F145" s="37">
        <f t="shared" si="80"/>
        <v>11442.632290531874</v>
      </c>
      <c r="G145" s="36">
        <f t="shared" si="80"/>
        <v>15195.719530591294</v>
      </c>
      <c r="H145" s="37">
        <f t="shared" si="80"/>
        <v>6220.0149878540888</v>
      </c>
      <c r="I145" s="36">
        <f t="shared" si="80"/>
        <v>0</v>
      </c>
      <c r="J145" s="37">
        <f t="shared" si="80"/>
        <v>0</v>
      </c>
      <c r="K145" s="36">
        <f t="shared" si="80"/>
        <v>0</v>
      </c>
      <c r="L145" s="37">
        <f t="shared" si="80"/>
        <v>0</v>
      </c>
      <c r="M145" s="36">
        <f t="shared" si="80"/>
        <v>0</v>
      </c>
      <c r="N145" s="37">
        <f t="shared" si="80"/>
        <v>0</v>
      </c>
      <c r="O145" s="38">
        <f>SUM(C145:N145)</f>
        <v>64066.357587326238</v>
      </c>
      <c r="Q145" s="33"/>
      <c r="R145" s="57"/>
      <c r="S145" s="68"/>
      <c r="T145" s="68"/>
      <c r="U145" s="33"/>
      <c r="V145" s="41"/>
    </row>
    <row r="146" spans="1:22" ht="15.75">
      <c r="A146" s="42"/>
      <c r="B146" s="35" t="s">
        <v>58</v>
      </c>
      <c r="C146" s="43">
        <f>'[14]Price Changes'!D29</f>
        <v>0.32368000000000002</v>
      </c>
      <c r="D146" s="44">
        <f t="shared" ref="D146:N146" si="81">C146</f>
        <v>0.32368000000000002</v>
      </c>
      <c r="E146" s="43">
        <f t="shared" si="81"/>
        <v>0.32368000000000002</v>
      </c>
      <c r="F146" s="44">
        <f t="shared" si="81"/>
        <v>0.32368000000000002</v>
      </c>
      <c r="G146" s="43">
        <f t="shared" si="81"/>
        <v>0.32368000000000002</v>
      </c>
      <c r="H146" s="44">
        <f t="shared" si="81"/>
        <v>0.32368000000000002</v>
      </c>
      <c r="I146" s="43">
        <f t="shared" si="81"/>
        <v>0.32368000000000002</v>
      </c>
      <c r="J146" s="44">
        <f t="shared" si="81"/>
        <v>0.32368000000000002</v>
      </c>
      <c r="K146" s="43">
        <f t="shared" si="81"/>
        <v>0.32368000000000002</v>
      </c>
      <c r="L146" s="44">
        <f t="shared" si="81"/>
        <v>0.32368000000000002</v>
      </c>
      <c r="M146" s="43">
        <f t="shared" si="81"/>
        <v>0.32368000000000002</v>
      </c>
      <c r="N146" s="44">
        <f t="shared" si="81"/>
        <v>0.32368000000000002</v>
      </c>
      <c r="O146" s="45">
        <f>IF(O145=0,0,+O147/O145)</f>
        <v>0.32367999999999997</v>
      </c>
      <c r="Q146" s="33"/>
      <c r="R146" s="46"/>
      <c r="S146" s="80"/>
      <c r="T146" s="46"/>
      <c r="U146" s="47"/>
      <c r="V146" s="41"/>
    </row>
    <row r="147" spans="1:22">
      <c r="A147" s="42"/>
      <c r="B147" s="35" t="s">
        <v>15</v>
      </c>
      <c r="C147" s="48">
        <f t="shared" ref="C147:N147" si="82">C145*C146</f>
        <v>3406.2117471767519</v>
      </c>
      <c r="D147" s="49">
        <f t="shared" si="82"/>
        <v>3060.2065376395026</v>
      </c>
      <c r="E147" s="48">
        <f t="shared" si="82"/>
        <v>3634.9841703197444</v>
      </c>
      <c r="F147" s="49">
        <f t="shared" si="82"/>
        <v>3703.7512197993574</v>
      </c>
      <c r="G147" s="48">
        <f t="shared" si="82"/>
        <v>4918.5504976617904</v>
      </c>
      <c r="H147" s="49">
        <f t="shared" si="82"/>
        <v>2013.2944512686115</v>
      </c>
      <c r="I147" s="48">
        <f t="shared" si="82"/>
        <v>0</v>
      </c>
      <c r="J147" s="49">
        <f t="shared" si="82"/>
        <v>0</v>
      </c>
      <c r="K147" s="48">
        <f t="shared" si="82"/>
        <v>0</v>
      </c>
      <c r="L147" s="49">
        <f t="shared" si="82"/>
        <v>0</v>
      </c>
      <c r="M147" s="48">
        <f t="shared" si="82"/>
        <v>0</v>
      </c>
      <c r="N147" s="49">
        <f t="shared" si="82"/>
        <v>0</v>
      </c>
      <c r="O147" s="50">
        <f>SUM(C147:N147)</f>
        <v>20736.998623865755</v>
      </c>
      <c r="Q147" s="33"/>
      <c r="R147" s="40"/>
      <c r="S147" s="40"/>
      <c r="T147" s="40"/>
      <c r="U147" s="40"/>
      <c r="V147" s="41"/>
    </row>
    <row r="148" spans="1:22" ht="16.5" thickBot="1">
      <c r="A148" s="51"/>
      <c r="B148" s="52" t="s">
        <v>59</v>
      </c>
      <c r="C148" s="53">
        <f t="shared" ref="C148:O148" si="83">C147/C$103</f>
        <v>6.0897634457707763</v>
      </c>
      <c r="D148" s="54">
        <f t="shared" si="83"/>
        <v>6.2890734469801188</v>
      </c>
      <c r="E148" s="53">
        <f t="shared" si="83"/>
        <v>7.042236496805784</v>
      </c>
      <c r="F148" s="54">
        <f t="shared" si="83"/>
        <v>6.6201187551041381</v>
      </c>
      <c r="G148" s="53">
        <f t="shared" si="83"/>
        <v>6.6035791980486707</v>
      </c>
      <c r="H148" s="54">
        <f t="shared" si="83"/>
        <v>5.9454107765661979</v>
      </c>
      <c r="I148" s="53" t="e">
        <f t="shared" si="83"/>
        <v>#DIV/0!</v>
      </c>
      <c r="J148" s="54" t="e">
        <f t="shared" si="83"/>
        <v>#DIV/0!</v>
      </c>
      <c r="K148" s="53" t="e">
        <f t="shared" si="83"/>
        <v>#DIV/0!</v>
      </c>
      <c r="L148" s="54" t="e">
        <f t="shared" si="83"/>
        <v>#DIV/0!</v>
      </c>
      <c r="M148" s="53" t="e">
        <f t="shared" si="83"/>
        <v>#DIV/0!</v>
      </c>
      <c r="N148" s="54" t="e">
        <f t="shared" si="83"/>
        <v>#DIV/0!</v>
      </c>
      <c r="O148" s="55">
        <f t="shared" si="83"/>
        <v>6.4701539282906317</v>
      </c>
      <c r="Q148" s="33"/>
      <c r="R148" s="56"/>
      <c r="S148" s="80"/>
      <c r="T148" s="56"/>
      <c r="U148" s="57"/>
      <c r="V148" s="41"/>
    </row>
    <row r="149" spans="1:22">
      <c r="A149" s="28" t="s">
        <v>69</v>
      </c>
      <c r="B149" s="29" t="s">
        <v>55</v>
      </c>
      <c r="C149" s="30">
        <f>'[27]Lex WTPs 2007-2010'!G58</f>
        <v>1.7776841323276424</v>
      </c>
      <c r="D149" s="31">
        <f>'[27]Lex WTPs 2007-2010'!L58</f>
        <v>0.94829776008767253</v>
      </c>
      <c r="E149" s="30">
        <f>'[27]Lex WTPs 2007-2010'!Q58</f>
        <v>1.3358236783174342</v>
      </c>
      <c r="F149" s="31">
        <f>'[27]Lex WTPs 2007-2010'!V58</f>
        <v>0.83968464467817916</v>
      </c>
      <c r="G149" s="30">
        <f>'[27]Lex WTPs 2007-2010'!AA58</f>
        <v>1.0988702984058678</v>
      </c>
      <c r="H149" s="31">
        <f>'[27]Lex WTPs 2007-2010'!AF58</f>
        <v>0.79177943399176576</v>
      </c>
      <c r="I149" s="30">
        <f>'[27]Lex WTPs 2007-2010'!AK58</f>
        <v>0.54464273602883884</v>
      </c>
      <c r="J149" s="31">
        <f>'[27]Lex WTPs 2007-2010'!AP58</f>
        <v>1.0191182897331303</v>
      </c>
      <c r="K149" s="30">
        <f>'[27]Lex WTPs 2007-2010'!AU58</f>
        <v>0.59739506418249266</v>
      </c>
      <c r="L149" s="31">
        <f>'[27]Lex WTPs 2007-2010'!AZ58</f>
        <v>0.35233935301611302</v>
      </c>
      <c r="M149" s="30">
        <f>'[27]Lex WTPs 2007-2010'!BE58</f>
        <v>1.109306647450693</v>
      </c>
      <c r="N149" s="31">
        <f>'[27]Lex WTPs 2007-2010'!BJ58</f>
        <v>1.0175712769147631</v>
      </c>
      <c r="O149" s="32">
        <f>O150/O$103</f>
        <v>1.154947222080593</v>
      </c>
      <c r="Q149" s="33"/>
    </row>
    <row r="150" spans="1:22">
      <c r="A150" s="34" t="s">
        <v>56</v>
      </c>
      <c r="B150" s="35" t="s">
        <v>57</v>
      </c>
      <c r="C150" s="36">
        <f t="shared" ref="C150:N150" si="84">C$103*C149</f>
        <v>994.31917647134969</v>
      </c>
      <c r="D150" s="37">
        <f t="shared" si="84"/>
        <v>461.43315537882063</v>
      </c>
      <c r="E150" s="36">
        <f t="shared" si="84"/>
        <v>689.51077221343166</v>
      </c>
      <c r="F150" s="37">
        <f t="shared" si="84"/>
        <v>469.77752847345624</v>
      </c>
      <c r="G150" s="36">
        <f t="shared" si="84"/>
        <v>818.47266323194106</v>
      </c>
      <c r="H150" s="37">
        <f t="shared" si="84"/>
        <v>268.12026973263164</v>
      </c>
      <c r="I150" s="36">
        <f t="shared" si="84"/>
        <v>0</v>
      </c>
      <c r="J150" s="37">
        <f t="shared" si="84"/>
        <v>0</v>
      </c>
      <c r="K150" s="36">
        <f t="shared" si="84"/>
        <v>0</v>
      </c>
      <c r="L150" s="37">
        <f t="shared" si="84"/>
        <v>0</v>
      </c>
      <c r="M150" s="36">
        <f t="shared" si="84"/>
        <v>0</v>
      </c>
      <c r="N150" s="37">
        <f t="shared" si="84"/>
        <v>0</v>
      </c>
      <c r="O150" s="38">
        <f>SUM(C150:N150)</f>
        <v>3701.633565501631</v>
      </c>
      <c r="Q150" s="33"/>
      <c r="R150" s="39"/>
      <c r="S150" s="39"/>
      <c r="T150" s="39"/>
      <c r="U150" s="39"/>
      <c r="V150" s="41"/>
    </row>
    <row r="151" spans="1:22" ht="15.75">
      <c r="A151" s="42"/>
      <c r="B151" s="35" t="s">
        <v>58</v>
      </c>
      <c r="C151" s="43">
        <f>'[14]Price Changes'!D30</f>
        <v>1.1536000000000002</v>
      </c>
      <c r="D151" s="44">
        <f t="shared" ref="D151:N151" si="85">C151</f>
        <v>1.1536000000000002</v>
      </c>
      <c r="E151" s="43">
        <f t="shared" si="85"/>
        <v>1.1536000000000002</v>
      </c>
      <c r="F151" s="44">
        <f t="shared" si="85"/>
        <v>1.1536000000000002</v>
      </c>
      <c r="G151" s="43">
        <f t="shared" si="85"/>
        <v>1.1536000000000002</v>
      </c>
      <c r="H151" s="44">
        <f t="shared" si="85"/>
        <v>1.1536000000000002</v>
      </c>
      <c r="I151" s="43">
        <f t="shared" si="85"/>
        <v>1.1536000000000002</v>
      </c>
      <c r="J151" s="44">
        <f t="shared" si="85"/>
        <v>1.1536000000000002</v>
      </c>
      <c r="K151" s="43">
        <f t="shared" si="85"/>
        <v>1.1536000000000002</v>
      </c>
      <c r="L151" s="44">
        <f t="shared" si="85"/>
        <v>1.1536000000000002</v>
      </c>
      <c r="M151" s="43">
        <f t="shared" si="85"/>
        <v>1.1536000000000002</v>
      </c>
      <c r="N151" s="44">
        <f t="shared" si="85"/>
        <v>1.1536000000000002</v>
      </c>
      <c r="O151" s="45">
        <f>IF(O150=0,0,+O152/O150)</f>
        <v>1.1536000000000002</v>
      </c>
      <c r="Q151" s="33"/>
      <c r="R151" s="46"/>
      <c r="S151" s="46"/>
      <c r="T151" s="47"/>
      <c r="U151" s="47"/>
      <c r="V151" s="41"/>
    </row>
    <row r="152" spans="1:22">
      <c r="A152" s="42"/>
      <c r="B152" s="35" t="s">
        <v>15</v>
      </c>
      <c r="C152" s="48">
        <f t="shared" ref="C152:N152" si="86">C150*C151</f>
        <v>1147.0466019773492</v>
      </c>
      <c r="D152" s="49">
        <f t="shared" si="86"/>
        <v>532.30928804500752</v>
      </c>
      <c r="E152" s="48">
        <f t="shared" si="86"/>
        <v>795.41962682541487</v>
      </c>
      <c r="F152" s="49">
        <f t="shared" si="86"/>
        <v>541.93535684697918</v>
      </c>
      <c r="G152" s="48">
        <f t="shared" si="86"/>
        <v>944.1900643043673</v>
      </c>
      <c r="H152" s="49">
        <f t="shared" si="86"/>
        <v>309.30354316356392</v>
      </c>
      <c r="I152" s="48">
        <f t="shared" si="86"/>
        <v>0</v>
      </c>
      <c r="J152" s="49">
        <f t="shared" si="86"/>
        <v>0</v>
      </c>
      <c r="K152" s="48">
        <f t="shared" si="86"/>
        <v>0</v>
      </c>
      <c r="L152" s="49">
        <f t="shared" si="86"/>
        <v>0</v>
      </c>
      <c r="M152" s="48">
        <f t="shared" si="86"/>
        <v>0</v>
      </c>
      <c r="N152" s="49">
        <f t="shared" si="86"/>
        <v>0</v>
      </c>
      <c r="O152" s="50">
        <f>SUM(C152:N152)</f>
        <v>4270.204481162682</v>
      </c>
      <c r="Q152" s="33"/>
      <c r="R152" s="40"/>
      <c r="S152" s="40"/>
      <c r="T152" s="40"/>
      <c r="U152" s="40"/>
      <c r="V152" s="41"/>
    </row>
    <row r="153" spans="1:22" ht="16.5" thickBot="1">
      <c r="A153" s="51"/>
      <c r="B153" s="52" t="s">
        <v>59</v>
      </c>
      <c r="C153" s="53">
        <f t="shared" ref="C153:O153" si="87">C152/C$103</f>
        <v>2.0507364150531688</v>
      </c>
      <c r="D153" s="54">
        <f t="shared" si="87"/>
        <v>1.0939562960371392</v>
      </c>
      <c r="E153" s="53">
        <f t="shared" si="87"/>
        <v>1.5410061953069922</v>
      </c>
      <c r="F153" s="54">
        <f t="shared" si="87"/>
        <v>0.96866020610074755</v>
      </c>
      <c r="G153" s="53">
        <f t="shared" si="87"/>
        <v>1.2676567762410091</v>
      </c>
      <c r="H153" s="54">
        <f t="shared" si="87"/>
        <v>0.91339675505290119</v>
      </c>
      <c r="I153" s="53" t="e">
        <f t="shared" si="87"/>
        <v>#DIV/0!</v>
      </c>
      <c r="J153" s="54" t="e">
        <f t="shared" si="87"/>
        <v>#DIV/0!</v>
      </c>
      <c r="K153" s="53" t="e">
        <f t="shared" si="87"/>
        <v>#DIV/0!</v>
      </c>
      <c r="L153" s="54" t="e">
        <f t="shared" si="87"/>
        <v>#DIV/0!</v>
      </c>
      <c r="M153" s="53" t="e">
        <f t="shared" si="87"/>
        <v>#DIV/0!</v>
      </c>
      <c r="N153" s="54" t="e">
        <f t="shared" si="87"/>
        <v>#DIV/0!</v>
      </c>
      <c r="O153" s="55">
        <f t="shared" si="87"/>
        <v>1.3323471153921722</v>
      </c>
      <c r="Q153" s="33"/>
      <c r="R153" s="56"/>
      <c r="S153" s="56"/>
      <c r="T153" s="57"/>
      <c r="U153" s="57"/>
      <c r="V153" s="41"/>
    </row>
    <row r="154" spans="1:22">
      <c r="A154" s="28" t="s">
        <v>70</v>
      </c>
      <c r="B154" s="29" t="s">
        <v>55</v>
      </c>
      <c r="C154" s="30">
        <f>'[27]Lex WTPs 2007-2010'!G57</f>
        <v>0</v>
      </c>
      <c r="D154" s="31">
        <f>'[27]Lex WTPs 2007-2010'!L57</f>
        <v>0</v>
      </c>
      <c r="E154" s="30">
        <f>'[27]Lex WTPs 2007-2010'!Q57</f>
        <v>0</v>
      </c>
      <c r="F154" s="31">
        <f>'[27]Lex WTPs 2007-2010'!V57</f>
        <v>0</v>
      </c>
      <c r="G154" s="30">
        <f>'[27]Lex WTPs 2007-2010'!AA57</f>
        <v>0</v>
      </c>
      <c r="H154" s="31">
        <f>'[27]Lex WTPs 2007-2010'!AF57</f>
        <v>0.7311515702495579</v>
      </c>
      <c r="I154" s="30">
        <f>'[27]Lex WTPs 2007-2010'!AK57</f>
        <v>1.1847020030134856</v>
      </c>
      <c r="J154" s="31">
        <f>'[27]Lex WTPs 2007-2010'!AP57</f>
        <v>0.49520599226905038</v>
      </c>
      <c r="K154" s="30">
        <f>'[27]Lex WTPs 2007-2010'!AU57</f>
        <v>6.6328555399857159E-2</v>
      </c>
      <c r="L154" s="31">
        <f>'[27]Lex WTPs 2007-2010'!AZ57</f>
        <v>2.639744556002531</v>
      </c>
      <c r="M154" s="30">
        <f>'[27]Lex WTPs 2007-2010'!BE57</f>
        <v>0.33979493951587786</v>
      </c>
      <c r="N154" s="31">
        <f>'[27]Lex WTPs 2007-2010'!BJ57</f>
        <v>0</v>
      </c>
      <c r="O154" s="32">
        <f>O155/O$103</f>
        <v>7.7250546714660404E-2</v>
      </c>
      <c r="P154" s="9"/>
      <c r="Q154" s="9"/>
      <c r="R154" s="9"/>
      <c r="S154" s="9"/>
      <c r="T154" s="9"/>
      <c r="U154" s="9"/>
      <c r="V154" s="70"/>
    </row>
    <row r="155" spans="1:22">
      <c r="A155" s="34" t="s">
        <v>71</v>
      </c>
      <c r="B155" s="35" t="s">
        <v>57</v>
      </c>
      <c r="C155" s="65">
        <f t="shared" ref="C155:N155" si="88">C$103*C154</f>
        <v>0</v>
      </c>
      <c r="D155" s="66">
        <f t="shared" si="88"/>
        <v>0</v>
      </c>
      <c r="E155" s="65">
        <f t="shared" si="88"/>
        <v>0</v>
      </c>
      <c r="F155" s="66">
        <f t="shared" si="88"/>
        <v>0</v>
      </c>
      <c r="G155" s="65">
        <f t="shared" si="88"/>
        <v>0</v>
      </c>
      <c r="H155" s="66">
        <f t="shared" si="88"/>
        <v>247.58985623360778</v>
      </c>
      <c r="I155" s="65">
        <f t="shared" si="88"/>
        <v>0</v>
      </c>
      <c r="J155" s="66">
        <f t="shared" si="88"/>
        <v>0</v>
      </c>
      <c r="K155" s="65">
        <f t="shared" si="88"/>
        <v>0</v>
      </c>
      <c r="L155" s="66">
        <f t="shared" si="88"/>
        <v>0</v>
      </c>
      <c r="M155" s="65">
        <f t="shared" si="88"/>
        <v>0</v>
      </c>
      <c r="N155" s="66">
        <f t="shared" si="88"/>
        <v>0</v>
      </c>
      <c r="O155" s="67">
        <f>SUM(C155:N155)</f>
        <v>247.58985623360778</v>
      </c>
      <c r="R155" s="15"/>
      <c r="S155" s="15"/>
      <c r="T155" s="15"/>
      <c r="U155" s="15"/>
      <c r="V155" s="71"/>
    </row>
    <row r="156" spans="1:22" ht="15.75">
      <c r="A156" s="34" t="s">
        <v>56</v>
      </c>
      <c r="B156" s="35" t="s">
        <v>58</v>
      </c>
      <c r="C156" s="43">
        <f>'[14]Price Changes'!D31</f>
        <v>0</v>
      </c>
      <c r="D156" s="44">
        <f t="shared" ref="D156:N156" si="89">C156</f>
        <v>0</v>
      </c>
      <c r="E156" s="43">
        <f t="shared" si="89"/>
        <v>0</v>
      </c>
      <c r="F156" s="44">
        <f t="shared" si="89"/>
        <v>0</v>
      </c>
      <c r="G156" s="43">
        <f t="shared" si="89"/>
        <v>0</v>
      </c>
      <c r="H156" s="44">
        <f t="shared" si="89"/>
        <v>0</v>
      </c>
      <c r="I156" s="43">
        <f t="shared" si="89"/>
        <v>0</v>
      </c>
      <c r="J156" s="44">
        <f t="shared" si="89"/>
        <v>0</v>
      </c>
      <c r="K156" s="43">
        <f t="shared" si="89"/>
        <v>0</v>
      </c>
      <c r="L156" s="44">
        <f t="shared" si="89"/>
        <v>0</v>
      </c>
      <c r="M156" s="43">
        <f t="shared" si="89"/>
        <v>0</v>
      </c>
      <c r="N156" s="44">
        <f t="shared" si="89"/>
        <v>0</v>
      </c>
      <c r="O156" s="45">
        <f>IF(O155=0,0,+O157/O155)</f>
        <v>0</v>
      </c>
      <c r="R156" s="72"/>
      <c r="S156" s="15"/>
      <c r="T156" s="72"/>
      <c r="U156" s="15"/>
      <c r="V156" s="15"/>
    </row>
    <row r="157" spans="1:22">
      <c r="A157" s="42"/>
      <c r="B157" s="35" t="s">
        <v>15</v>
      </c>
      <c r="C157" s="48">
        <f t="shared" ref="C157:N157" si="90">C155*C156</f>
        <v>0</v>
      </c>
      <c r="D157" s="49">
        <f t="shared" si="90"/>
        <v>0</v>
      </c>
      <c r="E157" s="48">
        <f t="shared" si="90"/>
        <v>0</v>
      </c>
      <c r="F157" s="49">
        <f t="shared" si="90"/>
        <v>0</v>
      </c>
      <c r="G157" s="48">
        <f t="shared" si="90"/>
        <v>0</v>
      </c>
      <c r="H157" s="49">
        <f t="shared" si="90"/>
        <v>0</v>
      </c>
      <c r="I157" s="48">
        <f t="shared" si="90"/>
        <v>0</v>
      </c>
      <c r="J157" s="49">
        <f t="shared" si="90"/>
        <v>0</v>
      </c>
      <c r="K157" s="48">
        <f t="shared" si="90"/>
        <v>0</v>
      </c>
      <c r="L157" s="49">
        <f t="shared" si="90"/>
        <v>0</v>
      </c>
      <c r="M157" s="48">
        <f t="shared" si="90"/>
        <v>0</v>
      </c>
      <c r="N157" s="49">
        <f t="shared" si="90"/>
        <v>0</v>
      </c>
      <c r="O157" s="50">
        <f>SUM(C157:N157)</f>
        <v>0</v>
      </c>
      <c r="R157" s="15"/>
      <c r="S157" s="15"/>
      <c r="T157" s="15"/>
      <c r="U157" s="15"/>
      <c r="V157" s="15"/>
    </row>
    <row r="158" spans="1:22" ht="13.5" thickBot="1">
      <c r="A158" s="51"/>
      <c r="B158" s="52" t="s">
        <v>59</v>
      </c>
      <c r="C158" s="53">
        <f t="shared" ref="C158:O158" si="91">C157/C$103</f>
        <v>0</v>
      </c>
      <c r="D158" s="54">
        <f t="shared" si="91"/>
        <v>0</v>
      </c>
      <c r="E158" s="53">
        <f t="shared" si="91"/>
        <v>0</v>
      </c>
      <c r="F158" s="54">
        <f t="shared" si="91"/>
        <v>0</v>
      </c>
      <c r="G158" s="53">
        <f t="shared" si="91"/>
        <v>0</v>
      </c>
      <c r="H158" s="54">
        <f t="shared" si="91"/>
        <v>0</v>
      </c>
      <c r="I158" s="53" t="e">
        <f t="shared" si="91"/>
        <v>#DIV/0!</v>
      </c>
      <c r="J158" s="54" t="e">
        <f t="shared" si="91"/>
        <v>#DIV/0!</v>
      </c>
      <c r="K158" s="53" t="e">
        <f t="shared" si="91"/>
        <v>#DIV/0!</v>
      </c>
      <c r="L158" s="54" t="e">
        <f t="shared" si="91"/>
        <v>#DIV/0!</v>
      </c>
      <c r="M158" s="53" t="e">
        <f t="shared" si="91"/>
        <v>#DIV/0!</v>
      </c>
      <c r="N158" s="54" t="e">
        <f t="shared" si="91"/>
        <v>#DIV/0!</v>
      </c>
      <c r="O158" s="55">
        <f t="shared" si="91"/>
        <v>0</v>
      </c>
      <c r="S158" s="8"/>
      <c r="V158" s="41"/>
    </row>
    <row r="159" spans="1:22">
      <c r="A159" s="28" t="s">
        <v>72</v>
      </c>
      <c r="B159" s="29" t="s">
        <v>55</v>
      </c>
      <c r="C159" s="30">
        <f>'[27]Lex WTPs 2007-2010'!G54</f>
        <v>3.8199765162724431</v>
      </c>
      <c r="D159" s="31">
        <f>'[27]Lex WTPs 2007-2010'!L54</f>
        <v>3.9633447429236299</v>
      </c>
      <c r="E159" s="30">
        <f>'[27]Lex WTPs 2007-2010'!Q54</f>
        <v>4.7714962787503037</v>
      </c>
      <c r="F159" s="31">
        <f>'[27]Lex WTPs 2007-2010'!V54</f>
        <v>2.8842359457902011</v>
      </c>
      <c r="G159" s="30">
        <f>'[27]Lex WTPs 2007-2010'!AA54</f>
        <v>1.241794765157382</v>
      </c>
      <c r="H159" s="31">
        <f>'[27]Lex WTPs 2007-2010'!AF54</f>
        <v>4.3802209225529616</v>
      </c>
      <c r="I159" s="30">
        <f>'[27]Lex WTPs 2007-2010'!AK54</f>
        <v>2.2415612466588422</v>
      </c>
      <c r="J159" s="31">
        <f>'[27]Lex WTPs 2007-2010'!AP54</f>
        <v>2.4510242012393904</v>
      </c>
      <c r="K159" s="30">
        <f>'[27]Lex WTPs 2007-2010'!AU54</f>
        <v>3.0864083184960598</v>
      </c>
      <c r="L159" s="31">
        <f>'[27]Lex WTPs 2007-2010'!AZ54</f>
        <v>2.4161188715935116</v>
      </c>
      <c r="M159" s="30">
        <f>'[27]Lex WTPs 2007-2010'!BE54</f>
        <v>3.3819798337691962</v>
      </c>
      <c r="N159" s="31">
        <f>'[27]Lex WTPs 2007-2010'!BJ54</f>
        <v>3.7459087823503774</v>
      </c>
      <c r="O159" s="32">
        <f>O160/O$103</f>
        <v>3.2916792939301835</v>
      </c>
      <c r="Q159" s="33"/>
    </row>
    <row r="160" spans="1:22">
      <c r="A160" s="34" t="s">
        <v>56</v>
      </c>
      <c r="B160" s="35" t="s">
        <v>57</v>
      </c>
      <c r="C160" s="36">
        <f t="shared" ref="C160:N160" si="92">C$103*C159</f>
        <v>2136.6427447527308</v>
      </c>
      <c r="D160" s="37">
        <f t="shared" si="92"/>
        <v>1928.5278818039519</v>
      </c>
      <c r="E160" s="36">
        <f t="shared" si="92"/>
        <v>2462.8984627062655</v>
      </c>
      <c r="F160" s="37">
        <f t="shared" si="92"/>
        <v>1613.6406003552981</v>
      </c>
      <c r="G160" s="36">
        <f t="shared" si="92"/>
        <v>924.92723672693808</v>
      </c>
      <c r="H160" s="37">
        <f t="shared" si="92"/>
        <v>1483.2742110041092</v>
      </c>
      <c r="I160" s="36">
        <f t="shared" si="92"/>
        <v>0</v>
      </c>
      <c r="J160" s="37">
        <f t="shared" si="92"/>
        <v>0</v>
      </c>
      <c r="K160" s="36">
        <f t="shared" si="92"/>
        <v>0</v>
      </c>
      <c r="L160" s="37">
        <f t="shared" si="92"/>
        <v>0</v>
      </c>
      <c r="M160" s="36">
        <f t="shared" si="92"/>
        <v>0</v>
      </c>
      <c r="N160" s="37">
        <f t="shared" si="92"/>
        <v>0</v>
      </c>
      <c r="O160" s="38">
        <f>SUM(C160:N160)</f>
        <v>10549.911137349294</v>
      </c>
      <c r="Q160" s="33"/>
      <c r="R160" s="57"/>
      <c r="S160" s="57"/>
      <c r="T160" s="57"/>
      <c r="U160" s="60"/>
      <c r="V160" s="41"/>
    </row>
    <row r="161" spans="1:23" ht="15.75">
      <c r="A161" s="42"/>
      <c r="B161" s="35" t="s">
        <v>58</v>
      </c>
      <c r="C161" s="43">
        <f>'[14]Price Changes'!D32</f>
        <v>0.14280000000000001</v>
      </c>
      <c r="D161" s="44">
        <f t="shared" ref="D161:N161" si="93">C161</f>
        <v>0.14280000000000001</v>
      </c>
      <c r="E161" s="43">
        <f t="shared" si="93"/>
        <v>0.14280000000000001</v>
      </c>
      <c r="F161" s="44">
        <f t="shared" si="93"/>
        <v>0.14280000000000001</v>
      </c>
      <c r="G161" s="43">
        <f t="shared" si="93"/>
        <v>0.14280000000000001</v>
      </c>
      <c r="H161" s="44">
        <f t="shared" si="93"/>
        <v>0.14280000000000001</v>
      </c>
      <c r="I161" s="43">
        <f t="shared" si="93"/>
        <v>0.14280000000000001</v>
      </c>
      <c r="J161" s="44">
        <f t="shared" si="93"/>
        <v>0.14280000000000001</v>
      </c>
      <c r="K161" s="43">
        <f t="shared" si="93"/>
        <v>0.14280000000000001</v>
      </c>
      <c r="L161" s="44">
        <f t="shared" si="93"/>
        <v>0.14280000000000001</v>
      </c>
      <c r="M161" s="43">
        <f t="shared" si="93"/>
        <v>0.14280000000000001</v>
      </c>
      <c r="N161" s="44">
        <f t="shared" si="93"/>
        <v>0.14280000000000001</v>
      </c>
      <c r="O161" s="45">
        <f>IF(O160=0,0,+O162/O160)</f>
        <v>0.14280000000000001</v>
      </c>
      <c r="Q161" s="33"/>
      <c r="R161" s="46"/>
      <c r="S161" s="46"/>
      <c r="T161" s="47"/>
      <c r="U161" s="47"/>
      <c r="V161" s="41"/>
    </row>
    <row r="162" spans="1:23">
      <c r="A162" s="42"/>
      <c r="B162" s="35" t="s">
        <v>15</v>
      </c>
      <c r="C162" s="48">
        <f t="shared" ref="C162:N162" si="94">C160*C161</f>
        <v>305.11258395068995</v>
      </c>
      <c r="D162" s="49">
        <f t="shared" si="94"/>
        <v>275.39378152160435</v>
      </c>
      <c r="E162" s="48">
        <f t="shared" si="94"/>
        <v>351.70190047445476</v>
      </c>
      <c r="F162" s="49">
        <f t="shared" si="94"/>
        <v>230.42787773073658</v>
      </c>
      <c r="G162" s="48">
        <f t="shared" si="94"/>
        <v>132.07960940460677</v>
      </c>
      <c r="H162" s="49">
        <f t="shared" si="94"/>
        <v>211.81155733138681</v>
      </c>
      <c r="I162" s="48">
        <f t="shared" si="94"/>
        <v>0</v>
      </c>
      <c r="J162" s="49">
        <f t="shared" si="94"/>
        <v>0</v>
      </c>
      <c r="K162" s="48">
        <f t="shared" si="94"/>
        <v>0</v>
      </c>
      <c r="L162" s="49">
        <f t="shared" si="94"/>
        <v>0</v>
      </c>
      <c r="M162" s="48">
        <f t="shared" si="94"/>
        <v>0</v>
      </c>
      <c r="N162" s="49">
        <f t="shared" si="94"/>
        <v>0</v>
      </c>
      <c r="O162" s="50">
        <f>SUM(C162:N162)</f>
        <v>1506.5273104134794</v>
      </c>
      <c r="Q162" s="33"/>
      <c r="R162" s="40"/>
      <c r="S162" s="40"/>
      <c r="T162" s="40"/>
      <c r="U162" s="40"/>
      <c r="V162" s="41"/>
    </row>
    <row r="163" spans="1:23" ht="16.5" thickBot="1">
      <c r="A163" s="51"/>
      <c r="B163" s="52" t="s">
        <v>59</v>
      </c>
      <c r="C163" s="53">
        <f t="shared" ref="C163:O163" si="95">C162/C$103</f>
        <v>0.54549264652370488</v>
      </c>
      <c r="D163" s="54">
        <f t="shared" si="95"/>
        <v>0.56596562928949445</v>
      </c>
      <c r="E163" s="53">
        <f t="shared" si="95"/>
        <v>0.68136966860554349</v>
      </c>
      <c r="F163" s="54">
        <f t="shared" si="95"/>
        <v>0.41186889305884072</v>
      </c>
      <c r="G163" s="53">
        <f t="shared" si="95"/>
        <v>0.17732829246447415</v>
      </c>
      <c r="H163" s="54">
        <f t="shared" si="95"/>
        <v>0.62549554774056293</v>
      </c>
      <c r="I163" s="53" t="e">
        <f t="shared" si="95"/>
        <v>#DIV/0!</v>
      </c>
      <c r="J163" s="54" t="e">
        <f t="shared" si="95"/>
        <v>#DIV/0!</v>
      </c>
      <c r="K163" s="53" t="e">
        <f t="shared" si="95"/>
        <v>#DIV/0!</v>
      </c>
      <c r="L163" s="54" t="e">
        <f t="shared" si="95"/>
        <v>#DIV/0!</v>
      </c>
      <c r="M163" s="53" t="e">
        <f t="shared" si="95"/>
        <v>#DIV/0!</v>
      </c>
      <c r="N163" s="54" t="e">
        <f t="shared" si="95"/>
        <v>#DIV/0!</v>
      </c>
      <c r="O163" s="55">
        <f t="shared" si="95"/>
        <v>0.47005180317323031</v>
      </c>
      <c r="Q163" s="33"/>
      <c r="R163" s="56"/>
      <c r="S163" s="56"/>
      <c r="T163" s="57"/>
      <c r="U163" s="57"/>
      <c r="V163" s="41"/>
    </row>
    <row r="164" spans="1:23">
      <c r="A164" s="181" t="s">
        <v>73</v>
      </c>
      <c r="B164" s="29" t="s">
        <v>55</v>
      </c>
      <c r="C164" s="30">
        <v>0</v>
      </c>
      <c r="D164" s="31">
        <v>0</v>
      </c>
      <c r="E164" s="30">
        <v>0</v>
      </c>
      <c r="F164" s="31">
        <v>0</v>
      </c>
      <c r="G164" s="30">
        <v>0</v>
      </c>
      <c r="H164" s="31">
        <v>0</v>
      </c>
      <c r="I164" s="30">
        <v>0</v>
      </c>
      <c r="J164" s="31">
        <v>0</v>
      </c>
      <c r="K164" s="30">
        <v>0</v>
      </c>
      <c r="L164" s="31">
        <v>0</v>
      </c>
      <c r="M164" s="30">
        <v>0</v>
      </c>
      <c r="N164" s="31">
        <v>0</v>
      </c>
      <c r="O164" s="32">
        <f>O165/O$103</f>
        <v>0</v>
      </c>
      <c r="Q164" s="33"/>
    </row>
    <row r="165" spans="1:23">
      <c r="A165" s="103" t="s">
        <v>64</v>
      </c>
      <c r="B165" s="35" t="s">
        <v>57</v>
      </c>
      <c r="C165" s="65">
        <f t="shared" ref="C165:N165" si="96">C$103*C164</f>
        <v>0</v>
      </c>
      <c r="D165" s="66">
        <f t="shared" si="96"/>
        <v>0</v>
      </c>
      <c r="E165" s="65">
        <f t="shared" si="96"/>
        <v>0</v>
      </c>
      <c r="F165" s="66">
        <f t="shared" si="96"/>
        <v>0</v>
      </c>
      <c r="G165" s="65">
        <f t="shared" si="96"/>
        <v>0</v>
      </c>
      <c r="H165" s="66">
        <f t="shared" si="96"/>
        <v>0</v>
      </c>
      <c r="I165" s="65">
        <f t="shared" si="96"/>
        <v>0</v>
      </c>
      <c r="J165" s="66">
        <f t="shared" si="96"/>
        <v>0</v>
      </c>
      <c r="K165" s="65">
        <f t="shared" si="96"/>
        <v>0</v>
      </c>
      <c r="L165" s="66">
        <f t="shared" si="96"/>
        <v>0</v>
      </c>
      <c r="M165" s="65">
        <f t="shared" si="96"/>
        <v>0</v>
      </c>
      <c r="N165" s="66">
        <f t="shared" si="96"/>
        <v>0</v>
      </c>
      <c r="O165" s="67">
        <f>SUM(C165:N165)</f>
        <v>0</v>
      </c>
      <c r="Q165" s="33"/>
      <c r="R165" s="57"/>
      <c r="S165" s="57"/>
      <c r="T165" s="57"/>
      <c r="U165" s="60"/>
      <c r="V165" s="41"/>
      <c r="W165" s="8"/>
    </row>
    <row r="166" spans="1:23" ht="15.75">
      <c r="A166" s="42"/>
      <c r="B166" s="35" t="s">
        <v>58</v>
      </c>
      <c r="C166" s="43">
        <f>C70</f>
        <v>0</v>
      </c>
      <c r="D166" s="44">
        <f t="shared" ref="D166:N166" si="97">C166</f>
        <v>0</v>
      </c>
      <c r="E166" s="43">
        <f t="shared" si="97"/>
        <v>0</v>
      </c>
      <c r="F166" s="44">
        <f t="shared" si="97"/>
        <v>0</v>
      </c>
      <c r="G166" s="43">
        <f t="shared" si="97"/>
        <v>0</v>
      </c>
      <c r="H166" s="44">
        <f t="shared" si="97"/>
        <v>0</v>
      </c>
      <c r="I166" s="43">
        <f t="shared" si="97"/>
        <v>0</v>
      </c>
      <c r="J166" s="44">
        <f t="shared" si="97"/>
        <v>0</v>
      </c>
      <c r="K166" s="43">
        <f t="shared" si="97"/>
        <v>0</v>
      </c>
      <c r="L166" s="44">
        <f t="shared" si="97"/>
        <v>0</v>
      </c>
      <c r="M166" s="43">
        <f t="shared" si="97"/>
        <v>0</v>
      </c>
      <c r="N166" s="44">
        <f t="shared" si="97"/>
        <v>0</v>
      </c>
      <c r="O166" s="45">
        <f>IF(O165=0,0,+O167/O165)</f>
        <v>0</v>
      </c>
      <c r="Q166" s="33"/>
      <c r="R166" s="46"/>
      <c r="S166" s="46"/>
      <c r="T166" s="46"/>
      <c r="U166" s="47"/>
      <c r="V166" s="41"/>
      <c r="W166" s="8"/>
    </row>
    <row r="167" spans="1:23">
      <c r="A167" s="42"/>
      <c r="B167" s="35" t="s">
        <v>15</v>
      </c>
      <c r="C167" s="48">
        <f t="shared" ref="C167:N167" si="98">C165*C166</f>
        <v>0</v>
      </c>
      <c r="D167" s="49">
        <f t="shared" si="98"/>
        <v>0</v>
      </c>
      <c r="E167" s="48">
        <f t="shared" si="98"/>
        <v>0</v>
      </c>
      <c r="F167" s="49">
        <f t="shared" si="98"/>
        <v>0</v>
      </c>
      <c r="G167" s="48">
        <f t="shared" si="98"/>
        <v>0</v>
      </c>
      <c r="H167" s="49">
        <f t="shared" si="98"/>
        <v>0</v>
      </c>
      <c r="I167" s="48">
        <f t="shared" si="98"/>
        <v>0</v>
      </c>
      <c r="J167" s="49">
        <f t="shared" si="98"/>
        <v>0</v>
      </c>
      <c r="K167" s="48">
        <f t="shared" si="98"/>
        <v>0</v>
      </c>
      <c r="L167" s="49">
        <f t="shared" si="98"/>
        <v>0</v>
      </c>
      <c r="M167" s="48">
        <f t="shared" si="98"/>
        <v>0</v>
      </c>
      <c r="N167" s="49">
        <f t="shared" si="98"/>
        <v>0</v>
      </c>
      <c r="O167" s="50">
        <f>SUM(C167:N167)</f>
        <v>0</v>
      </c>
      <c r="Q167" s="33"/>
      <c r="R167" s="40"/>
      <c r="S167" s="40"/>
      <c r="T167" s="40"/>
      <c r="U167" s="40"/>
      <c r="V167" s="41"/>
      <c r="W167" s="8"/>
    </row>
    <row r="168" spans="1:23" ht="16.5" thickBot="1">
      <c r="A168" s="51"/>
      <c r="B168" s="52" t="s">
        <v>59</v>
      </c>
      <c r="C168" s="53">
        <f t="shared" ref="C168:O168" si="99">C167/C$103</f>
        <v>0</v>
      </c>
      <c r="D168" s="54">
        <f t="shared" si="99"/>
        <v>0</v>
      </c>
      <c r="E168" s="53">
        <f t="shared" si="99"/>
        <v>0</v>
      </c>
      <c r="F168" s="54">
        <f t="shared" si="99"/>
        <v>0</v>
      </c>
      <c r="G168" s="53">
        <f t="shared" si="99"/>
        <v>0</v>
      </c>
      <c r="H168" s="54">
        <f t="shared" si="99"/>
        <v>0</v>
      </c>
      <c r="I168" s="53" t="e">
        <f t="shared" si="99"/>
        <v>#DIV/0!</v>
      </c>
      <c r="J168" s="54" t="e">
        <f t="shared" si="99"/>
        <v>#DIV/0!</v>
      </c>
      <c r="K168" s="53" t="e">
        <f t="shared" si="99"/>
        <v>#DIV/0!</v>
      </c>
      <c r="L168" s="54" t="e">
        <f t="shared" si="99"/>
        <v>#DIV/0!</v>
      </c>
      <c r="M168" s="53" t="e">
        <f t="shared" si="99"/>
        <v>#DIV/0!</v>
      </c>
      <c r="N168" s="54" t="e">
        <f t="shared" si="99"/>
        <v>#DIV/0!</v>
      </c>
      <c r="O168" s="55">
        <f t="shared" si="99"/>
        <v>0</v>
      </c>
      <c r="Q168" s="33"/>
      <c r="R168" s="56"/>
      <c r="S168" s="56"/>
      <c r="T168" s="56"/>
      <c r="U168" s="57"/>
      <c r="V168" s="41"/>
      <c r="W168" s="8"/>
    </row>
    <row r="169" spans="1:23">
      <c r="A169" s="28" t="s">
        <v>74</v>
      </c>
      <c r="B169" s="29" t="s">
        <v>55</v>
      </c>
      <c r="C169" s="30">
        <f>'[27]Lex WTPs 2007-2010'!G56</f>
        <v>15.711292824679242</v>
      </c>
      <c r="D169" s="31">
        <f>'[27]Lex WTPs 2007-2010'!L56</f>
        <v>25.130667647437022</v>
      </c>
      <c r="E169" s="30">
        <f>'[27]Lex WTPs 2007-2010'!Q56</f>
        <v>14.000847158202768</v>
      </c>
      <c r="F169" s="31">
        <f>'[27]Lex WTPs 2007-2010'!V56</f>
        <v>24.660992316044648</v>
      </c>
      <c r="G169" s="30">
        <f>'[27]Lex WTPs 2007-2010'!AA56</f>
        <v>33.435740537318487</v>
      </c>
      <c r="H169" s="31">
        <f>'[27]Lex WTPs 2007-2010'!AF56</f>
        <v>18.846370158160113</v>
      </c>
      <c r="I169" s="30">
        <f>'[27]Lex WTPs 2007-2010'!AK56</f>
        <v>14.59016335686133</v>
      </c>
      <c r="J169" s="31">
        <f>'[27]Lex WTPs 2007-2010'!AP56</f>
        <v>88.402706887198917</v>
      </c>
      <c r="K169" s="30">
        <f>'[27]Lex WTPs 2007-2010'!AU56</f>
        <v>77.495562769814683</v>
      </c>
      <c r="L169" s="31">
        <f>'[27]Lex WTPs 2007-2010'!AZ56</f>
        <v>110.29031138765606</v>
      </c>
      <c r="M169" s="30">
        <f>'[27]Lex WTPs 2007-2010'!BE56</f>
        <v>37.067144150861466</v>
      </c>
      <c r="N169" s="31">
        <f>'[27]Lex WTPs 2007-2010'!BJ56</f>
        <v>12.897794208830847</v>
      </c>
      <c r="O169" s="32">
        <f>O170/O$103</f>
        <v>22.878456865131099</v>
      </c>
      <c r="Q169" s="33"/>
    </row>
    <row r="170" spans="1:23">
      <c r="A170" s="103" t="s">
        <v>64</v>
      </c>
      <c r="B170" s="35" t="s">
        <v>57</v>
      </c>
      <c r="C170" s="36">
        <f t="shared" ref="C170:N170" si="100">C$103*C169</f>
        <v>8787.8602607991397</v>
      </c>
      <c r="D170" s="37">
        <f t="shared" si="100"/>
        <v>12228.356701234026</v>
      </c>
      <c r="E170" s="36">
        <f t="shared" si="100"/>
        <v>7226.803276802365</v>
      </c>
      <c r="F170" s="37">
        <f t="shared" si="100"/>
        <v>13797.060710065185</v>
      </c>
      <c r="G170" s="36">
        <f t="shared" si="100"/>
        <v>24903.976060151472</v>
      </c>
      <c r="H170" s="37">
        <f t="shared" si="100"/>
        <v>6381.9463266577586</v>
      </c>
      <c r="I170" s="36">
        <f t="shared" si="100"/>
        <v>0</v>
      </c>
      <c r="J170" s="37">
        <f t="shared" si="100"/>
        <v>0</v>
      </c>
      <c r="K170" s="36">
        <f t="shared" si="100"/>
        <v>0</v>
      </c>
      <c r="L170" s="37">
        <f t="shared" si="100"/>
        <v>0</v>
      </c>
      <c r="M170" s="36">
        <f t="shared" si="100"/>
        <v>0</v>
      </c>
      <c r="N170" s="37">
        <f t="shared" si="100"/>
        <v>0</v>
      </c>
      <c r="O170" s="38">
        <f>SUM(C170:N170)</f>
        <v>73326.003335709946</v>
      </c>
      <c r="Q170" s="33"/>
      <c r="R170" s="57"/>
      <c r="S170" s="57"/>
      <c r="T170" s="57"/>
      <c r="U170" s="60"/>
      <c r="V170" s="41"/>
      <c r="W170" s="8"/>
    </row>
    <row r="171" spans="1:23" ht="15.75">
      <c r="A171" s="42"/>
      <c r="B171" s="35" t="s">
        <v>58</v>
      </c>
      <c r="C171" s="43">
        <f>'[14]Price Changes'!D34</f>
        <v>0.15840000000000001</v>
      </c>
      <c r="D171" s="44">
        <f t="shared" ref="D171:N171" si="101">C171</f>
        <v>0.15840000000000001</v>
      </c>
      <c r="E171" s="43">
        <f t="shared" si="101"/>
        <v>0.15840000000000001</v>
      </c>
      <c r="F171" s="44">
        <f t="shared" si="101"/>
        <v>0.15840000000000001</v>
      </c>
      <c r="G171" s="43">
        <f t="shared" si="101"/>
        <v>0.15840000000000001</v>
      </c>
      <c r="H171" s="44">
        <f t="shared" si="101"/>
        <v>0.15840000000000001</v>
      </c>
      <c r="I171" s="43">
        <f t="shared" si="101"/>
        <v>0.15840000000000001</v>
      </c>
      <c r="J171" s="44">
        <f t="shared" si="101"/>
        <v>0.15840000000000001</v>
      </c>
      <c r="K171" s="43">
        <f t="shared" si="101"/>
        <v>0.15840000000000001</v>
      </c>
      <c r="L171" s="44">
        <f t="shared" si="101"/>
        <v>0.15840000000000001</v>
      </c>
      <c r="M171" s="43">
        <f t="shared" si="101"/>
        <v>0.15840000000000001</v>
      </c>
      <c r="N171" s="44">
        <f t="shared" si="101"/>
        <v>0.15840000000000001</v>
      </c>
      <c r="O171" s="45">
        <f>IF(O170=0,0,+O172/O170)</f>
        <v>0.15840000000000001</v>
      </c>
      <c r="Q171" s="33"/>
      <c r="R171" s="46"/>
      <c r="S171" s="46"/>
      <c r="T171" s="46"/>
      <c r="U171" s="47"/>
      <c r="V171" s="41"/>
      <c r="W171" s="8"/>
    </row>
    <row r="172" spans="1:23">
      <c r="A172" s="42"/>
      <c r="B172" s="35" t="s">
        <v>15</v>
      </c>
      <c r="C172" s="48">
        <f t="shared" ref="C172:N172" si="102">C170*C171</f>
        <v>1391.9970653105838</v>
      </c>
      <c r="D172" s="49">
        <f t="shared" si="102"/>
        <v>1936.9717014754699</v>
      </c>
      <c r="E172" s="48">
        <f t="shared" si="102"/>
        <v>1144.7256390454947</v>
      </c>
      <c r="F172" s="49">
        <f t="shared" si="102"/>
        <v>2185.4544164743256</v>
      </c>
      <c r="G172" s="48">
        <f t="shared" si="102"/>
        <v>3944.7898079279935</v>
      </c>
      <c r="H172" s="49">
        <f t="shared" si="102"/>
        <v>1010.900298142589</v>
      </c>
      <c r="I172" s="48">
        <f t="shared" si="102"/>
        <v>0</v>
      </c>
      <c r="J172" s="49">
        <f t="shared" si="102"/>
        <v>0</v>
      </c>
      <c r="K172" s="48">
        <f t="shared" si="102"/>
        <v>0</v>
      </c>
      <c r="L172" s="49">
        <f t="shared" si="102"/>
        <v>0</v>
      </c>
      <c r="M172" s="48">
        <f t="shared" si="102"/>
        <v>0</v>
      </c>
      <c r="N172" s="49">
        <f t="shared" si="102"/>
        <v>0</v>
      </c>
      <c r="O172" s="50">
        <f>SUM(C172:N172)</f>
        <v>11614.838928376457</v>
      </c>
      <c r="Q172" s="33"/>
      <c r="R172" s="40"/>
      <c r="S172" s="40"/>
      <c r="T172" s="40"/>
      <c r="U172" s="40"/>
      <c r="V172" s="41"/>
      <c r="W172" s="8"/>
    </row>
    <row r="173" spans="1:23" ht="16.5" thickBot="1">
      <c r="A173" s="51"/>
      <c r="B173" s="52" t="s">
        <v>59</v>
      </c>
      <c r="C173" s="53">
        <f t="shared" ref="C173:O173" si="103">C172/C$103</f>
        <v>2.4886687834291918</v>
      </c>
      <c r="D173" s="54">
        <f t="shared" si="103"/>
        <v>3.9806977553540244</v>
      </c>
      <c r="E173" s="53">
        <f t="shared" si="103"/>
        <v>2.217734189859319</v>
      </c>
      <c r="F173" s="54">
        <f t="shared" si="103"/>
        <v>3.9063011828614731</v>
      </c>
      <c r="G173" s="53">
        <f t="shared" si="103"/>
        <v>5.2962213011112489</v>
      </c>
      <c r="H173" s="54">
        <f t="shared" si="103"/>
        <v>2.9852650330525621</v>
      </c>
      <c r="I173" s="53" t="e">
        <f t="shared" si="103"/>
        <v>#DIV/0!</v>
      </c>
      <c r="J173" s="54" t="e">
        <f t="shared" si="103"/>
        <v>#DIV/0!</v>
      </c>
      <c r="K173" s="53" t="e">
        <f t="shared" si="103"/>
        <v>#DIV/0!</v>
      </c>
      <c r="L173" s="54" t="e">
        <f t="shared" si="103"/>
        <v>#DIV/0!</v>
      </c>
      <c r="M173" s="53" t="e">
        <f t="shared" si="103"/>
        <v>#DIV/0!</v>
      </c>
      <c r="N173" s="54" t="e">
        <f t="shared" si="103"/>
        <v>#DIV/0!</v>
      </c>
      <c r="O173" s="55">
        <f t="shared" si="103"/>
        <v>3.6239475674367667</v>
      </c>
      <c r="Q173" s="33"/>
      <c r="R173" s="56"/>
      <c r="S173" s="56"/>
      <c r="T173" s="56"/>
      <c r="U173" s="57"/>
      <c r="V173" s="41"/>
      <c r="W173" s="8"/>
    </row>
    <row r="174" spans="1:23">
      <c r="A174" s="181" t="s">
        <v>75</v>
      </c>
      <c r="B174" s="29" t="s">
        <v>55</v>
      </c>
      <c r="C174" s="30">
        <v>0</v>
      </c>
      <c r="D174" s="31">
        <v>0</v>
      </c>
      <c r="E174" s="30">
        <v>0</v>
      </c>
      <c r="F174" s="31">
        <v>0</v>
      </c>
      <c r="G174" s="30">
        <v>0</v>
      </c>
      <c r="H174" s="31">
        <v>0</v>
      </c>
      <c r="I174" s="30">
        <v>0</v>
      </c>
      <c r="J174" s="31">
        <v>2</v>
      </c>
      <c r="K174" s="30">
        <v>4</v>
      </c>
      <c r="L174" s="31">
        <v>3</v>
      </c>
      <c r="M174" s="30">
        <v>0.5</v>
      </c>
      <c r="N174" s="31">
        <v>0</v>
      </c>
      <c r="O174" s="32">
        <f>O175/O$103</f>
        <v>0</v>
      </c>
      <c r="P174" s="9"/>
      <c r="Q174" s="9"/>
      <c r="R174" s="9"/>
      <c r="S174" s="9"/>
      <c r="T174" s="9"/>
      <c r="U174" s="9"/>
      <c r="V174" s="70"/>
    </row>
    <row r="175" spans="1:23">
      <c r="A175" s="34" t="s">
        <v>71</v>
      </c>
      <c r="B175" s="35" t="s">
        <v>57</v>
      </c>
      <c r="C175" s="65">
        <f t="shared" ref="C175:N175" si="104">C$103*C174</f>
        <v>0</v>
      </c>
      <c r="D175" s="66">
        <f t="shared" si="104"/>
        <v>0</v>
      </c>
      <c r="E175" s="65">
        <f t="shared" si="104"/>
        <v>0</v>
      </c>
      <c r="F175" s="66">
        <f t="shared" si="104"/>
        <v>0</v>
      </c>
      <c r="G175" s="65">
        <f t="shared" si="104"/>
        <v>0</v>
      </c>
      <c r="H175" s="66">
        <f t="shared" si="104"/>
        <v>0</v>
      </c>
      <c r="I175" s="65">
        <f t="shared" si="104"/>
        <v>0</v>
      </c>
      <c r="J175" s="66">
        <f t="shared" si="104"/>
        <v>0</v>
      </c>
      <c r="K175" s="65">
        <f t="shared" si="104"/>
        <v>0</v>
      </c>
      <c r="L175" s="66">
        <f t="shared" si="104"/>
        <v>0</v>
      </c>
      <c r="M175" s="65">
        <f t="shared" si="104"/>
        <v>0</v>
      </c>
      <c r="N175" s="66">
        <f t="shared" si="104"/>
        <v>0</v>
      </c>
      <c r="O175" s="67">
        <f>SUM(C175:N175)</f>
        <v>0</v>
      </c>
      <c r="R175" s="15"/>
      <c r="S175" s="15"/>
      <c r="T175" s="15"/>
      <c r="U175" s="15"/>
      <c r="V175" s="71"/>
    </row>
    <row r="176" spans="1:23" ht="15.75">
      <c r="A176" s="182" t="s">
        <v>64</v>
      </c>
      <c r="B176" s="35" t="s">
        <v>58</v>
      </c>
      <c r="C176" s="43">
        <f>'[14]Price Changes'!D35</f>
        <v>0</v>
      </c>
      <c r="D176" s="44">
        <f t="shared" ref="D176:N176" si="105">C176</f>
        <v>0</v>
      </c>
      <c r="E176" s="43">
        <f t="shared" si="105"/>
        <v>0</v>
      </c>
      <c r="F176" s="44">
        <f t="shared" si="105"/>
        <v>0</v>
      </c>
      <c r="G176" s="43">
        <f t="shared" si="105"/>
        <v>0</v>
      </c>
      <c r="H176" s="44">
        <f t="shared" si="105"/>
        <v>0</v>
      </c>
      <c r="I176" s="43">
        <f t="shared" si="105"/>
        <v>0</v>
      </c>
      <c r="J176" s="44">
        <f t="shared" si="105"/>
        <v>0</v>
      </c>
      <c r="K176" s="43">
        <f t="shared" si="105"/>
        <v>0</v>
      </c>
      <c r="L176" s="44">
        <f t="shared" si="105"/>
        <v>0</v>
      </c>
      <c r="M176" s="43">
        <f t="shared" si="105"/>
        <v>0</v>
      </c>
      <c r="N176" s="44">
        <f t="shared" si="105"/>
        <v>0</v>
      </c>
      <c r="O176" s="45">
        <f>IF(O175=0,0,+O177/O175)</f>
        <v>0</v>
      </c>
      <c r="R176" s="72"/>
      <c r="S176" s="15"/>
      <c r="T176" s="72"/>
      <c r="U176" s="15"/>
      <c r="V176" s="15"/>
    </row>
    <row r="177" spans="1:22">
      <c r="A177" s="42"/>
      <c r="B177" s="35" t="s">
        <v>15</v>
      </c>
      <c r="C177" s="48">
        <f t="shared" ref="C177:N177" si="106">C175*C176</f>
        <v>0</v>
      </c>
      <c r="D177" s="49">
        <f t="shared" si="106"/>
        <v>0</v>
      </c>
      <c r="E177" s="48">
        <f t="shared" si="106"/>
        <v>0</v>
      </c>
      <c r="F177" s="49">
        <f t="shared" si="106"/>
        <v>0</v>
      </c>
      <c r="G177" s="48">
        <f t="shared" si="106"/>
        <v>0</v>
      </c>
      <c r="H177" s="49">
        <f t="shared" si="106"/>
        <v>0</v>
      </c>
      <c r="I177" s="48">
        <f t="shared" si="106"/>
        <v>0</v>
      </c>
      <c r="J177" s="49">
        <f t="shared" si="106"/>
        <v>0</v>
      </c>
      <c r="K177" s="48">
        <f t="shared" si="106"/>
        <v>0</v>
      </c>
      <c r="L177" s="49">
        <f t="shared" si="106"/>
        <v>0</v>
      </c>
      <c r="M177" s="48">
        <f t="shared" si="106"/>
        <v>0</v>
      </c>
      <c r="N177" s="49">
        <f t="shared" si="106"/>
        <v>0</v>
      </c>
      <c r="O177" s="50">
        <f>SUM(C177:N177)</f>
        <v>0</v>
      </c>
      <c r="R177" s="15"/>
      <c r="S177" s="15"/>
      <c r="T177" s="15"/>
      <c r="U177" s="15"/>
      <c r="V177" s="15"/>
    </row>
    <row r="178" spans="1:22" ht="13.5" thickBot="1">
      <c r="A178" s="51"/>
      <c r="B178" s="52" t="s">
        <v>59</v>
      </c>
      <c r="C178" s="53">
        <f t="shared" ref="C178:O178" si="107">C177/C$103</f>
        <v>0</v>
      </c>
      <c r="D178" s="54">
        <f t="shared" si="107"/>
        <v>0</v>
      </c>
      <c r="E178" s="53">
        <f t="shared" si="107"/>
        <v>0</v>
      </c>
      <c r="F178" s="54">
        <f t="shared" si="107"/>
        <v>0</v>
      </c>
      <c r="G178" s="53">
        <f t="shared" si="107"/>
        <v>0</v>
      </c>
      <c r="H178" s="54">
        <f t="shared" si="107"/>
        <v>0</v>
      </c>
      <c r="I178" s="53" t="e">
        <f t="shared" si="107"/>
        <v>#DIV/0!</v>
      </c>
      <c r="J178" s="54" t="e">
        <f t="shared" si="107"/>
        <v>#DIV/0!</v>
      </c>
      <c r="K178" s="53" t="e">
        <f t="shared" si="107"/>
        <v>#DIV/0!</v>
      </c>
      <c r="L178" s="54" t="e">
        <f t="shared" si="107"/>
        <v>#DIV/0!</v>
      </c>
      <c r="M178" s="53" t="e">
        <f t="shared" si="107"/>
        <v>#DIV/0!</v>
      </c>
      <c r="N178" s="54" t="e">
        <f t="shared" si="107"/>
        <v>#DIV/0!</v>
      </c>
      <c r="O178" s="55">
        <f t="shared" si="107"/>
        <v>0</v>
      </c>
      <c r="S178" s="8"/>
      <c r="V178" s="41"/>
    </row>
    <row r="179" spans="1:22">
      <c r="A179" s="181" t="s">
        <v>76</v>
      </c>
      <c r="B179" s="29" t="s">
        <v>55</v>
      </c>
      <c r="C179" s="30">
        <v>0</v>
      </c>
      <c r="D179" s="31">
        <v>0</v>
      </c>
      <c r="E179" s="30">
        <v>0</v>
      </c>
      <c r="F179" s="31">
        <v>0</v>
      </c>
      <c r="G179" s="30">
        <v>0</v>
      </c>
      <c r="H179" s="31">
        <v>0</v>
      </c>
      <c r="I179" s="30">
        <v>0</v>
      </c>
      <c r="J179" s="31">
        <v>0</v>
      </c>
      <c r="K179" s="30">
        <v>0</v>
      </c>
      <c r="L179" s="31">
        <v>0</v>
      </c>
      <c r="M179" s="30">
        <v>0</v>
      </c>
      <c r="N179" s="31">
        <v>0</v>
      </c>
      <c r="O179" s="32">
        <f>O180/O$103</f>
        <v>0</v>
      </c>
    </row>
    <row r="180" spans="1:22">
      <c r="A180" s="34" t="s">
        <v>64</v>
      </c>
      <c r="B180" s="35" t="s">
        <v>57</v>
      </c>
      <c r="C180" s="65">
        <f t="shared" ref="C180:N180" si="108">C$103*C179</f>
        <v>0</v>
      </c>
      <c r="D180" s="66">
        <f t="shared" si="108"/>
        <v>0</v>
      </c>
      <c r="E180" s="65">
        <f t="shared" si="108"/>
        <v>0</v>
      </c>
      <c r="F180" s="66">
        <f t="shared" si="108"/>
        <v>0</v>
      </c>
      <c r="G180" s="65">
        <f t="shared" si="108"/>
        <v>0</v>
      </c>
      <c r="H180" s="66">
        <f t="shared" si="108"/>
        <v>0</v>
      </c>
      <c r="I180" s="65">
        <f t="shared" si="108"/>
        <v>0</v>
      </c>
      <c r="J180" s="66">
        <f t="shared" si="108"/>
        <v>0</v>
      </c>
      <c r="K180" s="65">
        <f t="shared" si="108"/>
        <v>0</v>
      </c>
      <c r="L180" s="66">
        <f t="shared" si="108"/>
        <v>0</v>
      </c>
      <c r="M180" s="65">
        <f t="shared" si="108"/>
        <v>0</v>
      </c>
      <c r="N180" s="66">
        <f t="shared" si="108"/>
        <v>0</v>
      </c>
      <c r="O180" s="67">
        <f>SUM(C180:N180)</f>
        <v>0</v>
      </c>
    </row>
    <row r="181" spans="1:22">
      <c r="A181" s="34"/>
      <c r="B181" s="35" t="s">
        <v>58</v>
      </c>
      <c r="C181" s="43">
        <f>'[14]Price Changes'!D36</f>
        <v>0</v>
      </c>
      <c r="D181" s="44">
        <f t="shared" ref="D181:N181" si="109">C181</f>
        <v>0</v>
      </c>
      <c r="E181" s="43">
        <f t="shared" si="109"/>
        <v>0</v>
      </c>
      <c r="F181" s="44">
        <f t="shared" si="109"/>
        <v>0</v>
      </c>
      <c r="G181" s="43">
        <f t="shared" si="109"/>
        <v>0</v>
      </c>
      <c r="H181" s="44">
        <f t="shared" si="109"/>
        <v>0</v>
      </c>
      <c r="I181" s="43">
        <f t="shared" si="109"/>
        <v>0</v>
      </c>
      <c r="J181" s="44">
        <f t="shared" si="109"/>
        <v>0</v>
      </c>
      <c r="K181" s="43">
        <f t="shared" si="109"/>
        <v>0</v>
      </c>
      <c r="L181" s="44">
        <f t="shared" si="109"/>
        <v>0</v>
      </c>
      <c r="M181" s="43">
        <f t="shared" si="109"/>
        <v>0</v>
      </c>
      <c r="N181" s="44">
        <f t="shared" si="109"/>
        <v>0</v>
      </c>
      <c r="O181" s="45">
        <f>IF(O180=0,0,+O182/O180)</f>
        <v>0</v>
      </c>
    </row>
    <row r="182" spans="1:22">
      <c r="A182" s="42"/>
      <c r="B182" s="35" t="s">
        <v>15</v>
      </c>
      <c r="C182" s="48">
        <f t="shared" ref="C182:N182" si="110">C180*C181</f>
        <v>0</v>
      </c>
      <c r="D182" s="49">
        <f t="shared" si="110"/>
        <v>0</v>
      </c>
      <c r="E182" s="48">
        <f t="shared" si="110"/>
        <v>0</v>
      </c>
      <c r="F182" s="49">
        <f t="shared" si="110"/>
        <v>0</v>
      </c>
      <c r="G182" s="48">
        <f t="shared" si="110"/>
        <v>0</v>
      </c>
      <c r="H182" s="49">
        <f t="shared" si="110"/>
        <v>0</v>
      </c>
      <c r="I182" s="48">
        <f t="shared" si="110"/>
        <v>0</v>
      </c>
      <c r="J182" s="49">
        <f t="shared" si="110"/>
        <v>0</v>
      </c>
      <c r="K182" s="48">
        <f t="shared" si="110"/>
        <v>0</v>
      </c>
      <c r="L182" s="49">
        <f t="shared" si="110"/>
        <v>0</v>
      </c>
      <c r="M182" s="48">
        <f t="shared" si="110"/>
        <v>0</v>
      </c>
      <c r="N182" s="49">
        <f t="shared" si="110"/>
        <v>0</v>
      </c>
      <c r="O182" s="50">
        <f>SUM(C182:N182)</f>
        <v>0</v>
      </c>
    </row>
    <row r="183" spans="1:22" ht="13.5" thickBot="1">
      <c r="A183" s="51"/>
      <c r="B183" s="52" t="s">
        <v>59</v>
      </c>
      <c r="C183" s="53">
        <f t="shared" ref="C183:O183" si="111">C182/C$103</f>
        <v>0</v>
      </c>
      <c r="D183" s="54">
        <f t="shared" si="111"/>
        <v>0</v>
      </c>
      <c r="E183" s="53">
        <f t="shared" si="111"/>
        <v>0</v>
      </c>
      <c r="F183" s="54">
        <f t="shared" si="111"/>
        <v>0</v>
      </c>
      <c r="G183" s="53">
        <f t="shared" si="111"/>
        <v>0</v>
      </c>
      <c r="H183" s="54">
        <f t="shared" si="111"/>
        <v>0</v>
      </c>
      <c r="I183" s="53" t="e">
        <f t="shared" si="111"/>
        <v>#DIV/0!</v>
      </c>
      <c r="J183" s="54" t="e">
        <f t="shared" si="111"/>
        <v>#DIV/0!</v>
      </c>
      <c r="K183" s="53" t="e">
        <f t="shared" si="111"/>
        <v>#DIV/0!</v>
      </c>
      <c r="L183" s="54" t="e">
        <f t="shared" si="111"/>
        <v>#DIV/0!</v>
      </c>
      <c r="M183" s="53" t="e">
        <f t="shared" si="111"/>
        <v>#DIV/0!</v>
      </c>
      <c r="N183" s="54" t="e">
        <f t="shared" si="111"/>
        <v>#DIV/0!</v>
      </c>
      <c r="O183" s="55">
        <f t="shared" si="111"/>
        <v>0</v>
      </c>
    </row>
    <row r="184" spans="1:22" ht="13.5" thickBot="1">
      <c r="A184" s="10" t="s">
        <v>1</v>
      </c>
      <c r="B184" s="73" t="s">
        <v>1</v>
      </c>
      <c r="C184" s="74" t="s">
        <v>1</v>
      </c>
      <c r="D184" s="75" t="s">
        <v>1</v>
      </c>
      <c r="E184" s="74" t="s">
        <v>1</v>
      </c>
      <c r="F184" s="75" t="s">
        <v>1</v>
      </c>
      <c r="G184" s="74" t="s">
        <v>1</v>
      </c>
      <c r="H184" s="75" t="s">
        <v>1</v>
      </c>
      <c r="I184" s="74" t="s">
        <v>1</v>
      </c>
      <c r="J184" s="75" t="s">
        <v>1</v>
      </c>
      <c r="K184" s="74" t="s">
        <v>1</v>
      </c>
      <c r="L184" s="75" t="s">
        <v>1</v>
      </c>
      <c r="M184" s="74" t="s">
        <v>1</v>
      </c>
      <c r="N184" s="75" t="s">
        <v>1</v>
      </c>
      <c r="O184" s="6" t="s">
        <v>1</v>
      </c>
      <c r="P184" s="9"/>
      <c r="Q184" s="9"/>
      <c r="R184" s="76"/>
      <c r="S184" s="9"/>
      <c r="T184" s="9"/>
      <c r="U184" s="9"/>
      <c r="V184" s="70"/>
    </row>
    <row r="185" spans="1:22" ht="16.5" thickBot="1">
      <c r="A185" s="104" t="s">
        <v>507</v>
      </c>
      <c r="B185" s="105"/>
      <c r="C185" s="106">
        <v>0</v>
      </c>
      <c r="D185" s="107">
        <v>0</v>
      </c>
      <c r="E185" s="106">
        <v>0</v>
      </c>
      <c r="F185" s="107">
        <v>0</v>
      </c>
      <c r="G185" s="106">
        <v>0</v>
      </c>
      <c r="H185" s="107">
        <v>0</v>
      </c>
      <c r="I185" s="106">
        <v>0</v>
      </c>
      <c r="J185" s="107">
        <v>0</v>
      </c>
      <c r="K185" s="106">
        <v>0</v>
      </c>
      <c r="L185" s="107">
        <v>0</v>
      </c>
      <c r="M185" s="106">
        <v>0</v>
      </c>
      <c r="N185" s="107">
        <v>0</v>
      </c>
      <c r="O185" s="108">
        <f>SUM(C185:N185)</f>
        <v>0</v>
      </c>
      <c r="P185" s="9"/>
      <c r="Q185" s="9"/>
      <c r="R185" s="76"/>
      <c r="S185" s="9"/>
      <c r="T185" s="9"/>
      <c r="U185" s="9"/>
      <c r="V185" s="70"/>
    </row>
    <row r="186" spans="1:22">
      <c r="A186" s="77" t="s">
        <v>82</v>
      </c>
      <c r="B186" s="29" t="s">
        <v>55</v>
      </c>
      <c r="C186" s="78">
        <f t="shared" ref="C186:N186" si="112">C187/C103</f>
        <v>494.89399867437817</v>
      </c>
      <c r="D186" s="79">
        <f t="shared" si="112"/>
        <v>501.65521706667619</v>
      </c>
      <c r="E186" s="78">
        <f t="shared" si="112"/>
        <v>397.96224845947933</v>
      </c>
      <c r="F186" s="79">
        <f t="shared" si="112"/>
        <v>416.71430590124402</v>
      </c>
      <c r="G186" s="78">
        <f t="shared" si="112"/>
        <v>485.11132526996272</v>
      </c>
      <c r="H186" s="79">
        <f t="shared" si="112"/>
        <v>521.22126240301236</v>
      </c>
      <c r="I186" s="78" t="e">
        <f t="shared" si="112"/>
        <v>#DIV/0!</v>
      </c>
      <c r="J186" s="79" t="e">
        <f t="shared" si="112"/>
        <v>#DIV/0!</v>
      </c>
      <c r="K186" s="78" t="e">
        <f t="shared" si="112"/>
        <v>#DIV/0!</v>
      </c>
      <c r="L186" s="79" t="e">
        <f t="shared" si="112"/>
        <v>#DIV/0!</v>
      </c>
      <c r="M186" s="78" t="e">
        <f t="shared" si="112"/>
        <v>#DIV/0!</v>
      </c>
      <c r="N186" s="79" t="e">
        <f t="shared" si="112"/>
        <v>#DIV/0!</v>
      </c>
      <c r="O186" s="32">
        <f>O187/O$103</f>
        <v>467.17078406129042</v>
      </c>
      <c r="Q186" s="33"/>
      <c r="R186" s="57"/>
      <c r="S186" s="57"/>
      <c r="T186" s="57"/>
      <c r="U186" s="57"/>
      <c r="V186" s="41"/>
    </row>
    <row r="187" spans="1:22" ht="15.75">
      <c r="A187" s="34"/>
      <c r="B187" s="35" t="s">
        <v>57</v>
      </c>
      <c r="C187" s="36">
        <f t="shared" ref="C187:N187" si="113">C105+C110+C115+C130+C135+C140+C145+C150+C155+C160+C170+C180+C165+C125+C120+C175</f>
        <v>276811.03985453467</v>
      </c>
      <c r="D187" s="37">
        <f t="shared" si="113"/>
        <v>244100.91372769102</v>
      </c>
      <c r="E187" s="36">
        <f t="shared" si="113"/>
        <v>205415.77582508099</v>
      </c>
      <c r="F187" s="37">
        <f t="shared" si="113"/>
        <v>233138.73600826311</v>
      </c>
      <c r="G187" s="36">
        <f t="shared" si="113"/>
        <v>361325.95351215167</v>
      </c>
      <c r="H187" s="37">
        <f t="shared" si="113"/>
        <v>176501.15608753206</v>
      </c>
      <c r="I187" s="36">
        <f t="shared" si="113"/>
        <v>0</v>
      </c>
      <c r="J187" s="37">
        <f t="shared" si="113"/>
        <v>0</v>
      </c>
      <c r="K187" s="36">
        <f t="shared" si="113"/>
        <v>0</v>
      </c>
      <c r="L187" s="37">
        <f t="shared" si="113"/>
        <v>0</v>
      </c>
      <c r="M187" s="36">
        <f t="shared" si="113"/>
        <v>0</v>
      </c>
      <c r="N187" s="37">
        <f t="shared" si="113"/>
        <v>0</v>
      </c>
      <c r="O187" s="38">
        <f>SUM(C187:N187)</f>
        <v>1497293.5750152534</v>
      </c>
      <c r="Q187" s="33"/>
      <c r="R187" s="46"/>
      <c r="S187" s="56"/>
      <c r="T187" s="47"/>
      <c r="U187" s="47"/>
      <c r="V187" s="41"/>
    </row>
    <row r="188" spans="1:22">
      <c r="A188" s="42"/>
      <c r="B188" s="35" t="s">
        <v>58</v>
      </c>
      <c r="C188" s="81">
        <f t="shared" ref="C188:N188" si="114">C189/C187</f>
        <v>0.20070615031820632</v>
      </c>
      <c r="D188" s="82">
        <f t="shared" si="114"/>
        <v>0.19540671595784234</v>
      </c>
      <c r="E188" s="81">
        <f t="shared" si="114"/>
        <v>0.20999246011278219</v>
      </c>
      <c r="F188" s="82">
        <f t="shared" si="114"/>
        <v>0.20282099961019542</v>
      </c>
      <c r="G188" s="81">
        <f t="shared" si="114"/>
        <v>0.19838767963260598</v>
      </c>
      <c r="H188" s="82">
        <f t="shared" si="114"/>
        <v>0.19432900098040745</v>
      </c>
      <c r="I188" s="81" t="e">
        <f t="shared" si="114"/>
        <v>#DIV/0!</v>
      </c>
      <c r="J188" s="82" t="e">
        <f t="shared" si="114"/>
        <v>#DIV/0!</v>
      </c>
      <c r="K188" s="81" t="e">
        <f t="shared" si="114"/>
        <v>#DIV/0!</v>
      </c>
      <c r="L188" s="82" t="e">
        <f t="shared" si="114"/>
        <v>#DIV/0!</v>
      </c>
      <c r="M188" s="81" t="e">
        <f t="shared" si="114"/>
        <v>#DIV/0!</v>
      </c>
      <c r="N188" s="82" t="e">
        <f t="shared" si="114"/>
        <v>#DIV/0!</v>
      </c>
      <c r="O188" s="45">
        <f>IF(O187=0,0,+O189/O187)</f>
        <v>0.20013426059401662</v>
      </c>
      <c r="Q188" s="33"/>
      <c r="R188" s="40"/>
      <c r="S188" s="40"/>
      <c r="T188" s="40"/>
      <c r="U188" s="40"/>
      <c r="V188" s="41"/>
    </row>
    <row r="189" spans="1:22" ht="15.75">
      <c r="A189" s="83" t="s">
        <v>465</v>
      </c>
      <c r="B189" s="35" t="s">
        <v>15</v>
      </c>
      <c r="C189" s="48">
        <f t="shared" ref="C189:N189" si="115">C107+C112+C122+C117+C132+C137+C142+C147+C152+C157+C162+C172+C182+C167+C127+C177</f>
        <v>55557.678174783236</v>
      </c>
      <c r="D189" s="49">
        <f t="shared" si="115"/>
        <v>47698.957913836697</v>
      </c>
      <c r="E189" s="48">
        <f t="shared" si="115"/>
        <v>43135.764111484525</v>
      </c>
      <c r="F189" s="49">
        <f t="shared" si="115"/>
        <v>47285.431485053385</v>
      </c>
      <c r="G189" s="48">
        <f t="shared" si="115"/>
        <v>71682.617508314623</v>
      </c>
      <c r="H189" s="49">
        <f t="shared" si="115"/>
        <v>34299.293334377064</v>
      </c>
      <c r="I189" s="48">
        <f t="shared" si="115"/>
        <v>0</v>
      </c>
      <c r="J189" s="49">
        <f t="shared" si="115"/>
        <v>0</v>
      </c>
      <c r="K189" s="48">
        <f t="shared" si="115"/>
        <v>0</v>
      </c>
      <c r="L189" s="49">
        <f t="shared" si="115"/>
        <v>0</v>
      </c>
      <c r="M189" s="48">
        <f t="shared" si="115"/>
        <v>0</v>
      </c>
      <c r="N189" s="49">
        <f t="shared" si="115"/>
        <v>0</v>
      </c>
      <c r="O189" s="50">
        <f>SUM(C189:N189)</f>
        <v>299659.74252784951</v>
      </c>
      <c r="Q189" s="33"/>
      <c r="R189" s="56"/>
      <c r="S189" s="80"/>
      <c r="T189" s="57"/>
      <c r="U189" s="57"/>
      <c r="V189" s="41"/>
    </row>
    <row r="190" spans="1:22" ht="13.5" thickBot="1">
      <c r="A190" s="51"/>
      <c r="B190" s="52" t="s">
        <v>59</v>
      </c>
      <c r="C190" s="53">
        <f t="shared" ref="C190:N190" si="116">C189/C103</f>
        <v>99.328269289517948</v>
      </c>
      <c r="D190" s="54">
        <f t="shared" si="116"/>
        <v>98.026798510117743</v>
      </c>
      <c r="E190" s="53">
        <f t="shared" si="116"/>
        <v>83.569071586020328</v>
      </c>
      <c r="F190" s="54">
        <f t="shared" si="116"/>
        <v>84.51841207475907</v>
      </c>
      <c r="G190" s="53">
        <f t="shared" si="116"/>
        <v>96.24011018380628</v>
      </c>
      <c r="H190" s="54">
        <f t="shared" si="116"/>
        <v>101.28840721252418</v>
      </c>
      <c r="I190" s="53" t="e">
        <f t="shared" si="116"/>
        <v>#DIV/0!</v>
      </c>
      <c r="J190" s="54" t="e">
        <f t="shared" si="116"/>
        <v>#DIV/0!</v>
      </c>
      <c r="K190" s="53" t="e">
        <f t="shared" si="116"/>
        <v>#DIV/0!</v>
      </c>
      <c r="L190" s="54" t="e">
        <f t="shared" si="116"/>
        <v>#DIV/0!</v>
      </c>
      <c r="M190" s="53" t="e">
        <f t="shared" si="116"/>
        <v>#DIV/0!</v>
      </c>
      <c r="N190" s="54" t="e">
        <f t="shared" si="116"/>
        <v>#DIV/0!</v>
      </c>
      <c r="O190" s="55">
        <f>O189/O$103</f>
        <v>93.496879439233368</v>
      </c>
      <c r="P190" s="9"/>
      <c r="Q190" s="9"/>
      <c r="R190" s="76"/>
      <c r="S190" s="9"/>
      <c r="T190" s="9"/>
      <c r="U190" s="9"/>
      <c r="V190" s="70"/>
    </row>
    <row r="191" spans="1:22" ht="13.5" thickBot="1">
      <c r="A191" s="10" t="s">
        <v>1</v>
      </c>
      <c r="B191" s="73" t="s">
        <v>1</v>
      </c>
      <c r="C191" s="74" t="s">
        <v>1</v>
      </c>
      <c r="D191" s="75" t="s">
        <v>1</v>
      </c>
      <c r="E191" s="74" t="s">
        <v>1</v>
      </c>
      <c r="F191" s="75" t="s">
        <v>1</v>
      </c>
      <c r="G191" s="74" t="s">
        <v>1</v>
      </c>
      <c r="H191" s="75" t="s">
        <v>1</v>
      </c>
      <c r="I191" s="74" t="s">
        <v>1</v>
      </c>
      <c r="J191" s="75" t="s">
        <v>1</v>
      </c>
      <c r="K191" s="74" t="s">
        <v>1</v>
      </c>
      <c r="L191" s="75" t="s">
        <v>1</v>
      </c>
      <c r="M191" s="74" t="s">
        <v>1</v>
      </c>
      <c r="N191" s="75" t="s">
        <v>1</v>
      </c>
      <c r="O191" s="6" t="s">
        <v>1</v>
      </c>
      <c r="Q191" s="33"/>
      <c r="R191" s="57"/>
      <c r="S191" s="39"/>
      <c r="T191" s="39"/>
      <c r="U191" s="39"/>
      <c r="V191" s="41"/>
    </row>
    <row r="192" spans="1:22" ht="62.25" customHeight="1" thickBot="1">
      <c r="A192" s="580" t="s">
        <v>83</v>
      </c>
      <c r="B192" s="588"/>
      <c r="C192" s="588"/>
      <c r="D192" s="588"/>
      <c r="E192" s="588"/>
      <c r="F192" s="588"/>
      <c r="G192" s="588"/>
      <c r="H192" s="588"/>
      <c r="I192" s="588"/>
      <c r="J192" s="588"/>
      <c r="K192" s="588"/>
      <c r="L192" s="588"/>
      <c r="M192" s="588"/>
      <c r="N192" s="588"/>
      <c r="O192" s="589"/>
    </row>
    <row r="193" spans="1:23">
      <c r="A193" s="10" t="s">
        <v>1</v>
      </c>
      <c r="B193" s="11" t="s">
        <v>0</v>
      </c>
      <c r="C193" s="96"/>
      <c r="D193" s="97"/>
      <c r="E193" s="96"/>
      <c r="F193" s="97"/>
      <c r="G193" s="96"/>
      <c r="H193" s="97"/>
      <c r="I193" s="96"/>
      <c r="O193" s="2"/>
      <c r="V193" s="15"/>
    </row>
    <row r="194" spans="1:23" ht="15.75">
      <c r="A194" s="98" t="str">
        <f>A100</f>
        <v>2012 BUDGET</v>
      </c>
      <c r="B194" s="3"/>
      <c r="O194" s="2"/>
    </row>
    <row r="195" spans="1:23">
      <c r="A195" s="99" t="str">
        <f>A101</f>
        <v>Bid Dollars</v>
      </c>
      <c r="B195" s="3"/>
      <c r="O195" s="2"/>
      <c r="P195" s="9"/>
      <c r="Q195" s="9"/>
      <c r="R195" s="9"/>
      <c r="S195" s="9"/>
      <c r="T195" s="9"/>
      <c r="U195" s="9"/>
      <c r="V195" s="9"/>
    </row>
    <row r="196" spans="1:23">
      <c r="A196" s="4"/>
      <c r="B196" s="3"/>
      <c r="C196" s="22" t="str">
        <f t="shared" ref="C196:N196" si="117">C102</f>
        <v>JAN</v>
      </c>
      <c r="D196" s="23" t="str">
        <f t="shared" si="117"/>
        <v>FEB</v>
      </c>
      <c r="E196" s="22" t="str">
        <f t="shared" si="117"/>
        <v>MAR</v>
      </c>
      <c r="F196" s="23" t="str">
        <f t="shared" si="117"/>
        <v>APR</v>
      </c>
      <c r="G196" s="22" t="str">
        <f t="shared" si="117"/>
        <v>MAY</v>
      </c>
      <c r="H196" s="23" t="str">
        <f t="shared" si="117"/>
        <v>JUNE</v>
      </c>
      <c r="I196" s="22" t="str">
        <f t="shared" si="117"/>
        <v>JULY</v>
      </c>
      <c r="J196" s="23" t="str">
        <f t="shared" si="117"/>
        <v>AUG</v>
      </c>
      <c r="K196" s="22" t="str">
        <f t="shared" si="117"/>
        <v>SEPT</v>
      </c>
      <c r="L196" s="23" t="str">
        <f t="shared" si="117"/>
        <v>OCT</v>
      </c>
      <c r="M196" s="22" t="str">
        <f t="shared" si="117"/>
        <v>NOV</v>
      </c>
      <c r="N196" s="23" t="str">
        <f t="shared" si="117"/>
        <v>DEC</v>
      </c>
      <c r="O196" s="24" t="s">
        <v>13</v>
      </c>
      <c r="R196" s="15"/>
      <c r="S196" s="15"/>
      <c r="T196" s="15"/>
      <c r="U196" s="15"/>
      <c r="V196" s="15"/>
    </row>
    <row r="197" spans="1:23" ht="16.5" thickBot="1">
      <c r="A197" s="19" t="s">
        <v>53</v>
      </c>
      <c r="B197" s="3"/>
      <c r="C197" s="110">
        <f>SUM('[28]January Report'!$C$8:$D$38,'[28]January Report'!$L$8:$M$38)</f>
        <v>26.227394</v>
      </c>
      <c r="D197" s="111">
        <f>SUM('[28]February Report'!$C$8:$D$38,'[28]February Report'!$L$8:$M$38)</f>
        <v>23.069822999999996</v>
      </c>
      <c r="E197" s="112">
        <f>SUM('[28]March Report'!$C$8:$D$38,'[28]March Report'!$L$8:$M$38)</f>
        <v>23.627047000000008</v>
      </c>
      <c r="F197" s="111">
        <f>SUM('[28]April Report'!$C$8:$D$38,'[28]April Report'!$L$8:$M$38)</f>
        <v>23.298924999999997</v>
      </c>
      <c r="G197" s="112">
        <f>SUM('[28]May Report'!$C$8:$D$38,'[28]May Report'!$L$8:$M$38)</f>
        <v>25.781476000000005</v>
      </c>
      <c r="H197" s="111">
        <f>SUM('[28]June Report'!$C$8:$D$38,'[28]June Report'!$L$8:$M$38)</f>
        <v>11.439586</v>
      </c>
      <c r="I197" s="112">
        <f>SUM('[28]July Report'!$C$8:$D$38,'[28]July Report'!$L$8:$M$38)</f>
        <v>0</v>
      </c>
      <c r="J197" s="111">
        <f>SUM('[28]August Report'!$C$8:$D$38,'[28]August Report'!$L$8:$M$38)</f>
        <v>0</v>
      </c>
      <c r="K197" s="112">
        <f>SUM('[28]September Report'!$C$8:$D$38,'[28]September Report'!$L$8:$M$38)</f>
        <v>0</v>
      </c>
      <c r="L197" s="111">
        <f>SUM('[28]October Report'!$C$8:$D$38,'[28]October Report'!$L$8:$M$38)</f>
        <v>0</v>
      </c>
      <c r="M197" s="112">
        <f>SUM('[28]November Report'!$C$8:$D$38,'[28]November Report'!$L$8:$M$38)</f>
        <v>0</v>
      </c>
      <c r="N197" s="111">
        <f>SUM('[28]December Report'!$C$8:$D$38,'[28]December Report'!$L$8:$M$38)</f>
        <v>0</v>
      </c>
      <c r="O197" s="27">
        <f>SUM(C197:N197)</f>
        <v>133.44425100000001</v>
      </c>
      <c r="R197" s="72"/>
      <c r="S197" s="15"/>
      <c r="T197" s="72"/>
      <c r="U197" s="15"/>
      <c r="V197" s="15"/>
    </row>
    <row r="198" spans="1:23">
      <c r="A198" s="28" t="s">
        <v>54</v>
      </c>
      <c r="B198" s="29" t="s">
        <v>55</v>
      </c>
      <c r="C198" s="30">
        <v>0</v>
      </c>
      <c r="D198" s="31">
        <v>0</v>
      </c>
      <c r="E198" s="30">
        <v>0</v>
      </c>
      <c r="F198" s="31">
        <v>0</v>
      </c>
      <c r="G198" s="30">
        <v>0</v>
      </c>
      <c r="H198" s="31">
        <v>0</v>
      </c>
      <c r="I198" s="30">
        <v>0</v>
      </c>
      <c r="J198" s="31">
        <v>0</v>
      </c>
      <c r="K198" s="30">
        <v>0</v>
      </c>
      <c r="L198" s="31">
        <v>0</v>
      </c>
      <c r="M198" s="30">
        <v>0</v>
      </c>
      <c r="N198" s="31">
        <v>0</v>
      </c>
      <c r="O198" s="32">
        <f>O199/O$197</f>
        <v>0</v>
      </c>
      <c r="Q198" s="33"/>
    </row>
    <row r="199" spans="1:23">
      <c r="A199" s="34" t="s">
        <v>56</v>
      </c>
      <c r="B199" s="35" t="s">
        <v>57</v>
      </c>
      <c r="C199" s="65">
        <f t="shared" ref="C199:N199" si="118">C$197*C198</f>
        <v>0</v>
      </c>
      <c r="D199" s="66">
        <f t="shared" si="118"/>
        <v>0</v>
      </c>
      <c r="E199" s="65">
        <f t="shared" si="118"/>
        <v>0</v>
      </c>
      <c r="F199" s="66">
        <f t="shared" si="118"/>
        <v>0</v>
      </c>
      <c r="G199" s="65">
        <f t="shared" si="118"/>
        <v>0</v>
      </c>
      <c r="H199" s="66">
        <f t="shared" si="118"/>
        <v>0</v>
      </c>
      <c r="I199" s="65">
        <f t="shared" si="118"/>
        <v>0</v>
      </c>
      <c r="J199" s="66">
        <f t="shared" si="118"/>
        <v>0</v>
      </c>
      <c r="K199" s="65">
        <f t="shared" si="118"/>
        <v>0</v>
      </c>
      <c r="L199" s="66">
        <f t="shared" si="118"/>
        <v>0</v>
      </c>
      <c r="M199" s="65">
        <f t="shared" si="118"/>
        <v>0</v>
      </c>
      <c r="N199" s="66">
        <f t="shared" si="118"/>
        <v>0</v>
      </c>
      <c r="O199" s="67">
        <f>SUM(C199:N199)</f>
        <v>0</v>
      </c>
      <c r="Q199" s="33"/>
      <c r="R199" s="57"/>
      <c r="S199" s="57"/>
      <c r="T199" s="57"/>
      <c r="U199" s="57"/>
      <c r="V199" s="41"/>
    </row>
    <row r="200" spans="1:23" ht="15.75">
      <c r="A200" s="42"/>
      <c r="B200" s="35" t="s">
        <v>58</v>
      </c>
      <c r="C200" s="43">
        <f>'[14]Price Changes'!D39</f>
        <v>0</v>
      </c>
      <c r="D200" s="44">
        <f t="shared" ref="D200:N200" si="119">C200</f>
        <v>0</v>
      </c>
      <c r="E200" s="43">
        <f t="shared" si="119"/>
        <v>0</v>
      </c>
      <c r="F200" s="44">
        <f t="shared" si="119"/>
        <v>0</v>
      </c>
      <c r="G200" s="43">
        <f t="shared" si="119"/>
        <v>0</v>
      </c>
      <c r="H200" s="44">
        <f t="shared" si="119"/>
        <v>0</v>
      </c>
      <c r="I200" s="43">
        <f t="shared" si="119"/>
        <v>0</v>
      </c>
      <c r="J200" s="44">
        <f t="shared" si="119"/>
        <v>0</v>
      </c>
      <c r="K200" s="43">
        <f t="shared" si="119"/>
        <v>0</v>
      </c>
      <c r="L200" s="44">
        <f t="shared" si="119"/>
        <v>0</v>
      </c>
      <c r="M200" s="43">
        <f t="shared" si="119"/>
        <v>0</v>
      </c>
      <c r="N200" s="44">
        <f t="shared" si="119"/>
        <v>0</v>
      </c>
      <c r="O200" s="45">
        <f>IF(O199=0,0,+O201/O199)</f>
        <v>0</v>
      </c>
      <c r="Q200" s="33"/>
      <c r="R200" s="46"/>
      <c r="S200" s="80"/>
      <c r="T200" s="68"/>
      <c r="U200" s="47"/>
      <c r="V200" s="41"/>
    </row>
    <row r="201" spans="1:23">
      <c r="A201" s="42"/>
      <c r="B201" s="35" t="s">
        <v>15</v>
      </c>
      <c r="C201" s="48">
        <f t="shared" ref="C201:N201" si="120">C199*C200</f>
        <v>0</v>
      </c>
      <c r="D201" s="49">
        <f t="shared" si="120"/>
        <v>0</v>
      </c>
      <c r="E201" s="48">
        <f t="shared" si="120"/>
        <v>0</v>
      </c>
      <c r="F201" s="49">
        <f t="shared" si="120"/>
        <v>0</v>
      </c>
      <c r="G201" s="48">
        <f t="shared" si="120"/>
        <v>0</v>
      </c>
      <c r="H201" s="49">
        <f t="shared" si="120"/>
        <v>0</v>
      </c>
      <c r="I201" s="48">
        <f t="shared" si="120"/>
        <v>0</v>
      </c>
      <c r="J201" s="49">
        <f t="shared" si="120"/>
        <v>0</v>
      </c>
      <c r="K201" s="48">
        <f t="shared" si="120"/>
        <v>0</v>
      </c>
      <c r="L201" s="49">
        <f t="shared" si="120"/>
        <v>0</v>
      </c>
      <c r="M201" s="48">
        <f t="shared" si="120"/>
        <v>0</v>
      </c>
      <c r="N201" s="49">
        <f t="shared" si="120"/>
        <v>0</v>
      </c>
      <c r="O201" s="50">
        <f>SUM(C201:N201)</f>
        <v>0</v>
      </c>
      <c r="Q201" s="33"/>
      <c r="R201" s="40"/>
      <c r="S201" s="40"/>
      <c r="T201" s="40"/>
      <c r="U201" s="40"/>
      <c r="V201" s="41"/>
    </row>
    <row r="202" spans="1:23" ht="16.5" thickBot="1">
      <c r="A202" s="51"/>
      <c r="B202" s="52" t="s">
        <v>59</v>
      </c>
      <c r="C202" s="53">
        <f t="shared" ref="C202:O202" si="121">C201/C$197</f>
        <v>0</v>
      </c>
      <c r="D202" s="54">
        <f t="shared" si="121"/>
        <v>0</v>
      </c>
      <c r="E202" s="53">
        <f t="shared" si="121"/>
        <v>0</v>
      </c>
      <c r="F202" s="54">
        <f t="shared" si="121"/>
        <v>0</v>
      </c>
      <c r="G202" s="53">
        <f t="shared" si="121"/>
        <v>0</v>
      </c>
      <c r="H202" s="54">
        <f t="shared" si="121"/>
        <v>0</v>
      </c>
      <c r="I202" s="53" t="e">
        <f t="shared" si="121"/>
        <v>#DIV/0!</v>
      </c>
      <c r="J202" s="54" t="e">
        <f t="shared" si="121"/>
        <v>#DIV/0!</v>
      </c>
      <c r="K202" s="53" t="e">
        <f t="shared" si="121"/>
        <v>#DIV/0!</v>
      </c>
      <c r="L202" s="54" t="e">
        <f t="shared" si="121"/>
        <v>#DIV/0!</v>
      </c>
      <c r="M202" s="53" t="e">
        <f t="shared" si="121"/>
        <v>#DIV/0!</v>
      </c>
      <c r="N202" s="54" t="e">
        <f t="shared" si="121"/>
        <v>#DIV/0!</v>
      </c>
      <c r="O202" s="55">
        <f t="shared" si="121"/>
        <v>0</v>
      </c>
      <c r="Q202" s="33"/>
      <c r="R202" s="56"/>
      <c r="S202" s="80"/>
      <c r="T202" s="57"/>
      <c r="U202" s="57"/>
      <c r="V202" s="41"/>
    </row>
    <row r="203" spans="1:23">
      <c r="A203" s="28" t="s">
        <v>60</v>
      </c>
      <c r="B203" s="29" t="s">
        <v>55</v>
      </c>
      <c r="C203" s="30">
        <f t="shared" ref="C203:O203" si="122">C204/C$197</f>
        <v>133.29574413683648</v>
      </c>
      <c r="D203" s="31">
        <f t="shared" si="122"/>
        <v>135.15491644647645</v>
      </c>
      <c r="E203" s="30">
        <f t="shared" si="122"/>
        <v>139.28951849124434</v>
      </c>
      <c r="F203" s="31">
        <f t="shared" si="122"/>
        <v>148.46178525404071</v>
      </c>
      <c r="G203" s="30">
        <f t="shared" si="122"/>
        <v>137.77333772511702</v>
      </c>
      <c r="H203" s="31">
        <f t="shared" si="122"/>
        <v>363.29986067677623</v>
      </c>
      <c r="I203" s="30" t="e">
        <f t="shared" si="122"/>
        <v>#DIV/0!</v>
      </c>
      <c r="J203" s="31" t="e">
        <f t="shared" si="122"/>
        <v>#DIV/0!</v>
      </c>
      <c r="K203" s="30" t="e">
        <f t="shared" si="122"/>
        <v>#DIV/0!</v>
      </c>
      <c r="L203" s="31" t="e">
        <f t="shared" si="122"/>
        <v>#DIV/0!</v>
      </c>
      <c r="M203" s="30" t="e">
        <f t="shared" si="122"/>
        <v>#DIV/0!</v>
      </c>
      <c r="N203" s="31" t="e">
        <f t="shared" si="122"/>
        <v>#DIV/0!</v>
      </c>
      <c r="O203" s="32">
        <f t="shared" si="122"/>
        <v>308.47338638814796</v>
      </c>
      <c r="Q203" s="33"/>
      <c r="R203" s="58"/>
      <c r="S203" s="58"/>
      <c r="T203" s="58"/>
      <c r="U203" s="58"/>
      <c r="V203" s="41"/>
      <c r="W203" s="8"/>
    </row>
    <row r="204" spans="1:23">
      <c r="A204" s="34" t="s">
        <v>56</v>
      </c>
      <c r="B204" s="35" t="s">
        <v>57</v>
      </c>
      <c r="C204" s="36">
        <v>3496</v>
      </c>
      <c r="D204" s="37">
        <v>3118</v>
      </c>
      <c r="E204" s="36">
        <v>3291</v>
      </c>
      <c r="F204" s="37">
        <v>3459</v>
      </c>
      <c r="G204" s="36">
        <f>'[14]ND WTP 2011'!AE73</f>
        <v>3552</v>
      </c>
      <c r="H204" s="37">
        <f>'[14]ND WTP 2011'!AF73</f>
        <v>4156</v>
      </c>
      <c r="I204" s="36">
        <f>'[14]ND WTP 2011'!AG73</f>
        <v>3957</v>
      </c>
      <c r="J204" s="37">
        <f>'[14]ND WTP 2011'!AH73</f>
        <v>3227</v>
      </c>
      <c r="K204" s="36">
        <f>'[14]ND WTP 2011'!AI73</f>
        <v>3227</v>
      </c>
      <c r="L204" s="37">
        <f>'[14]ND WTP 2011'!AJ73</f>
        <v>3227</v>
      </c>
      <c r="M204" s="36">
        <f>'[14]ND WTP 2011'!AK73</f>
        <v>3227</v>
      </c>
      <c r="N204" s="37">
        <f>'[14]ND WTP 2011'!AL73</f>
        <v>3227</v>
      </c>
      <c r="O204" s="38">
        <f>SUM(C204:N204)</f>
        <v>41164</v>
      </c>
      <c r="Q204" s="33"/>
      <c r="R204" s="57"/>
      <c r="S204" s="57"/>
      <c r="T204" s="57"/>
      <c r="U204" s="57"/>
      <c r="V204" s="41"/>
      <c r="W204" s="8"/>
    </row>
    <row r="205" spans="1:23" ht="15.75">
      <c r="A205" s="42"/>
      <c r="B205" s="35" t="s">
        <v>58</v>
      </c>
      <c r="C205" s="43">
        <f>C206/C204</f>
        <v>0.91159897025171621</v>
      </c>
      <c r="D205" s="44">
        <f>D206/D204</f>
        <v>0.91160038486209105</v>
      </c>
      <c r="E205" s="43">
        <f>E206/E204</f>
        <v>0.91183834700698885</v>
      </c>
      <c r="F205" s="44">
        <f>F206/F204</f>
        <v>0.91159872795605656</v>
      </c>
      <c r="G205" s="43">
        <f t="shared" ref="G205:N205" si="123">F205</f>
        <v>0.91159872795605656</v>
      </c>
      <c r="H205" s="44">
        <f t="shared" si="123"/>
        <v>0.91159872795605656</v>
      </c>
      <c r="I205" s="43">
        <f t="shared" si="123"/>
        <v>0.91159872795605656</v>
      </c>
      <c r="J205" s="44">
        <f t="shared" si="123"/>
        <v>0.91159872795605656</v>
      </c>
      <c r="K205" s="43">
        <f t="shared" si="123"/>
        <v>0.91159872795605656</v>
      </c>
      <c r="L205" s="44">
        <f t="shared" si="123"/>
        <v>0.91159872795605656</v>
      </c>
      <c r="M205" s="43">
        <f t="shared" si="123"/>
        <v>0.91159872795605656</v>
      </c>
      <c r="N205" s="44">
        <f t="shared" si="123"/>
        <v>0.91159872795605656</v>
      </c>
      <c r="O205" s="45">
        <f>IF(O204=0,0,+O206/O204)</f>
        <v>0.91161803122093021</v>
      </c>
      <c r="Q205" s="33"/>
      <c r="R205" s="46"/>
      <c r="S205" s="46"/>
      <c r="T205" s="47"/>
      <c r="U205" s="47"/>
      <c r="V205" s="41"/>
      <c r="W205" s="8"/>
    </row>
    <row r="206" spans="1:23">
      <c r="A206" s="42"/>
      <c r="B206" s="35" t="s">
        <v>15</v>
      </c>
      <c r="C206" s="48">
        <v>3186.95</v>
      </c>
      <c r="D206" s="49">
        <v>2842.37</v>
      </c>
      <c r="E206" s="48">
        <v>3000.86</v>
      </c>
      <c r="F206" s="49">
        <v>3153.22</v>
      </c>
      <c r="G206" s="48">
        <f t="shared" ref="G206:N206" si="124">G204*G205</f>
        <v>3237.998681699913</v>
      </c>
      <c r="H206" s="49">
        <f t="shared" si="124"/>
        <v>3788.6043133853709</v>
      </c>
      <c r="I206" s="48">
        <f t="shared" si="124"/>
        <v>3607.1961665221156</v>
      </c>
      <c r="J206" s="49">
        <f t="shared" si="124"/>
        <v>2941.7290951141945</v>
      </c>
      <c r="K206" s="48">
        <f t="shared" si="124"/>
        <v>2941.7290951141945</v>
      </c>
      <c r="L206" s="49">
        <f t="shared" si="124"/>
        <v>2941.7290951141945</v>
      </c>
      <c r="M206" s="48">
        <f t="shared" si="124"/>
        <v>2941.7290951141945</v>
      </c>
      <c r="N206" s="49">
        <f t="shared" si="124"/>
        <v>2941.7290951141945</v>
      </c>
      <c r="O206" s="50">
        <f>SUM(C206:N206)</f>
        <v>37525.844637178372</v>
      </c>
      <c r="Q206" s="33"/>
      <c r="R206" s="40"/>
      <c r="S206" s="40"/>
      <c r="T206" s="40"/>
      <c r="U206" s="40"/>
      <c r="V206" s="41"/>
      <c r="W206" s="8"/>
    </row>
    <row r="207" spans="1:23" ht="16.5" thickBot="1">
      <c r="A207" s="51"/>
      <c r="B207" s="52" t="s">
        <v>59</v>
      </c>
      <c r="C207" s="53">
        <f t="shared" ref="C207:O207" si="125">C206/C$197</f>
        <v>121.51226309407636</v>
      </c>
      <c r="D207" s="54">
        <f t="shared" si="125"/>
        <v>123.20727384861169</v>
      </c>
      <c r="E207" s="53">
        <f t="shared" si="125"/>
        <v>127.00952429645562</v>
      </c>
      <c r="F207" s="54">
        <f t="shared" si="125"/>
        <v>135.33757458766874</v>
      </c>
      <c r="G207" s="53">
        <f t="shared" si="125"/>
        <v>125.59399941647688</v>
      </c>
      <c r="H207" s="54">
        <f t="shared" si="125"/>
        <v>331.18369085956175</v>
      </c>
      <c r="I207" s="53" t="e">
        <f t="shared" si="125"/>
        <v>#DIV/0!</v>
      </c>
      <c r="J207" s="54" t="e">
        <f t="shared" si="125"/>
        <v>#DIV/0!</v>
      </c>
      <c r="K207" s="53" t="e">
        <f t="shared" si="125"/>
        <v>#DIV/0!</v>
      </c>
      <c r="L207" s="54" t="e">
        <f t="shared" si="125"/>
        <v>#DIV/0!</v>
      </c>
      <c r="M207" s="53" t="e">
        <f t="shared" si="125"/>
        <v>#DIV/0!</v>
      </c>
      <c r="N207" s="54" t="e">
        <f t="shared" si="125"/>
        <v>#DIV/0!</v>
      </c>
      <c r="O207" s="55">
        <f t="shared" si="125"/>
        <v>281.20990118321674</v>
      </c>
      <c r="Q207" s="33"/>
      <c r="R207" s="56"/>
      <c r="S207" s="56"/>
      <c r="T207" s="57"/>
      <c r="U207" s="57"/>
      <c r="V207" s="41"/>
      <c r="W207" s="8"/>
    </row>
    <row r="208" spans="1:23">
      <c r="A208" s="28" t="s">
        <v>61</v>
      </c>
      <c r="B208" s="29" t="s">
        <v>55</v>
      </c>
      <c r="C208" s="30">
        <f t="shared" ref="C208:O208" si="126">C209/C$197</f>
        <v>28.176646143341575</v>
      </c>
      <c r="D208" s="31">
        <f t="shared" si="126"/>
        <v>17.121934572276523</v>
      </c>
      <c r="E208" s="30">
        <f t="shared" si="126"/>
        <v>33.139985712137438</v>
      </c>
      <c r="F208" s="31">
        <f t="shared" si="126"/>
        <v>28.885452869606649</v>
      </c>
      <c r="G208" s="30">
        <f t="shared" si="126"/>
        <v>30.060342549821424</v>
      </c>
      <c r="H208" s="31">
        <f t="shared" si="126"/>
        <v>82.345637333379017</v>
      </c>
      <c r="I208" s="30" t="e">
        <f t="shared" si="126"/>
        <v>#DIV/0!</v>
      </c>
      <c r="J208" s="31" t="e">
        <f t="shared" si="126"/>
        <v>#DIV/0!</v>
      </c>
      <c r="K208" s="30" t="e">
        <f t="shared" si="126"/>
        <v>#DIV/0!</v>
      </c>
      <c r="L208" s="31" t="e">
        <f t="shared" si="126"/>
        <v>#DIV/0!</v>
      </c>
      <c r="M208" s="30" t="e">
        <f t="shared" si="126"/>
        <v>#DIV/0!</v>
      </c>
      <c r="N208" s="31" t="e">
        <f t="shared" si="126"/>
        <v>#DIV/0!</v>
      </c>
      <c r="O208" s="32">
        <f t="shared" si="126"/>
        <v>66.477651084496259</v>
      </c>
      <c r="Q208" s="33"/>
    </row>
    <row r="209" spans="1:23">
      <c r="A209" s="34" t="s">
        <v>56</v>
      </c>
      <c r="B209" s="35" t="s">
        <v>57</v>
      </c>
      <c r="C209" s="36">
        <v>739</v>
      </c>
      <c r="D209" s="37">
        <v>395</v>
      </c>
      <c r="E209" s="36">
        <v>783</v>
      </c>
      <c r="F209" s="37">
        <v>673</v>
      </c>
      <c r="G209" s="36">
        <f>'[14]ND WTP 2011'!AE39</f>
        <v>775</v>
      </c>
      <c r="H209" s="37">
        <f>'[14]ND WTP 2011'!AF39</f>
        <v>942</v>
      </c>
      <c r="I209" s="36">
        <f>'[14]ND WTP 2011'!AG39</f>
        <v>1023</v>
      </c>
      <c r="J209" s="37">
        <f>'[14]ND WTP 2011'!AH39</f>
        <v>713.49029362513352</v>
      </c>
      <c r="K209" s="36">
        <f>'[14]ND WTP 2011'!AI39</f>
        <v>702.27774371845237</v>
      </c>
      <c r="L209" s="37">
        <f>'[14]ND WTP 2011'!AJ39</f>
        <v>866.05931331604165</v>
      </c>
      <c r="M209" s="36">
        <f>'[14]ND WTP 2011'!AK39</f>
        <v>746.78520164497218</v>
      </c>
      <c r="N209" s="37">
        <f>'[14]ND WTP 2011'!AL39</f>
        <v>512.4478049053422</v>
      </c>
      <c r="O209" s="38">
        <f>SUM(C209:N209)</f>
        <v>8871.0603572099408</v>
      </c>
      <c r="Q209" s="33"/>
      <c r="R209" s="57"/>
      <c r="S209" s="57"/>
      <c r="T209" s="47"/>
      <c r="U209" s="57"/>
      <c r="V209" s="41"/>
      <c r="W209" s="8"/>
    </row>
    <row r="210" spans="1:23" ht="15.75">
      <c r="A210" s="42"/>
      <c r="B210" s="35" t="s">
        <v>58</v>
      </c>
      <c r="C210" s="43">
        <f>C211/C209</f>
        <v>0.44000000000000006</v>
      </c>
      <c r="D210" s="44">
        <f>D211/D209</f>
        <v>0.42579746835443039</v>
      </c>
      <c r="E210" s="43">
        <f>E211/E209</f>
        <v>0.42320561941251594</v>
      </c>
      <c r="F210" s="44">
        <f>F211/F209</f>
        <v>0.41699851411589894</v>
      </c>
      <c r="G210" s="43">
        <f t="shared" ref="G210:N210" si="127">F210</f>
        <v>0.41699851411589894</v>
      </c>
      <c r="H210" s="44">
        <f t="shared" si="127"/>
        <v>0.41699851411589894</v>
      </c>
      <c r="I210" s="43">
        <f t="shared" si="127"/>
        <v>0.41699851411589894</v>
      </c>
      <c r="J210" s="44">
        <f t="shared" si="127"/>
        <v>0.41699851411589894</v>
      </c>
      <c r="K210" s="43">
        <f t="shared" si="127"/>
        <v>0.41699851411589894</v>
      </c>
      <c r="L210" s="44">
        <f t="shared" si="127"/>
        <v>0.41699851411589894</v>
      </c>
      <c r="M210" s="43">
        <f t="shared" si="127"/>
        <v>0.41699851411589894</v>
      </c>
      <c r="N210" s="44">
        <f t="shared" si="127"/>
        <v>0.41699851411589894</v>
      </c>
      <c r="O210" s="45">
        <f>IF(O209=0,0,+O211/O209)</f>
        <v>0.41985429994303874</v>
      </c>
      <c r="Q210" s="33"/>
      <c r="R210" s="46"/>
      <c r="S210" s="46"/>
      <c r="T210" s="47"/>
      <c r="U210" s="47"/>
      <c r="V210" s="41"/>
      <c r="W210" s="8"/>
    </row>
    <row r="211" spans="1:23">
      <c r="A211" s="42"/>
      <c r="B211" s="35" t="s">
        <v>15</v>
      </c>
      <c r="C211" s="48">
        <v>325.16000000000003</v>
      </c>
      <c r="D211" s="49">
        <v>168.19</v>
      </c>
      <c r="E211" s="48">
        <v>331.37</v>
      </c>
      <c r="F211" s="49">
        <v>280.64</v>
      </c>
      <c r="G211" s="48">
        <f t="shared" ref="G211:N211" si="128">G209*G210</f>
        <v>323.17384843982165</v>
      </c>
      <c r="H211" s="49">
        <f t="shared" si="128"/>
        <v>392.8126002971768</v>
      </c>
      <c r="I211" s="48">
        <f t="shared" si="128"/>
        <v>426.58947994056462</v>
      </c>
      <c r="J211" s="49">
        <f t="shared" si="128"/>
        <v>297.52439227779712</v>
      </c>
      <c r="K211" s="48">
        <f t="shared" si="128"/>
        <v>292.84877562726075</v>
      </c>
      <c r="L211" s="49">
        <f t="shared" si="128"/>
        <v>361.14544678902513</v>
      </c>
      <c r="M211" s="48">
        <f t="shared" si="128"/>
        <v>311.40831944969534</v>
      </c>
      <c r="N211" s="49">
        <f t="shared" si="128"/>
        <v>213.68997320748176</v>
      </c>
      <c r="O211" s="50">
        <f>SUM(C211:N211)</f>
        <v>3724.5528360288231</v>
      </c>
      <c r="Q211" s="33"/>
      <c r="R211" s="40"/>
      <c r="S211" s="40"/>
      <c r="T211" s="40"/>
      <c r="U211" s="40"/>
      <c r="V211" s="41"/>
    </row>
    <row r="212" spans="1:23" ht="16.5" thickBot="1">
      <c r="A212" s="51"/>
      <c r="B212" s="52" t="s">
        <v>59</v>
      </c>
      <c r="C212" s="53">
        <f t="shared" ref="C212:O212" si="129">C211/C$197</f>
        <v>12.397724303070294</v>
      </c>
      <c r="D212" s="54">
        <f t="shared" si="129"/>
        <v>7.2904763942055402</v>
      </c>
      <c r="E212" s="53">
        <f t="shared" si="129"/>
        <v>14.025028180627054</v>
      </c>
      <c r="F212" s="54">
        <f t="shared" si="129"/>
        <v>12.045190926190802</v>
      </c>
      <c r="G212" s="53">
        <f t="shared" si="129"/>
        <v>12.535118177090466</v>
      </c>
      <c r="H212" s="54">
        <f t="shared" si="129"/>
        <v>34.338008411945744</v>
      </c>
      <c r="I212" s="53" t="e">
        <f t="shared" si="129"/>
        <v>#DIV/0!</v>
      </c>
      <c r="J212" s="54" t="e">
        <f t="shared" si="129"/>
        <v>#DIV/0!</v>
      </c>
      <c r="K212" s="53" t="e">
        <f t="shared" si="129"/>
        <v>#DIV/0!</v>
      </c>
      <c r="L212" s="54" t="e">
        <f t="shared" si="129"/>
        <v>#DIV/0!</v>
      </c>
      <c r="M212" s="53" t="e">
        <f t="shared" si="129"/>
        <v>#DIV/0!</v>
      </c>
      <c r="N212" s="54" t="e">
        <f t="shared" si="129"/>
        <v>#DIV/0!</v>
      </c>
      <c r="O212" s="55">
        <f t="shared" si="129"/>
        <v>27.910927657938768</v>
      </c>
      <c r="Q212" s="33"/>
      <c r="R212" s="46"/>
      <c r="S212" s="56"/>
      <c r="T212" s="57"/>
      <c r="U212" s="57"/>
      <c r="V212" s="41"/>
    </row>
    <row r="213" spans="1:23">
      <c r="A213" s="28" t="s">
        <v>62</v>
      </c>
      <c r="B213" s="29" t="s">
        <v>55</v>
      </c>
      <c r="C213" s="30">
        <f t="shared" ref="C213:O213" si="130">C214/C$197</f>
        <v>0</v>
      </c>
      <c r="D213" s="31">
        <f t="shared" si="130"/>
        <v>0</v>
      </c>
      <c r="E213" s="30">
        <f t="shared" si="130"/>
        <v>0</v>
      </c>
      <c r="F213" s="31">
        <f t="shared" si="130"/>
        <v>2.1889421936849018</v>
      </c>
      <c r="G213" s="30">
        <f t="shared" si="130"/>
        <v>1.9393769386981563</v>
      </c>
      <c r="H213" s="31">
        <f t="shared" si="130"/>
        <v>4.3707875442345552</v>
      </c>
      <c r="I213" s="30" t="e">
        <f t="shared" si="130"/>
        <v>#DIV/0!</v>
      </c>
      <c r="J213" s="31" t="e">
        <f t="shared" si="130"/>
        <v>#DIV/0!</v>
      </c>
      <c r="K213" s="30" t="e">
        <f t="shared" si="130"/>
        <v>#DIV/0!</v>
      </c>
      <c r="L213" s="31" t="e">
        <f t="shared" si="130"/>
        <v>#DIV/0!</v>
      </c>
      <c r="M213" s="30" t="e">
        <f t="shared" si="130"/>
        <v>#DIV/0!</v>
      </c>
      <c r="N213" s="31" t="e">
        <f t="shared" si="130"/>
        <v>#DIV/0!</v>
      </c>
      <c r="O213" s="32">
        <f t="shared" si="130"/>
        <v>3.3796884962844893</v>
      </c>
      <c r="Q213" s="33"/>
    </row>
    <row r="214" spans="1:23">
      <c r="A214" s="34" t="s">
        <v>56</v>
      </c>
      <c r="B214" s="35" t="s">
        <v>57</v>
      </c>
      <c r="C214" s="65">
        <v>0</v>
      </c>
      <c r="D214" s="66">
        <v>0</v>
      </c>
      <c r="E214" s="65">
        <v>0</v>
      </c>
      <c r="F214" s="66">
        <v>51</v>
      </c>
      <c r="G214" s="65">
        <v>50</v>
      </c>
      <c r="H214" s="66">
        <v>50</v>
      </c>
      <c r="I214" s="65">
        <v>50</v>
      </c>
      <c r="J214" s="66">
        <v>50</v>
      </c>
      <c r="K214" s="65">
        <v>50</v>
      </c>
      <c r="L214" s="66">
        <v>50</v>
      </c>
      <c r="M214" s="65">
        <v>50</v>
      </c>
      <c r="N214" s="66">
        <v>50</v>
      </c>
      <c r="O214" s="67">
        <f>SUM(C214:N214)</f>
        <v>451</v>
      </c>
      <c r="Q214" s="33"/>
      <c r="R214" s="57"/>
      <c r="S214" s="60"/>
      <c r="T214" s="57"/>
      <c r="U214" s="57"/>
      <c r="V214" s="41"/>
      <c r="W214" s="8"/>
    </row>
    <row r="215" spans="1:23" ht="15.75">
      <c r="A215" s="42"/>
      <c r="B215" s="35" t="s">
        <v>58</v>
      </c>
      <c r="C215" s="43">
        <f>'[14]Price Changes'!D42</f>
        <v>1.7825520000000001</v>
      </c>
      <c r="D215" s="44">
        <f>C215</f>
        <v>1.7825520000000001</v>
      </c>
      <c r="E215" s="43">
        <f>D215</f>
        <v>1.7825520000000001</v>
      </c>
      <c r="F215" s="44">
        <f>F216/F214</f>
        <v>1.8076470588235294</v>
      </c>
      <c r="G215" s="43">
        <f t="shared" ref="G215:N215" si="131">F215</f>
        <v>1.8076470588235294</v>
      </c>
      <c r="H215" s="44">
        <f t="shared" si="131"/>
        <v>1.8076470588235294</v>
      </c>
      <c r="I215" s="43">
        <f t="shared" si="131"/>
        <v>1.8076470588235294</v>
      </c>
      <c r="J215" s="44">
        <f t="shared" si="131"/>
        <v>1.8076470588235294</v>
      </c>
      <c r="K215" s="43">
        <f t="shared" si="131"/>
        <v>1.8076470588235294</v>
      </c>
      <c r="L215" s="44">
        <f t="shared" si="131"/>
        <v>1.8076470588235294</v>
      </c>
      <c r="M215" s="43">
        <f t="shared" si="131"/>
        <v>1.8076470588235294</v>
      </c>
      <c r="N215" s="44">
        <f t="shared" si="131"/>
        <v>1.8076470588235294</v>
      </c>
      <c r="O215" s="45">
        <f>IF(O214=0,0,+O216/O214)</f>
        <v>1.8076470588235292</v>
      </c>
      <c r="Q215" s="33"/>
      <c r="R215" s="46"/>
      <c r="S215" s="46"/>
      <c r="T215" s="47"/>
      <c r="U215" s="47"/>
      <c r="V215" s="41"/>
      <c r="W215" s="8"/>
    </row>
    <row r="216" spans="1:23">
      <c r="A216" s="42"/>
      <c r="B216" s="35" t="s">
        <v>15</v>
      </c>
      <c r="C216" s="48">
        <f>C214*C215</f>
        <v>0</v>
      </c>
      <c r="D216" s="49">
        <f>D214*D215</f>
        <v>0</v>
      </c>
      <c r="E216" s="48">
        <f>E214*E215</f>
        <v>0</v>
      </c>
      <c r="F216" s="49">
        <v>92.19</v>
      </c>
      <c r="G216" s="48">
        <f t="shared" ref="G216:N216" si="132">G214*G215</f>
        <v>90.382352941176464</v>
      </c>
      <c r="H216" s="49">
        <f t="shared" si="132"/>
        <v>90.382352941176464</v>
      </c>
      <c r="I216" s="48">
        <f t="shared" si="132"/>
        <v>90.382352941176464</v>
      </c>
      <c r="J216" s="49">
        <f t="shared" si="132"/>
        <v>90.382352941176464</v>
      </c>
      <c r="K216" s="48">
        <f t="shared" si="132"/>
        <v>90.382352941176464</v>
      </c>
      <c r="L216" s="49">
        <f t="shared" si="132"/>
        <v>90.382352941176464</v>
      </c>
      <c r="M216" s="48">
        <f t="shared" si="132"/>
        <v>90.382352941176464</v>
      </c>
      <c r="N216" s="49">
        <f t="shared" si="132"/>
        <v>90.382352941176464</v>
      </c>
      <c r="O216" s="50">
        <f>SUM(C216:N216)</f>
        <v>815.24882352941165</v>
      </c>
      <c r="Q216" s="33"/>
      <c r="R216" s="40"/>
      <c r="S216" s="40"/>
      <c r="T216" s="40"/>
      <c r="U216" s="40"/>
      <c r="V216" s="41"/>
      <c r="W216" s="8"/>
    </row>
    <row r="217" spans="1:23" ht="16.5" thickBot="1">
      <c r="A217" s="51"/>
      <c r="B217" s="52" t="s">
        <v>59</v>
      </c>
      <c r="C217" s="53">
        <f t="shared" ref="C217:O217" si="133">C216/C$197</f>
        <v>0</v>
      </c>
      <c r="D217" s="54">
        <f t="shared" si="133"/>
        <v>0</v>
      </c>
      <c r="E217" s="53">
        <f t="shared" si="133"/>
        <v>0</v>
      </c>
      <c r="F217" s="54">
        <f t="shared" si="133"/>
        <v>3.9568349183492377</v>
      </c>
      <c r="G217" s="53">
        <f t="shared" si="133"/>
        <v>3.5057090191879023</v>
      </c>
      <c r="H217" s="54">
        <f t="shared" si="133"/>
        <v>7.9008412490781099</v>
      </c>
      <c r="I217" s="53" t="e">
        <f t="shared" si="133"/>
        <v>#DIV/0!</v>
      </c>
      <c r="J217" s="54" t="e">
        <f t="shared" si="133"/>
        <v>#DIV/0!</v>
      </c>
      <c r="K217" s="53" t="e">
        <f t="shared" si="133"/>
        <v>#DIV/0!</v>
      </c>
      <c r="L217" s="54" t="e">
        <f t="shared" si="133"/>
        <v>#DIV/0!</v>
      </c>
      <c r="M217" s="53" t="e">
        <f t="shared" si="133"/>
        <v>#DIV/0!</v>
      </c>
      <c r="N217" s="54" t="e">
        <f t="shared" si="133"/>
        <v>#DIV/0!</v>
      </c>
      <c r="O217" s="55">
        <f t="shared" si="133"/>
        <v>6.1092839700483736</v>
      </c>
      <c r="Q217" s="33"/>
      <c r="R217" s="46"/>
      <c r="S217" s="56"/>
      <c r="T217" s="57"/>
      <c r="U217" s="57"/>
      <c r="V217" s="41"/>
    </row>
    <row r="218" spans="1:23">
      <c r="A218" s="181" t="s">
        <v>63</v>
      </c>
      <c r="B218" s="29" t="s">
        <v>55</v>
      </c>
      <c r="C218" s="30">
        <v>0</v>
      </c>
      <c r="D218" s="31">
        <v>0</v>
      </c>
      <c r="E218" s="30">
        <v>0</v>
      </c>
      <c r="F218" s="31">
        <v>0</v>
      </c>
      <c r="G218" s="30">
        <v>0</v>
      </c>
      <c r="H218" s="31">
        <v>0</v>
      </c>
      <c r="I218" s="30">
        <v>0</v>
      </c>
      <c r="J218" s="31">
        <v>0</v>
      </c>
      <c r="K218" s="30">
        <v>0</v>
      </c>
      <c r="L218" s="31">
        <v>0</v>
      </c>
      <c r="M218" s="30">
        <v>0</v>
      </c>
      <c r="N218" s="31">
        <v>0</v>
      </c>
      <c r="O218" s="32">
        <f>O219/O$197</f>
        <v>0</v>
      </c>
    </row>
    <row r="219" spans="1:23">
      <c r="A219" s="34" t="s">
        <v>64</v>
      </c>
      <c r="B219" s="35" t="s">
        <v>57</v>
      </c>
      <c r="C219" s="65">
        <f t="shared" ref="C219:N219" si="134">C$197*C218</f>
        <v>0</v>
      </c>
      <c r="D219" s="66">
        <f t="shared" si="134"/>
        <v>0</v>
      </c>
      <c r="E219" s="65">
        <f t="shared" si="134"/>
        <v>0</v>
      </c>
      <c r="F219" s="66">
        <f t="shared" si="134"/>
        <v>0</v>
      </c>
      <c r="G219" s="65">
        <f t="shared" si="134"/>
        <v>0</v>
      </c>
      <c r="H219" s="66">
        <f t="shared" si="134"/>
        <v>0</v>
      </c>
      <c r="I219" s="65">
        <f t="shared" si="134"/>
        <v>0</v>
      </c>
      <c r="J219" s="66">
        <f t="shared" si="134"/>
        <v>0</v>
      </c>
      <c r="K219" s="65">
        <f t="shared" si="134"/>
        <v>0</v>
      </c>
      <c r="L219" s="66">
        <f t="shared" si="134"/>
        <v>0</v>
      </c>
      <c r="M219" s="65">
        <f t="shared" si="134"/>
        <v>0</v>
      </c>
      <c r="N219" s="66">
        <f t="shared" si="134"/>
        <v>0</v>
      </c>
      <c r="O219" s="67">
        <f>SUM(C219:N219)</f>
        <v>0</v>
      </c>
    </row>
    <row r="220" spans="1:23">
      <c r="A220" s="34"/>
      <c r="B220" s="35" t="s">
        <v>58</v>
      </c>
      <c r="C220" s="43">
        <f>'[14]Price Changes'!D43</f>
        <v>0</v>
      </c>
      <c r="D220" s="44">
        <f t="shared" ref="D220:N220" si="135">C220</f>
        <v>0</v>
      </c>
      <c r="E220" s="43">
        <f t="shared" si="135"/>
        <v>0</v>
      </c>
      <c r="F220" s="44">
        <f t="shared" si="135"/>
        <v>0</v>
      </c>
      <c r="G220" s="43">
        <f t="shared" si="135"/>
        <v>0</v>
      </c>
      <c r="H220" s="44">
        <f t="shared" si="135"/>
        <v>0</v>
      </c>
      <c r="I220" s="43">
        <f t="shared" si="135"/>
        <v>0</v>
      </c>
      <c r="J220" s="44">
        <f t="shared" si="135"/>
        <v>0</v>
      </c>
      <c r="K220" s="43">
        <f t="shared" si="135"/>
        <v>0</v>
      </c>
      <c r="L220" s="44">
        <f t="shared" si="135"/>
        <v>0</v>
      </c>
      <c r="M220" s="43">
        <f t="shared" si="135"/>
        <v>0</v>
      </c>
      <c r="N220" s="44">
        <f t="shared" si="135"/>
        <v>0</v>
      </c>
      <c r="O220" s="45">
        <f>IF(O219=0,0,+O221/O219)</f>
        <v>0</v>
      </c>
    </row>
    <row r="221" spans="1:23">
      <c r="A221" s="42"/>
      <c r="B221" s="35" t="s">
        <v>15</v>
      </c>
      <c r="C221" s="48">
        <f t="shared" ref="C221:N221" si="136">C219*C220</f>
        <v>0</v>
      </c>
      <c r="D221" s="49">
        <f t="shared" si="136"/>
        <v>0</v>
      </c>
      <c r="E221" s="48">
        <f t="shared" si="136"/>
        <v>0</v>
      </c>
      <c r="F221" s="49">
        <f t="shared" si="136"/>
        <v>0</v>
      </c>
      <c r="G221" s="48">
        <f t="shared" si="136"/>
        <v>0</v>
      </c>
      <c r="H221" s="49">
        <f t="shared" si="136"/>
        <v>0</v>
      </c>
      <c r="I221" s="48">
        <f t="shared" si="136"/>
        <v>0</v>
      </c>
      <c r="J221" s="49">
        <f t="shared" si="136"/>
        <v>0</v>
      </c>
      <c r="K221" s="48">
        <f t="shared" si="136"/>
        <v>0</v>
      </c>
      <c r="L221" s="49">
        <f t="shared" si="136"/>
        <v>0</v>
      </c>
      <c r="M221" s="48">
        <f t="shared" si="136"/>
        <v>0</v>
      </c>
      <c r="N221" s="49">
        <f t="shared" si="136"/>
        <v>0</v>
      </c>
      <c r="O221" s="50">
        <f>SUM(C221:N221)</f>
        <v>0</v>
      </c>
    </row>
    <row r="222" spans="1:23" ht="13.5" thickBot="1">
      <c r="A222" s="51"/>
      <c r="B222" s="52" t="s">
        <v>59</v>
      </c>
      <c r="C222" s="53">
        <f t="shared" ref="C222:O222" si="137">C221/C$197</f>
        <v>0</v>
      </c>
      <c r="D222" s="54">
        <f t="shared" si="137"/>
        <v>0</v>
      </c>
      <c r="E222" s="53">
        <f t="shared" si="137"/>
        <v>0</v>
      </c>
      <c r="F222" s="54">
        <f t="shared" si="137"/>
        <v>0</v>
      </c>
      <c r="G222" s="53">
        <f t="shared" si="137"/>
        <v>0</v>
      </c>
      <c r="H222" s="54">
        <f t="shared" si="137"/>
        <v>0</v>
      </c>
      <c r="I222" s="53" t="e">
        <f t="shared" si="137"/>
        <v>#DIV/0!</v>
      </c>
      <c r="J222" s="54" t="e">
        <f t="shared" si="137"/>
        <v>#DIV/0!</v>
      </c>
      <c r="K222" s="53" t="e">
        <f t="shared" si="137"/>
        <v>#DIV/0!</v>
      </c>
      <c r="L222" s="54" t="e">
        <f t="shared" si="137"/>
        <v>#DIV/0!</v>
      </c>
      <c r="M222" s="53" t="e">
        <f t="shared" si="137"/>
        <v>#DIV/0!</v>
      </c>
      <c r="N222" s="54" t="e">
        <f t="shared" si="137"/>
        <v>#DIV/0!</v>
      </c>
      <c r="O222" s="55">
        <f t="shared" si="137"/>
        <v>0</v>
      </c>
    </row>
    <row r="223" spans="1:23">
      <c r="A223" s="28" t="s">
        <v>65</v>
      </c>
      <c r="B223" s="29" t="s">
        <v>55</v>
      </c>
      <c r="C223" s="30">
        <f t="shared" ref="C223:O223" si="138">C224/C$197</f>
        <v>1322.0528124143786</v>
      </c>
      <c r="D223" s="31">
        <f t="shared" si="138"/>
        <v>1607.4679029830445</v>
      </c>
      <c r="E223" s="30">
        <f t="shared" si="138"/>
        <v>1385.9539873941924</v>
      </c>
      <c r="F223" s="31">
        <f t="shared" si="138"/>
        <v>1510.7993179942853</v>
      </c>
      <c r="G223" s="30">
        <f t="shared" si="138"/>
        <v>1339.1009886323031</v>
      </c>
      <c r="H223" s="31">
        <f t="shared" si="138"/>
        <v>2896.5209055642399</v>
      </c>
      <c r="I223" s="30" t="e">
        <f t="shared" si="138"/>
        <v>#DIV/0!</v>
      </c>
      <c r="J223" s="31" t="e">
        <f t="shared" si="138"/>
        <v>#DIV/0!</v>
      </c>
      <c r="K223" s="30" t="e">
        <f t="shared" si="138"/>
        <v>#DIV/0!</v>
      </c>
      <c r="L223" s="31" t="e">
        <f t="shared" si="138"/>
        <v>#DIV/0!</v>
      </c>
      <c r="M223" s="30" t="e">
        <f t="shared" si="138"/>
        <v>#DIV/0!</v>
      </c>
      <c r="N223" s="31" t="e">
        <f t="shared" si="138"/>
        <v>#DIV/0!</v>
      </c>
      <c r="O223" s="32">
        <f t="shared" si="138"/>
        <v>3048.6588740342208</v>
      </c>
      <c r="Q223" s="33"/>
    </row>
    <row r="224" spans="1:23">
      <c r="A224" s="182" t="s">
        <v>64</v>
      </c>
      <c r="B224" s="35" t="s">
        <v>57</v>
      </c>
      <c r="C224" s="36">
        <v>34674</v>
      </c>
      <c r="D224" s="37">
        <v>37084</v>
      </c>
      <c r="E224" s="36">
        <v>32746</v>
      </c>
      <c r="F224" s="37">
        <v>35200</v>
      </c>
      <c r="G224" s="36">
        <f>'[14]ND WTP 2011'!AE5</f>
        <v>34524</v>
      </c>
      <c r="H224" s="37">
        <f>'[14]ND WTP 2011'!AF5</f>
        <v>33135</v>
      </c>
      <c r="I224" s="36">
        <f>'[14]ND WTP 2011'!AG5</f>
        <v>33733</v>
      </c>
      <c r="J224" s="37">
        <f>'[14]ND WTP 2011'!AH5</f>
        <v>33146</v>
      </c>
      <c r="K224" s="36">
        <f>'[14]ND WTP 2011'!AI5</f>
        <v>33146</v>
      </c>
      <c r="L224" s="37">
        <f>'[14]ND WTP 2011'!AJ5</f>
        <v>33146</v>
      </c>
      <c r="M224" s="36">
        <f>'[14]ND WTP 2011'!AK5</f>
        <v>33146</v>
      </c>
      <c r="N224" s="37">
        <f>'[14]ND WTP 2011'!AL5</f>
        <v>33146</v>
      </c>
      <c r="O224" s="38">
        <f>SUM(C224:N224)</f>
        <v>406826</v>
      </c>
      <c r="Q224" s="33"/>
      <c r="R224" s="57"/>
      <c r="S224" s="57"/>
      <c r="T224" s="57"/>
      <c r="U224" s="57"/>
      <c r="V224" s="41"/>
      <c r="W224" s="8"/>
    </row>
    <row r="225" spans="1:23" ht="15.75">
      <c r="A225" s="42"/>
      <c r="B225" s="35" t="s">
        <v>58</v>
      </c>
      <c r="C225" s="43">
        <f>C226/C224</f>
        <v>0.22</v>
      </c>
      <c r="D225" s="44">
        <f>D226/D224</f>
        <v>0.22</v>
      </c>
      <c r="E225" s="43">
        <f>E226/E224</f>
        <v>0.22</v>
      </c>
      <c r="F225" s="44">
        <f>F226/F224</f>
        <v>0.22</v>
      </c>
      <c r="G225" s="43">
        <f t="shared" ref="G225:N225" si="139">F225</f>
        <v>0.22</v>
      </c>
      <c r="H225" s="44">
        <f t="shared" si="139"/>
        <v>0.22</v>
      </c>
      <c r="I225" s="43">
        <f t="shared" si="139"/>
        <v>0.22</v>
      </c>
      <c r="J225" s="44">
        <f t="shared" si="139"/>
        <v>0.22</v>
      </c>
      <c r="K225" s="43">
        <f t="shared" si="139"/>
        <v>0.22</v>
      </c>
      <c r="L225" s="44">
        <f t="shared" si="139"/>
        <v>0.22</v>
      </c>
      <c r="M225" s="43">
        <f t="shared" si="139"/>
        <v>0.22</v>
      </c>
      <c r="N225" s="44">
        <f t="shared" si="139"/>
        <v>0.22</v>
      </c>
      <c r="O225" s="45">
        <f>IF(O224=0,0,+O226/O224)</f>
        <v>0.21999999999999997</v>
      </c>
      <c r="Q225" s="33"/>
      <c r="R225" s="46"/>
      <c r="S225" s="46"/>
      <c r="T225" s="47"/>
      <c r="U225" s="47"/>
      <c r="V225" s="41"/>
      <c r="W225" s="8"/>
    </row>
    <row r="226" spans="1:23">
      <c r="A226" s="42"/>
      <c r="B226" s="35" t="s">
        <v>15</v>
      </c>
      <c r="C226" s="48">
        <v>7628.28</v>
      </c>
      <c r="D226" s="49">
        <v>8158.48</v>
      </c>
      <c r="E226" s="48">
        <v>7204.12</v>
      </c>
      <c r="F226" s="49">
        <v>7744</v>
      </c>
      <c r="G226" s="48">
        <f t="shared" ref="G226:N226" si="140">G224*G225</f>
        <v>7595.28</v>
      </c>
      <c r="H226" s="49">
        <f t="shared" si="140"/>
        <v>7289.7</v>
      </c>
      <c r="I226" s="48">
        <f t="shared" si="140"/>
        <v>7421.26</v>
      </c>
      <c r="J226" s="49">
        <f t="shared" si="140"/>
        <v>7292.12</v>
      </c>
      <c r="K226" s="48">
        <f t="shared" si="140"/>
        <v>7292.12</v>
      </c>
      <c r="L226" s="49">
        <f t="shared" si="140"/>
        <v>7292.12</v>
      </c>
      <c r="M226" s="48">
        <f t="shared" si="140"/>
        <v>7292.12</v>
      </c>
      <c r="N226" s="49">
        <f t="shared" si="140"/>
        <v>7292.12</v>
      </c>
      <c r="O226" s="50">
        <f>SUM(C226:N226)</f>
        <v>89501.719999999987</v>
      </c>
      <c r="Q226" s="33"/>
      <c r="R226" s="40"/>
      <c r="S226" s="40"/>
      <c r="T226" s="40"/>
      <c r="U226" s="40"/>
      <c r="V226" s="41"/>
    </row>
    <row r="227" spans="1:23" ht="16.5" thickBot="1">
      <c r="A227" s="51"/>
      <c r="B227" s="52" t="s">
        <v>59</v>
      </c>
      <c r="C227" s="53">
        <f t="shared" ref="C227:O227" si="141">C226/C$197</f>
        <v>290.85161873116328</v>
      </c>
      <c r="D227" s="54">
        <f t="shared" si="141"/>
        <v>353.64293865626973</v>
      </c>
      <c r="E227" s="53">
        <f t="shared" si="141"/>
        <v>304.9098772267223</v>
      </c>
      <c r="F227" s="54">
        <f t="shared" si="141"/>
        <v>332.37584995874278</v>
      </c>
      <c r="G227" s="53">
        <f t="shared" si="141"/>
        <v>294.60221749910664</v>
      </c>
      <c r="H227" s="54">
        <f t="shared" si="141"/>
        <v>637.23459922413269</v>
      </c>
      <c r="I227" s="53" t="e">
        <f t="shared" si="141"/>
        <v>#DIV/0!</v>
      </c>
      <c r="J227" s="54" t="e">
        <f t="shared" si="141"/>
        <v>#DIV/0!</v>
      </c>
      <c r="K227" s="53" t="e">
        <f t="shared" si="141"/>
        <v>#DIV/0!</v>
      </c>
      <c r="L227" s="54" t="e">
        <f t="shared" si="141"/>
        <v>#DIV/0!</v>
      </c>
      <c r="M227" s="53" t="e">
        <f t="shared" si="141"/>
        <v>#DIV/0!</v>
      </c>
      <c r="N227" s="54" t="e">
        <f t="shared" si="141"/>
        <v>#DIV/0!</v>
      </c>
      <c r="O227" s="55">
        <f t="shared" si="141"/>
        <v>670.7049522875285</v>
      </c>
      <c r="Q227" s="33"/>
      <c r="R227" s="56"/>
      <c r="S227" s="56"/>
      <c r="T227" s="57"/>
      <c r="U227" s="57"/>
      <c r="V227" s="41"/>
    </row>
    <row r="228" spans="1:23">
      <c r="A228" s="28" t="s">
        <v>66</v>
      </c>
      <c r="B228" s="29" t="s">
        <v>55</v>
      </c>
      <c r="C228" s="30">
        <f t="shared" ref="C228:O228" si="142">C229/C$197</f>
        <v>23.753789644522058</v>
      </c>
      <c r="D228" s="31">
        <f t="shared" si="142"/>
        <v>22.887041656106337</v>
      </c>
      <c r="E228" s="30">
        <f t="shared" si="142"/>
        <v>37.541720723711251</v>
      </c>
      <c r="F228" s="31">
        <f t="shared" si="142"/>
        <v>31.503599414994472</v>
      </c>
      <c r="G228" s="30">
        <f t="shared" si="142"/>
        <v>37.236037223004601</v>
      </c>
      <c r="H228" s="31">
        <f t="shared" si="142"/>
        <v>103.50024904747427</v>
      </c>
      <c r="I228" s="30" t="e">
        <f t="shared" si="142"/>
        <v>#DIV/0!</v>
      </c>
      <c r="J228" s="31" t="e">
        <f t="shared" si="142"/>
        <v>#DIV/0!</v>
      </c>
      <c r="K228" s="30" t="e">
        <f t="shared" si="142"/>
        <v>#DIV/0!</v>
      </c>
      <c r="L228" s="31" t="e">
        <f t="shared" si="142"/>
        <v>#DIV/0!</v>
      </c>
      <c r="M228" s="30" t="e">
        <f t="shared" si="142"/>
        <v>#DIV/0!</v>
      </c>
      <c r="N228" s="31" t="e">
        <f t="shared" si="142"/>
        <v>#DIV/0!</v>
      </c>
      <c r="O228" s="32">
        <f t="shared" si="142"/>
        <v>69.557730555259965</v>
      </c>
      <c r="Q228" s="33"/>
    </row>
    <row r="229" spans="1:23">
      <c r="A229" s="34" t="s">
        <v>64</v>
      </c>
      <c r="B229" s="35" t="s">
        <v>57</v>
      </c>
      <c r="C229" s="36">
        <v>623</v>
      </c>
      <c r="D229" s="37">
        <v>528</v>
      </c>
      <c r="E229" s="36">
        <v>887</v>
      </c>
      <c r="F229" s="37">
        <v>734</v>
      </c>
      <c r="G229" s="36">
        <f>'[14]ND WTP 2011'!AE56</f>
        <v>960</v>
      </c>
      <c r="H229" s="37">
        <f>'[14]ND WTP 2011'!AF56</f>
        <v>1184</v>
      </c>
      <c r="I229" s="36">
        <f>'[14]ND WTP 2011'!AG56</f>
        <v>663</v>
      </c>
      <c r="J229" s="37">
        <f>'[14]ND WTP 2011'!AH56</f>
        <v>823.06971149042636</v>
      </c>
      <c r="K229" s="36">
        <f>'[14]ND WTP 2011'!AI56</f>
        <v>840.69642750092919</v>
      </c>
      <c r="L229" s="37">
        <f>'[14]ND WTP 2011'!AJ56</f>
        <v>742.28059644228813</v>
      </c>
      <c r="M229" s="36">
        <f>'[14]ND WTP 2011'!AK56</f>
        <v>603.71502335972377</v>
      </c>
      <c r="N229" s="37">
        <f>'[14]ND WTP 2011'!AL56</f>
        <v>693.31749641311342</v>
      </c>
      <c r="O229" s="38">
        <f>SUM(C229:N229)</f>
        <v>9282.0792552064813</v>
      </c>
      <c r="Q229" s="33"/>
      <c r="R229" s="57"/>
      <c r="S229" s="57"/>
      <c r="T229" s="57"/>
      <c r="U229" s="57"/>
      <c r="V229" s="41"/>
      <c r="W229" s="8"/>
    </row>
    <row r="230" spans="1:23" ht="15.75">
      <c r="A230" s="42"/>
      <c r="B230" s="35" t="s">
        <v>58</v>
      </c>
      <c r="C230" s="43">
        <f>C231/C229</f>
        <v>0.42000000000000004</v>
      </c>
      <c r="D230" s="44">
        <f>D231/D229</f>
        <v>0.42</v>
      </c>
      <c r="E230" s="43">
        <f>E231/E229</f>
        <v>0.42000000000000004</v>
      </c>
      <c r="F230" s="44">
        <f>F231/F229</f>
        <v>0.42</v>
      </c>
      <c r="G230" s="43">
        <f t="shared" ref="G230:N230" si="143">F230</f>
        <v>0.42</v>
      </c>
      <c r="H230" s="44">
        <f t="shared" si="143"/>
        <v>0.42</v>
      </c>
      <c r="I230" s="43">
        <f t="shared" si="143"/>
        <v>0.42</v>
      </c>
      <c r="J230" s="44">
        <f t="shared" si="143"/>
        <v>0.42</v>
      </c>
      <c r="K230" s="43">
        <f t="shared" si="143"/>
        <v>0.42</v>
      </c>
      <c r="L230" s="44">
        <f t="shared" si="143"/>
        <v>0.42</v>
      </c>
      <c r="M230" s="43">
        <f t="shared" si="143"/>
        <v>0.42</v>
      </c>
      <c r="N230" s="44">
        <f t="shared" si="143"/>
        <v>0.42</v>
      </c>
      <c r="O230" s="45">
        <f>IF(O229=0,0,+O231/O229)</f>
        <v>0.42</v>
      </c>
      <c r="Q230" s="33"/>
      <c r="R230" s="46"/>
      <c r="S230" s="46"/>
      <c r="T230" s="47"/>
      <c r="U230" s="47"/>
      <c r="V230" s="41"/>
      <c r="W230" s="8"/>
    </row>
    <row r="231" spans="1:23">
      <c r="A231" s="42"/>
      <c r="B231" s="35" t="s">
        <v>15</v>
      </c>
      <c r="C231" s="48">
        <v>261.66000000000003</v>
      </c>
      <c r="D231" s="49">
        <v>221.76</v>
      </c>
      <c r="E231" s="48">
        <v>372.54</v>
      </c>
      <c r="F231" s="49">
        <v>308.27999999999997</v>
      </c>
      <c r="G231" s="48">
        <f t="shared" ref="G231:N231" si="144">G229*G230</f>
        <v>403.2</v>
      </c>
      <c r="H231" s="49">
        <f t="shared" si="144"/>
        <v>497.28</v>
      </c>
      <c r="I231" s="48">
        <f t="shared" si="144"/>
        <v>278.45999999999998</v>
      </c>
      <c r="J231" s="49">
        <f t="shared" si="144"/>
        <v>345.68927882597904</v>
      </c>
      <c r="K231" s="48">
        <f t="shared" si="144"/>
        <v>353.09249955039024</v>
      </c>
      <c r="L231" s="49">
        <f t="shared" si="144"/>
        <v>311.75785050576098</v>
      </c>
      <c r="M231" s="48">
        <f t="shared" si="144"/>
        <v>253.56030981108398</v>
      </c>
      <c r="N231" s="49">
        <f t="shared" si="144"/>
        <v>291.19334849350764</v>
      </c>
      <c r="O231" s="50">
        <f>SUM(C231:N231)</f>
        <v>3898.4732871867222</v>
      </c>
      <c r="Q231" s="33"/>
      <c r="R231" s="40"/>
      <c r="S231" s="40"/>
      <c r="T231" s="40"/>
      <c r="U231" s="40"/>
      <c r="V231" s="41"/>
    </row>
    <row r="232" spans="1:23" ht="16.5" thickBot="1">
      <c r="A232" s="51"/>
      <c r="B232" s="52" t="s">
        <v>59</v>
      </c>
      <c r="C232" s="53">
        <f t="shared" ref="C232:O232" si="145">C231/C$197</f>
        <v>9.976591650699266</v>
      </c>
      <c r="D232" s="54">
        <f t="shared" si="145"/>
        <v>9.612557495564662</v>
      </c>
      <c r="E232" s="53">
        <f t="shared" si="145"/>
        <v>15.767522703958726</v>
      </c>
      <c r="F232" s="54">
        <f t="shared" si="145"/>
        <v>13.231511754297678</v>
      </c>
      <c r="G232" s="53">
        <f t="shared" si="145"/>
        <v>15.639135633661933</v>
      </c>
      <c r="H232" s="54">
        <f t="shared" si="145"/>
        <v>43.470104599939191</v>
      </c>
      <c r="I232" s="53" t="e">
        <f t="shared" si="145"/>
        <v>#DIV/0!</v>
      </c>
      <c r="J232" s="54" t="e">
        <f t="shared" si="145"/>
        <v>#DIV/0!</v>
      </c>
      <c r="K232" s="53" t="e">
        <f t="shared" si="145"/>
        <v>#DIV/0!</v>
      </c>
      <c r="L232" s="54" t="e">
        <f t="shared" si="145"/>
        <v>#DIV/0!</v>
      </c>
      <c r="M232" s="53" t="e">
        <f t="shared" si="145"/>
        <v>#DIV/0!</v>
      </c>
      <c r="N232" s="54" t="e">
        <f t="shared" si="145"/>
        <v>#DIV/0!</v>
      </c>
      <c r="O232" s="55">
        <f t="shared" si="145"/>
        <v>29.214246833209188</v>
      </c>
      <c r="Q232" s="33"/>
      <c r="R232" s="46"/>
      <c r="S232" s="56"/>
      <c r="T232" s="57"/>
      <c r="U232" s="57"/>
      <c r="V232" s="41"/>
    </row>
    <row r="233" spans="1:23">
      <c r="A233" s="69" t="s">
        <v>67</v>
      </c>
      <c r="B233" s="29" t="s">
        <v>55</v>
      </c>
      <c r="C233" s="30">
        <v>0</v>
      </c>
      <c r="D233" s="31">
        <v>0</v>
      </c>
      <c r="E233" s="30">
        <v>0</v>
      </c>
      <c r="F233" s="31">
        <v>0</v>
      </c>
      <c r="G233" s="30">
        <v>0</v>
      </c>
      <c r="H233" s="31">
        <v>0</v>
      </c>
      <c r="I233" s="30">
        <v>0</v>
      </c>
      <c r="J233" s="31">
        <v>0</v>
      </c>
      <c r="K233" s="30">
        <v>0</v>
      </c>
      <c r="L233" s="31">
        <v>0</v>
      </c>
      <c r="M233" s="30">
        <v>0</v>
      </c>
      <c r="N233" s="31">
        <v>0</v>
      </c>
      <c r="O233" s="32">
        <f>O234/O$197</f>
        <v>0</v>
      </c>
    </row>
    <row r="234" spans="1:23">
      <c r="A234" s="34" t="s">
        <v>64</v>
      </c>
      <c r="B234" s="35" t="s">
        <v>57</v>
      </c>
      <c r="C234" s="65">
        <f t="shared" ref="C234:N234" si="146">C$197*C233</f>
        <v>0</v>
      </c>
      <c r="D234" s="66">
        <f t="shared" si="146"/>
        <v>0</v>
      </c>
      <c r="E234" s="65">
        <f t="shared" si="146"/>
        <v>0</v>
      </c>
      <c r="F234" s="66">
        <f t="shared" si="146"/>
        <v>0</v>
      </c>
      <c r="G234" s="65">
        <f t="shared" si="146"/>
        <v>0</v>
      </c>
      <c r="H234" s="66">
        <f t="shared" si="146"/>
        <v>0</v>
      </c>
      <c r="I234" s="65">
        <f t="shared" si="146"/>
        <v>0</v>
      </c>
      <c r="J234" s="66">
        <f t="shared" si="146"/>
        <v>0</v>
      </c>
      <c r="K234" s="65">
        <f t="shared" si="146"/>
        <v>0</v>
      </c>
      <c r="L234" s="66">
        <f t="shared" si="146"/>
        <v>0</v>
      </c>
      <c r="M234" s="65">
        <f t="shared" si="146"/>
        <v>0</v>
      </c>
      <c r="N234" s="66">
        <f t="shared" si="146"/>
        <v>0</v>
      </c>
      <c r="O234" s="67">
        <f>SUM(C234:N234)</f>
        <v>0</v>
      </c>
    </row>
    <row r="235" spans="1:23">
      <c r="A235" s="42"/>
      <c r="B235" s="35" t="s">
        <v>58</v>
      </c>
      <c r="C235" s="43">
        <f>'[14]Price Changes'!D46</f>
        <v>0</v>
      </c>
      <c r="D235" s="44">
        <f t="shared" ref="D235:N235" si="147">C235</f>
        <v>0</v>
      </c>
      <c r="E235" s="43">
        <f t="shared" si="147"/>
        <v>0</v>
      </c>
      <c r="F235" s="44">
        <f t="shared" si="147"/>
        <v>0</v>
      </c>
      <c r="G235" s="43">
        <f t="shared" si="147"/>
        <v>0</v>
      </c>
      <c r="H235" s="44">
        <f t="shared" si="147"/>
        <v>0</v>
      </c>
      <c r="I235" s="43">
        <f t="shared" si="147"/>
        <v>0</v>
      </c>
      <c r="J235" s="44">
        <f t="shared" si="147"/>
        <v>0</v>
      </c>
      <c r="K235" s="43">
        <f t="shared" si="147"/>
        <v>0</v>
      </c>
      <c r="L235" s="44">
        <f t="shared" si="147"/>
        <v>0</v>
      </c>
      <c r="M235" s="43">
        <f t="shared" si="147"/>
        <v>0</v>
      </c>
      <c r="N235" s="44">
        <f t="shared" si="147"/>
        <v>0</v>
      </c>
      <c r="O235" s="45">
        <f>IF(O234=0,0,+O236/O234)</f>
        <v>0</v>
      </c>
    </row>
    <row r="236" spans="1:23">
      <c r="A236" s="42"/>
      <c r="B236" s="35" t="s">
        <v>15</v>
      </c>
      <c r="C236" s="48">
        <f t="shared" ref="C236:N236" si="148">C234*C235</f>
        <v>0</v>
      </c>
      <c r="D236" s="49">
        <f t="shared" si="148"/>
        <v>0</v>
      </c>
      <c r="E236" s="48">
        <f t="shared" si="148"/>
        <v>0</v>
      </c>
      <c r="F236" s="49">
        <f t="shared" si="148"/>
        <v>0</v>
      </c>
      <c r="G236" s="48">
        <f t="shared" si="148"/>
        <v>0</v>
      </c>
      <c r="H236" s="49">
        <f t="shared" si="148"/>
        <v>0</v>
      </c>
      <c r="I236" s="48">
        <f t="shared" si="148"/>
        <v>0</v>
      </c>
      <c r="J236" s="49">
        <f t="shared" si="148"/>
        <v>0</v>
      </c>
      <c r="K236" s="48">
        <f t="shared" si="148"/>
        <v>0</v>
      </c>
      <c r="L236" s="49">
        <f t="shared" si="148"/>
        <v>0</v>
      </c>
      <c r="M236" s="48">
        <f t="shared" si="148"/>
        <v>0</v>
      </c>
      <c r="N236" s="49">
        <f t="shared" si="148"/>
        <v>0</v>
      </c>
      <c r="O236" s="50">
        <f>SUM(C236:N236)</f>
        <v>0</v>
      </c>
    </row>
    <row r="237" spans="1:23" ht="13.5" thickBot="1">
      <c r="A237" s="51"/>
      <c r="B237" s="52" t="s">
        <v>59</v>
      </c>
      <c r="C237" s="53">
        <f t="shared" ref="C237:O237" si="149">C236/C$197</f>
        <v>0</v>
      </c>
      <c r="D237" s="54">
        <f t="shared" si="149"/>
        <v>0</v>
      </c>
      <c r="E237" s="53">
        <f t="shared" si="149"/>
        <v>0</v>
      </c>
      <c r="F237" s="54">
        <f t="shared" si="149"/>
        <v>0</v>
      </c>
      <c r="G237" s="53">
        <f t="shared" si="149"/>
        <v>0</v>
      </c>
      <c r="H237" s="54">
        <f t="shared" si="149"/>
        <v>0</v>
      </c>
      <c r="I237" s="53" t="e">
        <f t="shared" si="149"/>
        <v>#DIV/0!</v>
      </c>
      <c r="J237" s="54" t="e">
        <f t="shared" si="149"/>
        <v>#DIV/0!</v>
      </c>
      <c r="K237" s="53" t="e">
        <f t="shared" si="149"/>
        <v>#DIV/0!</v>
      </c>
      <c r="L237" s="54" t="e">
        <f t="shared" si="149"/>
        <v>#DIV/0!</v>
      </c>
      <c r="M237" s="53" t="e">
        <f t="shared" si="149"/>
        <v>#DIV/0!</v>
      </c>
      <c r="N237" s="54" t="e">
        <f t="shared" si="149"/>
        <v>#DIV/0!</v>
      </c>
      <c r="O237" s="55">
        <f t="shared" si="149"/>
        <v>0</v>
      </c>
    </row>
    <row r="238" spans="1:23">
      <c r="A238" s="28" t="s">
        <v>68</v>
      </c>
      <c r="B238" s="29" t="s">
        <v>55</v>
      </c>
      <c r="C238" s="30">
        <f t="shared" ref="C238:O238" si="150">C239/C$197</f>
        <v>8.9982252907017752</v>
      </c>
      <c r="D238" s="31">
        <f t="shared" si="150"/>
        <v>0</v>
      </c>
      <c r="E238" s="30">
        <f t="shared" si="150"/>
        <v>0</v>
      </c>
      <c r="F238" s="31">
        <f t="shared" si="150"/>
        <v>9.6570979133157451</v>
      </c>
      <c r="G238" s="30">
        <f t="shared" si="150"/>
        <v>3.8011787998483864</v>
      </c>
      <c r="H238" s="31">
        <f t="shared" si="150"/>
        <v>24.126747244174744</v>
      </c>
      <c r="I238" s="30" t="e">
        <f t="shared" si="150"/>
        <v>#DIV/0!</v>
      </c>
      <c r="J238" s="31" t="e">
        <f t="shared" si="150"/>
        <v>#DIV/0!</v>
      </c>
      <c r="K238" s="30" t="e">
        <f t="shared" si="150"/>
        <v>#DIV/0!</v>
      </c>
      <c r="L238" s="31" t="e">
        <f t="shared" si="150"/>
        <v>#DIV/0!</v>
      </c>
      <c r="M238" s="30" t="e">
        <f t="shared" si="150"/>
        <v>#DIV/0!</v>
      </c>
      <c r="N238" s="31" t="e">
        <f t="shared" si="150"/>
        <v>#DIV/0!</v>
      </c>
      <c r="O238" s="32">
        <f t="shared" si="150"/>
        <v>10.563531779538017</v>
      </c>
      <c r="Q238" s="33"/>
    </row>
    <row r="239" spans="1:23">
      <c r="A239" s="34" t="s">
        <v>64</v>
      </c>
      <c r="B239" s="35" t="s">
        <v>57</v>
      </c>
      <c r="C239" s="36">
        <v>236</v>
      </c>
      <c r="D239" s="37">
        <v>0</v>
      </c>
      <c r="E239" s="36">
        <v>0</v>
      </c>
      <c r="F239" s="37">
        <v>225</v>
      </c>
      <c r="G239" s="36">
        <f>'[14]ND WTP 2011'!AE22</f>
        <v>98</v>
      </c>
      <c r="H239" s="37">
        <f>'[14]ND WTP 2011'!AF22</f>
        <v>276</v>
      </c>
      <c r="I239" s="36">
        <f>'[14]ND WTP 2011'!AG22</f>
        <v>180</v>
      </c>
      <c r="J239" s="37">
        <f>'[14]ND WTP 2011'!AH22</f>
        <v>77.851329046387733</v>
      </c>
      <c r="K239" s="36">
        <f>'[14]ND WTP 2011'!AI22</f>
        <v>74.228059644228807</v>
      </c>
      <c r="L239" s="37">
        <f>'[14]ND WTP 2011'!AJ22</f>
        <v>52.586369431333615</v>
      </c>
      <c r="M239" s="36">
        <f>'[14]ND WTP 2011'!AK22</f>
        <v>159.57074299508025</v>
      </c>
      <c r="N239" s="37">
        <f>'[14]ND WTP 2011'!AL22</f>
        <v>30.406085118117474</v>
      </c>
      <c r="O239" s="38">
        <f>SUM(C239:N239)</f>
        <v>1409.642586235148</v>
      </c>
      <c r="Q239" s="33"/>
      <c r="R239" s="57"/>
      <c r="S239" s="68"/>
      <c r="T239" s="68"/>
      <c r="U239" s="33"/>
      <c r="V239" s="41"/>
    </row>
    <row r="240" spans="1:23" ht="15.75">
      <c r="A240" s="42"/>
      <c r="B240" s="35" t="s">
        <v>58</v>
      </c>
      <c r="C240" s="43">
        <f>C241/C239</f>
        <v>1.0361016949152544</v>
      </c>
      <c r="D240" s="44">
        <v>0</v>
      </c>
      <c r="E240" s="43">
        <f>D240</f>
        <v>0</v>
      </c>
      <c r="F240" s="44">
        <f>F241/F239</f>
        <v>1.25</v>
      </c>
      <c r="G240" s="43">
        <f t="shared" ref="G240:N240" si="151">F240</f>
        <v>1.25</v>
      </c>
      <c r="H240" s="44">
        <f t="shared" si="151"/>
        <v>1.25</v>
      </c>
      <c r="I240" s="43">
        <f t="shared" si="151"/>
        <v>1.25</v>
      </c>
      <c r="J240" s="44">
        <f t="shared" si="151"/>
        <v>1.25</v>
      </c>
      <c r="K240" s="43">
        <f t="shared" si="151"/>
        <v>1.25</v>
      </c>
      <c r="L240" s="44">
        <f t="shared" si="151"/>
        <v>1.25</v>
      </c>
      <c r="M240" s="43">
        <f t="shared" si="151"/>
        <v>1.25</v>
      </c>
      <c r="N240" s="44">
        <f t="shared" si="151"/>
        <v>1.25</v>
      </c>
      <c r="O240" s="45">
        <f>IF(O239=0,0,+O241/O239)</f>
        <v>1.2141895041389028</v>
      </c>
      <c r="Q240" s="33"/>
      <c r="R240" s="46"/>
      <c r="S240" s="80"/>
      <c r="T240" s="46"/>
      <c r="U240" s="47"/>
      <c r="V240" s="41"/>
    </row>
    <row r="241" spans="1:22">
      <c r="A241" s="42"/>
      <c r="B241" s="35" t="s">
        <v>15</v>
      </c>
      <c r="C241" s="48">
        <v>244.52</v>
      </c>
      <c r="D241" s="49">
        <f>D239*D240</f>
        <v>0</v>
      </c>
      <c r="E241" s="48">
        <f>E239*E240</f>
        <v>0</v>
      </c>
      <c r="F241" s="49">
        <v>281.25</v>
      </c>
      <c r="G241" s="48">
        <f t="shared" ref="G241:N241" si="152">G239*G240</f>
        <v>122.5</v>
      </c>
      <c r="H241" s="49">
        <f t="shared" si="152"/>
        <v>345</v>
      </c>
      <c r="I241" s="48">
        <f t="shared" si="152"/>
        <v>225</v>
      </c>
      <c r="J241" s="49">
        <f t="shared" si="152"/>
        <v>97.314161307984662</v>
      </c>
      <c r="K241" s="48">
        <f t="shared" si="152"/>
        <v>92.785074555286002</v>
      </c>
      <c r="L241" s="49">
        <f t="shared" si="152"/>
        <v>65.732961789167021</v>
      </c>
      <c r="M241" s="48">
        <f t="shared" si="152"/>
        <v>199.46342874385033</v>
      </c>
      <c r="N241" s="49">
        <f t="shared" si="152"/>
        <v>38.007606397646839</v>
      </c>
      <c r="O241" s="50">
        <f>SUM(C241:N241)</f>
        <v>1711.5732327939349</v>
      </c>
      <c r="Q241" s="33"/>
      <c r="R241" s="40"/>
      <c r="S241" s="40"/>
      <c r="T241" s="40"/>
      <c r="U241" s="40"/>
      <c r="V241" s="41"/>
    </row>
    <row r="242" spans="1:22" ht="16.5" thickBot="1">
      <c r="A242" s="51"/>
      <c r="B242" s="52" t="s">
        <v>59</v>
      </c>
      <c r="C242" s="53">
        <f t="shared" ref="C242:O242" si="153">C241/C$197</f>
        <v>9.3230764749254167</v>
      </c>
      <c r="D242" s="54">
        <f t="shared" si="153"/>
        <v>0</v>
      </c>
      <c r="E242" s="53">
        <f t="shared" si="153"/>
        <v>0</v>
      </c>
      <c r="F242" s="54">
        <f t="shared" si="153"/>
        <v>12.07137239164468</v>
      </c>
      <c r="G242" s="53">
        <f t="shared" si="153"/>
        <v>4.7514734998104835</v>
      </c>
      <c r="H242" s="54">
        <f t="shared" si="153"/>
        <v>30.158434055218432</v>
      </c>
      <c r="I242" s="53" t="e">
        <f t="shared" si="153"/>
        <v>#DIV/0!</v>
      </c>
      <c r="J242" s="54" t="e">
        <f t="shared" si="153"/>
        <v>#DIV/0!</v>
      </c>
      <c r="K242" s="53" t="e">
        <f t="shared" si="153"/>
        <v>#DIV/0!</v>
      </c>
      <c r="L242" s="54" t="e">
        <f t="shared" si="153"/>
        <v>#DIV/0!</v>
      </c>
      <c r="M242" s="53" t="e">
        <f t="shared" si="153"/>
        <v>#DIV/0!</v>
      </c>
      <c r="N242" s="54" t="e">
        <f t="shared" si="153"/>
        <v>#DIV/0!</v>
      </c>
      <c r="O242" s="55">
        <f t="shared" si="153"/>
        <v>12.826129413352808</v>
      </c>
      <c r="Q242" s="33"/>
      <c r="R242" s="56"/>
      <c r="S242" s="80"/>
      <c r="T242" s="56"/>
      <c r="U242" s="57"/>
      <c r="V242" s="41"/>
    </row>
    <row r="243" spans="1:22">
      <c r="A243" s="28" t="s">
        <v>69</v>
      </c>
      <c r="B243" s="29" t="s">
        <v>55</v>
      </c>
      <c r="C243" s="30">
        <v>0</v>
      </c>
      <c r="D243" s="31">
        <v>0</v>
      </c>
      <c r="E243" s="30">
        <v>0</v>
      </c>
      <c r="F243" s="31">
        <v>0</v>
      </c>
      <c r="G243" s="30">
        <v>0</v>
      </c>
      <c r="H243" s="31">
        <v>0</v>
      </c>
      <c r="I243" s="30">
        <v>0</v>
      </c>
      <c r="J243" s="31">
        <v>0</v>
      </c>
      <c r="K243" s="30">
        <v>0</v>
      </c>
      <c r="L243" s="31">
        <v>0</v>
      </c>
      <c r="M243" s="30">
        <v>0</v>
      </c>
      <c r="N243" s="31">
        <v>0</v>
      </c>
      <c r="O243" s="32">
        <f>O244/O$197</f>
        <v>0</v>
      </c>
      <c r="Q243" s="33"/>
    </row>
    <row r="244" spans="1:22">
      <c r="A244" s="34" t="s">
        <v>64</v>
      </c>
      <c r="B244" s="35" t="s">
        <v>57</v>
      </c>
      <c r="C244" s="65">
        <f t="shared" ref="C244:N244" si="154">C$197*C243</f>
        <v>0</v>
      </c>
      <c r="D244" s="66">
        <f t="shared" si="154"/>
        <v>0</v>
      </c>
      <c r="E244" s="65">
        <f t="shared" si="154"/>
        <v>0</v>
      </c>
      <c r="F244" s="66">
        <f t="shared" si="154"/>
        <v>0</v>
      </c>
      <c r="G244" s="65">
        <f t="shared" si="154"/>
        <v>0</v>
      </c>
      <c r="H244" s="66">
        <f t="shared" si="154"/>
        <v>0</v>
      </c>
      <c r="I244" s="65">
        <f t="shared" si="154"/>
        <v>0</v>
      </c>
      <c r="J244" s="66">
        <f t="shared" si="154"/>
        <v>0</v>
      </c>
      <c r="K244" s="65">
        <f t="shared" si="154"/>
        <v>0</v>
      </c>
      <c r="L244" s="66">
        <f t="shared" si="154"/>
        <v>0</v>
      </c>
      <c r="M244" s="65">
        <f t="shared" si="154"/>
        <v>0</v>
      </c>
      <c r="N244" s="66">
        <f t="shared" si="154"/>
        <v>0</v>
      </c>
      <c r="O244" s="67">
        <f>SUM(C244:N244)</f>
        <v>0</v>
      </c>
      <c r="Q244" s="33"/>
      <c r="R244" s="39"/>
      <c r="S244" s="39"/>
      <c r="T244" s="39"/>
      <c r="U244" s="39"/>
      <c r="V244" s="41"/>
    </row>
    <row r="245" spans="1:22" ht="15.75">
      <c r="A245" s="42"/>
      <c r="B245" s="35" t="s">
        <v>58</v>
      </c>
      <c r="C245" s="43">
        <f>'[14]Price Changes'!D48</f>
        <v>0</v>
      </c>
      <c r="D245" s="44">
        <f t="shared" ref="D245:N245" si="155">C245</f>
        <v>0</v>
      </c>
      <c r="E245" s="43">
        <f t="shared" si="155"/>
        <v>0</v>
      </c>
      <c r="F245" s="44">
        <f t="shared" si="155"/>
        <v>0</v>
      </c>
      <c r="G245" s="43">
        <f t="shared" si="155"/>
        <v>0</v>
      </c>
      <c r="H245" s="44">
        <f t="shared" si="155"/>
        <v>0</v>
      </c>
      <c r="I245" s="43">
        <f t="shared" si="155"/>
        <v>0</v>
      </c>
      <c r="J245" s="44">
        <f t="shared" si="155"/>
        <v>0</v>
      </c>
      <c r="K245" s="43">
        <f t="shared" si="155"/>
        <v>0</v>
      </c>
      <c r="L245" s="44">
        <f t="shared" si="155"/>
        <v>0</v>
      </c>
      <c r="M245" s="43">
        <f t="shared" si="155"/>
        <v>0</v>
      </c>
      <c r="N245" s="44">
        <f t="shared" si="155"/>
        <v>0</v>
      </c>
      <c r="O245" s="45">
        <f>IF(O244=0,0,+O246/O244)</f>
        <v>0</v>
      </c>
      <c r="Q245" s="33"/>
      <c r="R245" s="46"/>
      <c r="S245" s="46"/>
      <c r="T245" s="47"/>
      <c r="U245" s="47"/>
      <c r="V245" s="41"/>
    </row>
    <row r="246" spans="1:22">
      <c r="A246" s="42"/>
      <c r="B246" s="35" t="s">
        <v>15</v>
      </c>
      <c r="C246" s="48">
        <f t="shared" ref="C246:N246" si="156">C244*C245</f>
        <v>0</v>
      </c>
      <c r="D246" s="49">
        <f t="shared" si="156"/>
        <v>0</v>
      </c>
      <c r="E246" s="48">
        <f t="shared" si="156"/>
        <v>0</v>
      </c>
      <c r="F246" s="49">
        <f t="shared" si="156"/>
        <v>0</v>
      </c>
      <c r="G246" s="48">
        <f t="shared" si="156"/>
        <v>0</v>
      </c>
      <c r="H246" s="49">
        <f t="shared" si="156"/>
        <v>0</v>
      </c>
      <c r="I246" s="48">
        <f t="shared" si="156"/>
        <v>0</v>
      </c>
      <c r="J246" s="49">
        <f t="shared" si="156"/>
        <v>0</v>
      </c>
      <c r="K246" s="48">
        <f t="shared" si="156"/>
        <v>0</v>
      </c>
      <c r="L246" s="49">
        <f t="shared" si="156"/>
        <v>0</v>
      </c>
      <c r="M246" s="48">
        <f t="shared" si="156"/>
        <v>0</v>
      </c>
      <c r="N246" s="49">
        <f t="shared" si="156"/>
        <v>0</v>
      </c>
      <c r="O246" s="50">
        <f>SUM(C246:N246)</f>
        <v>0</v>
      </c>
      <c r="Q246" s="33"/>
      <c r="R246" s="40"/>
      <c r="S246" s="40"/>
      <c r="T246" s="40"/>
      <c r="U246" s="40"/>
      <c r="V246" s="41"/>
    </row>
    <row r="247" spans="1:22" ht="16.5" thickBot="1">
      <c r="A247" s="51"/>
      <c r="B247" s="52" t="s">
        <v>59</v>
      </c>
      <c r="C247" s="53">
        <f t="shared" ref="C247:O247" si="157">C246/C$197</f>
        <v>0</v>
      </c>
      <c r="D247" s="54">
        <f t="shared" si="157"/>
        <v>0</v>
      </c>
      <c r="E247" s="53">
        <f t="shared" si="157"/>
        <v>0</v>
      </c>
      <c r="F247" s="54">
        <f t="shared" si="157"/>
        <v>0</v>
      </c>
      <c r="G247" s="53">
        <f t="shared" si="157"/>
        <v>0</v>
      </c>
      <c r="H247" s="54">
        <f t="shared" si="157"/>
        <v>0</v>
      </c>
      <c r="I247" s="53" t="e">
        <f t="shared" si="157"/>
        <v>#DIV/0!</v>
      </c>
      <c r="J247" s="54" t="e">
        <f t="shared" si="157"/>
        <v>#DIV/0!</v>
      </c>
      <c r="K247" s="53" t="e">
        <f t="shared" si="157"/>
        <v>#DIV/0!</v>
      </c>
      <c r="L247" s="54" t="e">
        <f t="shared" si="157"/>
        <v>#DIV/0!</v>
      </c>
      <c r="M247" s="53" t="e">
        <f t="shared" si="157"/>
        <v>#DIV/0!</v>
      </c>
      <c r="N247" s="54" t="e">
        <f t="shared" si="157"/>
        <v>#DIV/0!</v>
      </c>
      <c r="O247" s="55">
        <f t="shared" si="157"/>
        <v>0</v>
      </c>
      <c r="Q247" s="33"/>
      <c r="R247" s="56"/>
      <c r="S247" s="56"/>
      <c r="T247" s="57"/>
      <c r="U247" s="57"/>
      <c r="V247" s="41"/>
    </row>
    <row r="248" spans="1:22">
      <c r="A248" s="28" t="s">
        <v>70</v>
      </c>
      <c r="B248" s="29" t="s">
        <v>55</v>
      </c>
      <c r="C248" s="30">
        <f t="shared" ref="C248:O248" si="158">C249/C$197</f>
        <v>0</v>
      </c>
      <c r="D248" s="31">
        <f t="shared" si="158"/>
        <v>0</v>
      </c>
      <c r="E248" s="30">
        <f t="shared" si="158"/>
        <v>0</v>
      </c>
      <c r="F248" s="31">
        <f t="shared" si="158"/>
        <v>0</v>
      </c>
      <c r="G248" s="30">
        <f t="shared" si="158"/>
        <v>0</v>
      </c>
      <c r="H248" s="31">
        <f t="shared" si="158"/>
        <v>41.959560424651727</v>
      </c>
      <c r="I248" s="30" t="e">
        <f t="shared" si="158"/>
        <v>#DIV/0!</v>
      </c>
      <c r="J248" s="31" t="e">
        <f t="shared" si="158"/>
        <v>#DIV/0!</v>
      </c>
      <c r="K248" s="30" t="e">
        <f t="shared" si="158"/>
        <v>#DIV/0!</v>
      </c>
      <c r="L248" s="31" t="e">
        <f t="shared" si="158"/>
        <v>#DIV/0!</v>
      </c>
      <c r="M248" s="30" t="e">
        <f t="shared" si="158"/>
        <v>#DIV/0!</v>
      </c>
      <c r="N248" s="31" t="e">
        <f t="shared" si="158"/>
        <v>#DIV/0!</v>
      </c>
      <c r="O248" s="32">
        <f t="shared" si="158"/>
        <v>3.5970077122318291</v>
      </c>
      <c r="P248" s="9"/>
      <c r="Q248" s="9"/>
      <c r="R248" s="9"/>
      <c r="S248" s="9"/>
      <c r="T248" s="9"/>
      <c r="U248" s="9"/>
      <c r="V248" s="70"/>
    </row>
    <row r="249" spans="1:22">
      <c r="A249" s="34" t="s">
        <v>71</v>
      </c>
      <c r="B249" s="35" t="s">
        <v>57</v>
      </c>
      <c r="C249" s="36">
        <f>'[14]ND WTP 2011'!AA124</f>
        <v>0</v>
      </c>
      <c r="D249" s="37">
        <f>'[14]ND WTP 2011'!AB124</f>
        <v>0</v>
      </c>
      <c r="E249" s="36">
        <f>'[14]ND WTP 2011'!AC124</f>
        <v>0</v>
      </c>
      <c r="F249" s="37">
        <f>'[14]ND WTP 2011'!AD124</f>
        <v>0</v>
      </c>
      <c r="G249" s="36">
        <f>'[14]ND WTP 2011'!AE124</f>
        <v>0</v>
      </c>
      <c r="H249" s="37">
        <f>'[14]ND WTP 2011'!AF124</f>
        <v>480</v>
      </c>
      <c r="I249" s="36">
        <f>'[14]ND WTP 2011'!AG124</f>
        <v>0</v>
      </c>
      <c r="J249" s="37">
        <f>'[14]ND WTP 2011'!AH124</f>
        <v>0</v>
      </c>
      <c r="K249" s="36">
        <f>'[14]ND WTP 2011'!AI124</f>
        <v>0</v>
      </c>
      <c r="L249" s="37">
        <f>'[14]ND WTP 2011'!AJ124</f>
        <v>0</v>
      </c>
      <c r="M249" s="36">
        <f>'[14]ND WTP 2011'!AK124</f>
        <v>0</v>
      </c>
      <c r="N249" s="37">
        <f>'[14]ND WTP 2011'!AL124</f>
        <v>0</v>
      </c>
      <c r="O249" s="38">
        <f>SUM(C249:N249)</f>
        <v>480</v>
      </c>
      <c r="R249" s="15"/>
      <c r="S249" s="15"/>
      <c r="T249" s="15"/>
      <c r="U249" s="15"/>
      <c r="V249" s="71"/>
    </row>
    <row r="250" spans="1:22" ht="15.75">
      <c r="A250" s="34" t="s">
        <v>56</v>
      </c>
      <c r="B250" s="35" t="s">
        <v>58</v>
      </c>
      <c r="C250" s="43">
        <f>'[14]Price Changes'!D49</f>
        <v>2.5194000000000001</v>
      </c>
      <c r="D250" s="44">
        <f t="shared" ref="D250:N250" si="159">C250</f>
        <v>2.5194000000000001</v>
      </c>
      <c r="E250" s="43">
        <f t="shared" si="159"/>
        <v>2.5194000000000001</v>
      </c>
      <c r="F250" s="44">
        <f t="shared" si="159"/>
        <v>2.5194000000000001</v>
      </c>
      <c r="G250" s="43">
        <f t="shared" si="159"/>
        <v>2.5194000000000001</v>
      </c>
      <c r="H250" s="44">
        <f t="shared" si="159"/>
        <v>2.5194000000000001</v>
      </c>
      <c r="I250" s="43">
        <f t="shared" si="159"/>
        <v>2.5194000000000001</v>
      </c>
      <c r="J250" s="44">
        <f t="shared" si="159"/>
        <v>2.5194000000000001</v>
      </c>
      <c r="K250" s="43">
        <f t="shared" si="159"/>
        <v>2.5194000000000001</v>
      </c>
      <c r="L250" s="44">
        <f t="shared" si="159"/>
        <v>2.5194000000000001</v>
      </c>
      <c r="M250" s="43">
        <f t="shared" si="159"/>
        <v>2.5194000000000001</v>
      </c>
      <c r="N250" s="44">
        <f t="shared" si="159"/>
        <v>2.5194000000000001</v>
      </c>
      <c r="O250" s="45">
        <f>IF(O249=0,0,+O251/O249)</f>
        <v>2.5194000000000001</v>
      </c>
      <c r="R250" s="72"/>
      <c r="S250" s="15"/>
      <c r="T250" s="72"/>
      <c r="U250" s="15"/>
      <c r="V250" s="15"/>
    </row>
    <row r="251" spans="1:22">
      <c r="A251" s="42"/>
      <c r="B251" s="35" t="s">
        <v>15</v>
      </c>
      <c r="C251" s="48">
        <f t="shared" ref="C251:N251" si="160">C249*C250</f>
        <v>0</v>
      </c>
      <c r="D251" s="49">
        <f t="shared" si="160"/>
        <v>0</v>
      </c>
      <c r="E251" s="48">
        <f t="shared" si="160"/>
        <v>0</v>
      </c>
      <c r="F251" s="49">
        <f t="shared" si="160"/>
        <v>0</v>
      </c>
      <c r="G251" s="48">
        <f t="shared" si="160"/>
        <v>0</v>
      </c>
      <c r="H251" s="49">
        <f t="shared" si="160"/>
        <v>1209.3120000000001</v>
      </c>
      <c r="I251" s="48">
        <f t="shared" si="160"/>
        <v>0</v>
      </c>
      <c r="J251" s="49">
        <f t="shared" si="160"/>
        <v>0</v>
      </c>
      <c r="K251" s="48">
        <f t="shared" si="160"/>
        <v>0</v>
      </c>
      <c r="L251" s="49">
        <f t="shared" si="160"/>
        <v>0</v>
      </c>
      <c r="M251" s="48">
        <f t="shared" si="160"/>
        <v>0</v>
      </c>
      <c r="N251" s="49">
        <f t="shared" si="160"/>
        <v>0</v>
      </c>
      <c r="O251" s="50">
        <f>SUM(C251:N251)</f>
        <v>1209.3120000000001</v>
      </c>
      <c r="R251" s="15"/>
      <c r="S251" s="15"/>
      <c r="T251" s="15"/>
      <c r="U251" s="15"/>
      <c r="V251" s="15"/>
    </row>
    <row r="252" spans="1:22" ht="13.5" thickBot="1">
      <c r="A252" s="51"/>
      <c r="B252" s="52" t="s">
        <v>59</v>
      </c>
      <c r="C252" s="53">
        <f t="shared" ref="C252:O252" si="161">C251/C$197</f>
        <v>0</v>
      </c>
      <c r="D252" s="54">
        <f t="shared" si="161"/>
        <v>0</v>
      </c>
      <c r="E252" s="53">
        <f t="shared" si="161"/>
        <v>0</v>
      </c>
      <c r="F252" s="54">
        <f t="shared" si="161"/>
        <v>0</v>
      </c>
      <c r="G252" s="53">
        <f t="shared" si="161"/>
        <v>0</v>
      </c>
      <c r="H252" s="54">
        <f t="shared" si="161"/>
        <v>105.71291653386758</v>
      </c>
      <c r="I252" s="53" t="e">
        <f t="shared" si="161"/>
        <v>#DIV/0!</v>
      </c>
      <c r="J252" s="54" t="e">
        <f t="shared" si="161"/>
        <v>#DIV/0!</v>
      </c>
      <c r="K252" s="53" t="e">
        <f t="shared" si="161"/>
        <v>#DIV/0!</v>
      </c>
      <c r="L252" s="54" t="e">
        <f t="shared" si="161"/>
        <v>#DIV/0!</v>
      </c>
      <c r="M252" s="53" t="e">
        <f t="shared" si="161"/>
        <v>#DIV/0!</v>
      </c>
      <c r="N252" s="54" t="e">
        <f t="shared" si="161"/>
        <v>#DIV/0!</v>
      </c>
      <c r="O252" s="55">
        <f t="shared" si="161"/>
        <v>9.0623012301968711</v>
      </c>
      <c r="S252" s="8"/>
      <c r="V252" s="41"/>
    </row>
    <row r="253" spans="1:22">
      <c r="A253" s="28" t="s">
        <v>72</v>
      </c>
      <c r="B253" s="29" t="s">
        <v>55</v>
      </c>
      <c r="C253" s="30">
        <v>0</v>
      </c>
      <c r="D253" s="31">
        <v>0</v>
      </c>
      <c r="E253" s="30">
        <v>0</v>
      </c>
      <c r="F253" s="31">
        <v>0</v>
      </c>
      <c r="G253" s="30">
        <v>0</v>
      </c>
      <c r="H253" s="31">
        <v>0</v>
      </c>
      <c r="I253" s="30">
        <v>0</v>
      </c>
      <c r="J253" s="31">
        <v>0</v>
      </c>
      <c r="K253" s="30">
        <v>0</v>
      </c>
      <c r="L253" s="31">
        <v>0</v>
      </c>
      <c r="M253" s="30">
        <v>0</v>
      </c>
      <c r="N253" s="31">
        <v>0</v>
      </c>
      <c r="O253" s="32">
        <f>O254/O$197</f>
        <v>0</v>
      </c>
      <c r="Q253" s="33"/>
    </row>
    <row r="254" spans="1:22">
      <c r="A254" s="34" t="s">
        <v>56</v>
      </c>
      <c r="B254" s="35" t="s">
        <v>57</v>
      </c>
      <c r="C254" s="65">
        <f t="shared" ref="C254:N254" si="162">C$197*C253</f>
        <v>0</v>
      </c>
      <c r="D254" s="66">
        <f t="shared" si="162"/>
        <v>0</v>
      </c>
      <c r="E254" s="65">
        <f t="shared" si="162"/>
        <v>0</v>
      </c>
      <c r="F254" s="66">
        <f t="shared" si="162"/>
        <v>0</v>
      </c>
      <c r="G254" s="65">
        <f t="shared" si="162"/>
        <v>0</v>
      </c>
      <c r="H254" s="66">
        <f t="shared" si="162"/>
        <v>0</v>
      </c>
      <c r="I254" s="65">
        <f t="shared" si="162"/>
        <v>0</v>
      </c>
      <c r="J254" s="66">
        <f t="shared" si="162"/>
        <v>0</v>
      </c>
      <c r="K254" s="65">
        <f t="shared" si="162"/>
        <v>0</v>
      </c>
      <c r="L254" s="66">
        <f t="shared" si="162"/>
        <v>0</v>
      </c>
      <c r="M254" s="65">
        <f t="shared" si="162"/>
        <v>0</v>
      </c>
      <c r="N254" s="66">
        <f t="shared" si="162"/>
        <v>0</v>
      </c>
      <c r="O254" s="67">
        <f>SUM(C254:N254)</f>
        <v>0</v>
      </c>
      <c r="Q254" s="33"/>
      <c r="R254" s="57"/>
      <c r="S254" s="57"/>
      <c r="T254" s="57"/>
      <c r="U254" s="60"/>
      <c r="V254" s="41"/>
    </row>
    <row r="255" spans="1:22" ht="15.75">
      <c r="A255" s="42"/>
      <c r="B255" s="35" t="s">
        <v>58</v>
      </c>
      <c r="C255" s="43">
        <f>'[14]Price Changes'!D50</f>
        <v>0</v>
      </c>
      <c r="D255" s="44">
        <f t="shared" ref="D255:N255" si="163">C255</f>
        <v>0</v>
      </c>
      <c r="E255" s="43">
        <f t="shared" si="163"/>
        <v>0</v>
      </c>
      <c r="F255" s="44">
        <f t="shared" si="163"/>
        <v>0</v>
      </c>
      <c r="G255" s="43">
        <f t="shared" si="163"/>
        <v>0</v>
      </c>
      <c r="H255" s="44">
        <f t="shared" si="163"/>
        <v>0</v>
      </c>
      <c r="I255" s="43">
        <f t="shared" si="163"/>
        <v>0</v>
      </c>
      <c r="J255" s="44">
        <f t="shared" si="163"/>
        <v>0</v>
      </c>
      <c r="K255" s="43">
        <f t="shared" si="163"/>
        <v>0</v>
      </c>
      <c r="L255" s="44">
        <f t="shared" si="163"/>
        <v>0</v>
      </c>
      <c r="M255" s="43">
        <f t="shared" si="163"/>
        <v>0</v>
      </c>
      <c r="N255" s="44">
        <f t="shared" si="163"/>
        <v>0</v>
      </c>
      <c r="O255" s="45">
        <f>IF(O254=0,0,+O256/O254)</f>
        <v>0</v>
      </c>
      <c r="Q255" s="33"/>
      <c r="R255" s="46"/>
      <c r="S255" s="46"/>
      <c r="T255" s="47"/>
      <c r="U255" s="47"/>
      <c r="V255" s="41"/>
    </row>
    <row r="256" spans="1:22">
      <c r="A256" s="42"/>
      <c r="B256" s="35" t="s">
        <v>15</v>
      </c>
      <c r="C256" s="48">
        <f t="shared" ref="C256:N256" si="164">C254*C255</f>
        <v>0</v>
      </c>
      <c r="D256" s="49">
        <f t="shared" si="164"/>
        <v>0</v>
      </c>
      <c r="E256" s="48">
        <f t="shared" si="164"/>
        <v>0</v>
      </c>
      <c r="F256" s="49">
        <f t="shared" si="164"/>
        <v>0</v>
      </c>
      <c r="G256" s="48">
        <f t="shared" si="164"/>
        <v>0</v>
      </c>
      <c r="H256" s="49">
        <f t="shared" si="164"/>
        <v>0</v>
      </c>
      <c r="I256" s="48">
        <f t="shared" si="164"/>
        <v>0</v>
      </c>
      <c r="J256" s="49">
        <f t="shared" si="164"/>
        <v>0</v>
      </c>
      <c r="K256" s="48">
        <f t="shared" si="164"/>
        <v>0</v>
      </c>
      <c r="L256" s="49">
        <f t="shared" si="164"/>
        <v>0</v>
      </c>
      <c r="M256" s="48">
        <f t="shared" si="164"/>
        <v>0</v>
      </c>
      <c r="N256" s="49">
        <f t="shared" si="164"/>
        <v>0</v>
      </c>
      <c r="O256" s="50">
        <f>SUM(C256:N256)</f>
        <v>0</v>
      </c>
      <c r="Q256" s="33"/>
      <c r="R256" s="40"/>
      <c r="S256" s="40"/>
      <c r="T256" s="40"/>
      <c r="U256" s="40"/>
      <c r="V256" s="41"/>
    </row>
    <row r="257" spans="1:23" ht="16.5" thickBot="1">
      <c r="A257" s="51"/>
      <c r="B257" s="52" t="s">
        <v>59</v>
      </c>
      <c r="C257" s="53">
        <f t="shared" ref="C257:O257" si="165">C256/C$197</f>
        <v>0</v>
      </c>
      <c r="D257" s="54">
        <f t="shared" si="165"/>
        <v>0</v>
      </c>
      <c r="E257" s="53">
        <f t="shared" si="165"/>
        <v>0</v>
      </c>
      <c r="F257" s="54">
        <f t="shared" si="165"/>
        <v>0</v>
      </c>
      <c r="G257" s="53">
        <f t="shared" si="165"/>
        <v>0</v>
      </c>
      <c r="H257" s="54">
        <f t="shared" si="165"/>
        <v>0</v>
      </c>
      <c r="I257" s="53" t="e">
        <f t="shared" si="165"/>
        <v>#DIV/0!</v>
      </c>
      <c r="J257" s="54" t="e">
        <f t="shared" si="165"/>
        <v>#DIV/0!</v>
      </c>
      <c r="K257" s="53" t="e">
        <f t="shared" si="165"/>
        <v>#DIV/0!</v>
      </c>
      <c r="L257" s="54" t="e">
        <f t="shared" si="165"/>
        <v>#DIV/0!</v>
      </c>
      <c r="M257" s="53" t="e">
        <f t="shared" si="165"/>
        <v>#DIV/0!</v>
      </c>
      <c r="N257" s="54" t="e">
        <f t="shared" si="165"/>
        <v>#DIV/0!</v>
      </c>
      <c r="O257" s="55">
        <f t="shared" si="165"/>
        <v>0</v>
      </c>
      <c r="Q257" s="33"/>
      <c r="R257" s="56"/>
      <c r="S257" s="56"/>
      <c r="T257" s="57"/>
      <c r="U257" s="57"/>
      <c r="V257" s="41"/>
    </row>
    <row r="258" spans="1:23">
      <c r="A258" s="181" t="s">
        <v>73</v>
      </c>
      <c r="B258" s="29" t="s">
        <v>55</v>
      </c>
      <c r="C258" s="30">
        <f t="shared" ref="C258:O258" si="166">C259/C$197</f>
        <v>576.99213272961845</v>
      </c>
      <c r="D258" s="31">
        <f t="shared" si="166"/>
        <v>642.13756646507443</v>
      </c>
      <c r="E258" s="30">
        <f t="shared" si="166"/>
        <v>669.31766800988692</v>
      </c>
      <c r="F258" s="31">
        <f t="shared" si="166"/>
        <v>303.36163578362527</v>
      </c>
      <c r="G258" s="30">
        <f t="shared" si="166"/>
        <v>68.964243940106442</v>
      </c>
      <c r="H258" s="31">
        <f t="shared" si="166"/>
        <v>31.469670318488799</v>
      </c>
      <c r="I258" s="30" t="e">
        <f t="shared" si="166"/>
        <v>#DIV/0!</v>
      </c>
      <c r="J258" s="31" t="e">
        <f t="shared" si="166"/>
        <v>#DIV/0!</v>
      </c>
      <c r="K258" s="30" t="e">
        <f t="shared" si="166"/>
        <v>#DIV/0!</v>
      </c>
      <c r="L258" s="31" t="e">
        <f t="shared" si="166"/>
        <v>#DIV/0!</v>
      </c>
      <c r="M258" s="30" t="e">
        <f t="shared" si="166"/>
        <v>#DIV/0!</v>
      </c>
      <c r="N258" s="31" t="e">
        <f t="shared" si="166"/>
        <v>#DIV/0!</v>
      </c>
      <c r="O258" s="32">
        <f t="shared" si="166"/>
        <v>662.39673945407515</v>
      </c>
      <c r="Q258" s="33"/>
    </row>
    <row r="259" spans="1:23">
      <c r="A259" s="103" t="s">
        <v>64</v>
      </c>
      <c r="B259" s="35" t="s">
        <v>57</v>
      </c>
      <c r="C259" s="36">
        <v>15133</v>
      </c>
      <c r="D259" s="37">
        <v>14814</v>
      </c>
      <c r="E259" s="36">
        <v>15814</v>
      </c>
      <c r="F259" s="37">
        <v>7068</v>
      </c>
      <c r="G259" s="36">
        <f>'[14]ND WTP 2011'!AE90</f>
        <v>1778</v>
      </c>
      <c r="H259" s="37">
        <f>'[14]ND WTP 2011'!AF90</f>
        <v>360</v>
      </c>
      <c r="I259" s="36">
        <f>'[14]ND WTP 2011'!AG90</f>
        <v>0</v>
      </c>
      <c r="J259" s="37">
        <f>'[14]ND WTP 2011'!AH90</f>
        <v>0</v>
      </c>
      <c r="K259" s="36">
        <f>'[14]ND WTP 2011'!AI90</f>
        <v>0</v>
      </c>
      <c r="L259" s="37">
        <f>'[14]ND WTP 2011'!AJ90</f>
        <v>3090.0367612911991</v>
      </c>
      <c r="M259" s="36">
        <f>'[14]ND WTP 2011'!AK90</f>
        <v>15168</v>
      </c>
      <c r="N259" s="37">
        <f>'[14]ND WTP 2011'!AL90</f>
        <v>15168</v>
      </c>
      <c r="O259" s="38">
        <f>SUM(C259:N259)</f>
        <v>88393.036761291209</v>
      </c>
      <c r="Q259" s="33"/>
      <c r="R259" s="57"/>
      <c r="S259" s="57"/>
      <c r="T259" s="57"/>
      <c r="U259" s="60"/>
      <c r="V259" s="41"/>
      <c r="W259" s="8"/>
    </row>
    <row r="260" spans="1:23" ht="15.75">
      <c r="A260" s="42"/>
      <c r="B260" s="35" t="s">
        <v>58</v>
      </c>
      <c r="C260" s="43">
        <f>C261/C259</f>
        <v>0.19619969602854689</v>
      </c>
      <c r="D260" s="44">
        <f>C260</f>
        <v>0.19619969602854689</v>
      </c>
      <c r="E260" s="43">
        <f>E261/E259</f>
        <v>0.2</v>
      </c>
      <c r="F260" s="44">
        <f>F261/F259</f>
        <v>0.19999999999999998</v>
      </c>
      <c r="G260" s="43">
        <f t="shared" ref="G260:N260" si="167">F260</f>
        <v>0.19999999999999998</v>
      </c>
      <c r="H260" s="44">
        <f t="shared" si="167"/>
        <v>0.19999999999999998</v>
      </c>
      <c r="I260" s="43">
        <f t="shared" si="167"/>
        <v>0.19999999999999998</v>
      </c>
      <c r="J260" s="44">
        <f t="shared" si="167"/>
        <v>0.19999999999999998</v>
      </c>
      <c r="K260" s="43">
        <f t="shared" si="167"/>
        <v>0.19999999999999998</v>
      </c>
      <c r="L260" s="44">
        <f t="shared" si="167"/>
        <v>0.19999999999999998</v>
      </c>
      <c r="M260" s="43">
        <f t="shared" si="167"/>
        <v>0.19999999999999998</v>
      </c>
      <c r="N260" s="44">
        <f t="shared" si="167"/>
        <v>0.19999999999999998</v>
      </c>
      <c r="O260" s="45">
        <f>IF(O259=0,0,+O261/O259)</f>
        <v>0.19934938314026582</v>
      </c>
      <c r="Q260" s="33"/>
      <c r="R260" s="46"/>
      <c r="S260" s="46"/>
      <c r="T260" s="46"/>
      <c r="U260" s="47"/>
      <c r="V260" s="41"/>
      <c r="W260" s="8"/>
    </row>
    <row r="261" spans="1:23">
      <c r="A261" s="42"/>
      <c r="B261" s="35" t="s">
        <v>15</v>
      </c>
      <c r="C261" s="48">
        <v>2969.09</v>
      </c>
      <c r="D261" s="49">
        <v>2962.8</v>
      </c>
      <c r="E261" s="48">
        <v>3162.8</v>
      </c>
      <c r="F261" s="49">
        <v>1413.6</v>
      </c>
      <c r="G261" s="48">
        <f t="shared" ref="G261:N261" si="168">G259*G260</f>
        <v>355.59999999999997</v>
      </c>
      <c r="H261" s="49">
        <f t="shared" si="168"/>
        <v>72</v>
      </c>
      <c r="I261" s="48">
        <f t="shared" si="168"/>
        <v>0</v>
      </c>
      <c r="J261" s="49">
        <f t="shared" si="168"/>
        <v>0</v>
      </c>
      <c r="K261" s="48">
        <f t="shared" si="168"/>
        <v>0</v>
      </c>
      <c r="L261" s="49">
        <f t="shared" si="168"/>
        <v>618.00735225823973</v>
      </c>
      <c r="M261" s="48">
        <f t="shared" si="168"/>
        <v>3033.6</v>
      </c>
      <c r="N261" s="49">
        <f t="shared" si="168"/>
        <v>3033.6</v>
      </c>
      <c r="O261" s="50">
        <f>SUM(C261:N261)</f>
        <v>17621.097352258243</v>
      </c>
      <c r="Q261" s="33"/>
      <c r="R261" s="40"/>
      <c r="S261" s="40"/>
      <c r="T261" s="40"/>
      <c r="U261" s="40"/>
      <c r="V261" s="41"/>
      <c r="W261" s="8"/>
    </row>
    <row r="262" spans="1:23" ht="16.5" thickBot="1">
      <c r="A262" s="51"/>
      <c r="B262" s="52" t="s">
        <v>59</v>
      </c>
      <c r="C262" s="53">
        <f t="shared" ref="C262:O262" si="169">C261/C$197</f>
        <v>113.20568105241414</v>
      </c>
      <c r="D262" s="54">
        <f t="shared" si="169"/>
        <v>128.4275132930149</v>
      </c>
      <c r="E262" s="53">
        <f t="shared" si="169"/>
        <v>133.86353360197739</v>
      </c>
      <c r="F262" s="54">
        <f t="shared" si="169"/>
        <v>60.672327156725046</v>
      </c>
      <c r="G262" s="53">
        <f t="shared" si="169"/>
        <v>13.792848788021287</v>
      </c>
      <c r="H262" s="54">
        <f t="shared" si="169"/>
        <v>6.2939340636977592</v>
      </c>
      <c r="I262" s="53" t="e">
        <f t="shared" si="169"/>
        <v>#DIV/0!</v>
      </c>
      <c r="J262" s="54" t="e">
        <f t="shared" si="169"/>
        <v>#DIV/0!</v>
      </c>
      <c r="K262" s="53" t="e">
        <f t="shared" si="169"/>
        <v>#DIV/0!</v>
      </c>
      <c r="L262" s="54" t="e">
        <f t="shared" si="169"/>
        <v>#DIV/0!</v>
      </c>
      <c r="M262" s="53" t="e">
        <f t="shared" si="169"/>
        <v>#DIV/0!</v>
      </c>
      <c r="N262" s="54" t="e">
        <f t="shared" si="169"/>
        <v>#DIV/0!</v>
      </c>
      <c r="O262" s="55">
        <f t="shared" si="169"/>
        <v>132.04838140429325</v>
      </c>
      <c r="Q262" s="33"/>
      <c r="R262" s="56"/>
      <c r="S262" s="56"/>
      <c r="T262" s="56"/>
      <c r="U262" s="57"/>
      <c r="V262" s="41"/>
      <c r="W262" s="8"/>
    </row>
    <row r="263" spans="1:23">
      <c r="A263" s="28" t="s">
        <v>74</v>
      </c>
      <c r="B263" s="29" t="s">
        <v>55</v>
      </c>
      <c r="C263" s="30">
        <f t="shared" ref="C263:O263" si="170">C264/C$197</f>
        <v>0</v>
      </c>
      <c r="D263" s="31">
        <f t="shared" si="170"/>
        <v>0</v>
      </c>
      <c r="E263" s="30">
        <f t="shared" si="170"/>
        <v>0</v>
      </c>
      <c r="F263" s="31">
        <f t="shared" si="170"/>
        <v>198.29241048674996</v>
      </c>
      <c r="G263" s="30">
        <f t="shared" si="170"/>
        <v>367.39556726697873</v>
      </c>
      <c r="H263" s="31">
        <f t="shared" si="170"/>
        <v>1010.1764172234904</v>
      </c>
      <c r="I263" s="30" t="e">
        <f t="shared" si="170"/>
        <v>#DIV/0!</v>
      </c>
      <c r="J263" s="31" t="e">
        <f t="shared" si="170"/>
        <v>#DIV/0!</v>
      </c>
      <c r="K263" s="30" t="e">
        <f t="shared" si="170"/>
        <v>#DIV/0!</v>
      </c>
      <c r="L263" s="31" t="e">
        <f t="shared" si="170"/>
        <v>#DIV/0!</v>
      </c>
      <c r="M263" s="30" t="e">
        <f t="shared" si="170"/>
        <v>#DIV/0!</v>
      </c>
      <c r="N263" s="31" t="e">
        <f t="shared" si="170"/>
        <v>#DIV/0!</v>
      </c>
      <c r="O263" s="32">
        <f t="shared" si="170"/>
        <v>363.60651046216822</v>
      </c>
      <c r="Q263" s="33"/>
    </row>
    <row r="264" spans="1:23">
      <c r="A264" s="103" t="s">
        <v>64</v>
      </c>
      <c r="B264" s="35" t="s">
        <v>57</v>
      </c>
      <c r="C264" s="36">
        <f>'[14]ND WTP 2011'!AA107</f>
        <v>0</v>
      </c>
      <c r="D264" s="37">
        <f>'[14]ND WTP 2011'!AB107</f>
        <v>0</v>
      </c>
      <c r="E264" s="36">
        <f>'[14]ND WTP 2011'!AC107</f>
        <v>0</v>
      </c>
      <c r="F264" s="37">
        <v>4620</v>
      </c>
      <c r="G264" s="36">
        <f>'[14]ND WTP 2011'!AE107</f>
        <v>9472</v>
      </c>
      <c r="H264" s="37">
        <f>'[14]ND WTP 2011'!AF107</f>
        <v>11556</v>
      </c>
      <c r="I264" s="36">
        <f>'[14]ND WTP 2011'!AG107</f>
        <v>10290</v>
      </c>
      <c r="J264" s="37">
        <f>'[14]ND WTP 2011'!AH107</f>
        <v>4322.6093598756279</v>
      </c>
      <c r="K264" s="36">
        <f>'[14]ND WTP 2011'!AI107</f>
        <v>5170.5523261808748</v>
      </c>
      <c r="L264" s="37">
        <f>'[14]ND WTP 2011'!AJ107</f>
        <v>3090.0367612911991</v>
      </c>
      <c r="M264" s="36">
        <f>'[14]ND WTP 2011'!AK107</f>
        <v>0</v>
      </c>
      <c r="N264" s="37">
        <f>'[14]ND WTP 2011'!AL107</f>
        <v>0</v>
      </c>
      <c r="O264" s="38">
        <f>SUM(C264:N264)</f>
        <v>48521.198447347706</v>
      </c>
      <c r="Q264" s="33"/>
      <c r="R264" s="57"/>
      <c r="S264" s="57"/>
      <c r="T264" s="57"/>
      <c r="U264" s="60"/>
      <c r="V264" s="41"/>
      <c r="W264" s="8"/>
    </row>
    <row r="265" spans="1:23" ht="15.75">
      <c r="A265" s="42"/>
      <c r="B265" s="35" t="s">
        <v>58</v>
      </c>
      <c r="C265" s="43">
        <f>'[14]Price Changes'!D52</f>
        <v>0.252</v>
      </c>
      <c r="D265" s="44">
        <f>C265</f>
        <v>0.252</v>
      </c>
      <c r="E265" s="43">
        <f>D265</f>
        <v>0.252</v>
      </c>
      <c r="F265" s="44">
        <f>F266/F264</f>
        <v>0.22</v>
      </c>
      <c r="G265" s="43">
        <f t="shared" ref="G265:N265" si="171">F265</f>
        <v>0.22</v>
      </c>
      <c r="H265" s="44">
        <f t="shared" si="171"/>
        <v>0.22</v>
      </c>
      <c r="I265" s="43">
        <f t="shared" si="171"/>
        <v>0.22</v>
      </c>
      <c r="J265" s="44">
        <f t="shared" si="171"/>
        <v>0.22</v>
      </c>
      <c r="K265" s="43">
        <f t="shared" si="171"/>
        <v>0.22</v>
      </c>
      <c r="L265" s="44">
        <f t="shared" si="171"/>
        <v>0.22</v>
      </c>
      <c r="M265" s="43">
        <f t="shared" si="171"/>
        <v>0.22</v>
      </c>
      <c r="N265" s="44">
        <f t="shared" si="171"/>
        <v>0.22</v>
      </c>
      <c r="O265" s="45">
        <f>IF(O264=0,0,+O266/O264)</f>
        <v>0.22</v>
      </c>
      <c r="Q265" s="33"/>
      <c r="R265" s="46"/>
      <c r="S265" s="46"/>
      <c r="T265" s="46"/>
      <c r="U265" s="47"/>
      <c r="V265" s="41"/>
      <c r="W265" s="8"/>
    </row>
    <row r="266" spans="1:23">
      <c r="A266" s="42"/>
      <c r="B266" s="35" t="s">
        <v>15</v>
      </c>
      <c r="C266" s="48">
        <f>C264*C265</f>
        <v>0</v>
      </c>
      <c r="D266" s="49">
        <f>D264*D265</f>
        <v>0</v>
      </c>
      <c r="E266" s="48">
        <f>E264*E265</f>
        <v>0</v>
      </c>
      <c r="F266" s="49">
        <v>1016.4</v>
      </c>
      <c r="G266" s="48">
        <f t="shared" ref="G266:N266" si="172">G264*G265</f>
        <v>2083.84</v>
      </c>
      <c r="H266" s="49">
        <f t="shared" si="172"/>
        <v>2542.3200000000002</v>
      </c>
      <c r="I266" s="48">
        <f t="shared" si="172"/>
        <v>2263.8000000000002</v>
      </c>
      <c r="J266" s="49">
        <f t="shared" si="172"/>
        <v>950.97405917263814</v>
      </c>
      <c r="K266" s="48">
        <f t="shared" si="172"/>
        <v>1137.5215117597925</v>
      </c>
      <c r="L266" s="49">
        <f t="shared" si="172"/>
        <v>679.80808748406378</v>
      </c>
      <c r="M266" s="48">
        <f t="shared" si="172"/>
        <v>0</v>
      </c>
      <c r="N266" s="49">
        <f t="shared" si="172"/>
        <v>0</v>
      </c>
      <c r="O266" s="50">
        <f>SUM(C266:N266)</f>
        <v>10674.663658416495</v>
      </c>
      <c r="Q266" s="33"/>
      <c r="R266" s="40"/>
      <c r="S266" s="40"/>
      <c r="T266" s="40"/>
      <c r="U266" s="40"/>
      <c r="V266" s="41"/>
      <c r="W266" s="8"/>
    </row>
    <row r="267" spans="1:23" ht="16.5" thickBot="1">
      <c r="A267" s="51"/>
      <c r="B267" s="52" t="s">
        <v>59</v>
      </c>
      <c r="C267" s="53">
        <f t="shared" ref="C267:O267" si="173">C266/C$197</f>
        <v>0</v>
      </c>
      <c r="D267" s="54">
        <f t="shared" si="173"/>
        <v>0</v>
      </c>
      <c r="E267" s="53">
        <f t="shared" si="173"/>
        <v>0</v>
      </c>
      <c r="F267" s="54">
        <f t="shared" si="173"/>
        <v>43.624330307084989</v>
      </c>
      <c r="G267" s="53">
        <f t="shared" si="173"/>
        <v>80.827024798735337</v>
      </c>
      <c r="H267" s="54">
        <f t="shared" si="173"/>
        <v>222.2388117891679</v>
      </c>
      <c r="I267" s="53" t="e">
        <f t="shared" si="173"/>
        <v>#DIV/0!</v>
      </c>
      <c r="J267" s="54" t="e">
        <f t="shared" si="173"/>
        <v>#DIV/0!</v>
      </c>
      <c r="K267" s="53" t="e">
        <f t="shared" si="173"/>
        <v>#DIV/0!</v>
      </c>
      <c r="L267" s="54" t="e">
        <f t="shared" si="173"/>
        <v>#DIV/0!</v>
      </c>
      <c r="M267" s="53" t="e">
        <f t="shared" si="173"/>
        <v>#DIV/0!</v>
      </c>
      <c r="N267" s="54" t="e">
        <f t="shared" si="173"/>
        <v>#DIV/0!</v>
      </c>
      <c r="O267" s="55">
        <f t="shared" si="173"/>
        <v>79.993432301677004</v>
      </c>
      <c r="Q267" s="33"/>
      <c r="R267" s="56"/>
      <c r="S267" s="56"/>
      <c r="T267" s="56"/>
      <c r="U267" s="57"/>
      <c r="V267" s="41"/>
      <c r="W267" s="8"/>
    </row>
    <row r="268" spans="1:23">
      <c r="A268" s="181" t="s">
        <v>75</v>
      </c>
      <c r="B268" s="29" t="s">
        <v>55</v>
      </c>
      <c r="C268" s="30">
        <f t="shared" ref="C268:O268" si="174">C269/C$197</f>
        <v>77.666885242201346</v>
      </c>
      <c r="D268" s="31">
        <f t="shared" si="174"/>
        <v>90.377806539738103</v>
      </c>
      <c r="E268" s="30">
        <f t="shared" si="174"/>
        <v>55.444931395785495</v>
      </c>
      <c r="F268" s="31">
        <f t="shared" si="174"/>
        <v>79.102362018848524</v>
      </c>
      <c r="G268" s="30">
        <f t="shared" si="174"/>
        <v>56.901319381403908</v>
      </c>
      <c r="H268" s="31">
        <f t="shared" si="174"/>
        <v>237.85825815724451</v>
      </c>
      <c r="I268" s="30" t="e">
        <f t="shared" si="174"/>
        <v>#DIV/0!</v>
      </c>
      <c r="J268" s="31" t="e">
        <f t="shared" si="174"/>
        <v>#DIV/0!</v>
      </c>
      <c r="K268" s="30" t="e">
        <f t="shared" si="174"/>
        <v>#DIV/0!</v>
      </c>
      <c r="L268" s="31" t="e">
        <f t="shared" si="174"/>
        <v>#DIV/0!</v>
      </c>
      <c r="M268" s="30" t="e">
        <f t="shared" si="174"/>
        <v>#DIV/0!</v>
      </c>
      <c r="N268" s="31" t="e">
        <f t="shared" si="174"/>
        <v>#DIV/0!</v>
      </c>
      <c r="O268" s="32">
        <f t="shared" si="174"/>
        <v>192.02026170464248</v>
      </c>
      <c r="P268" s="9"/>
      <c r="Q268" s="9"/>
      <c r="R268" s="9"/>
      <c r="S268" s="9"/>
      <c r="T268" s="9"/>
      <c r="U268" s="9"/>
      <c r="V268" s="70"/>
    </row>
    <row r="269" spans="1:23">
      <c r="A269" s="34" t="s">
        <v>71</v>
      </c>
      <c r="B269" s="35" t="s">
        <v>57</v>
      </c>
      <c r="C269" s="65">
        <v>2037</v>
      </c>
      <c r="D269" s="66">
        <v>2085</v>
      </c>
      <c r="E269" s="65">
        <v>1310</v>
      </c>
      <c r="F269" s="66">
        <v>1843</v>
      </c>
      <c r="G269" s="65">
        <f>'[14]ND WTP 2011'!AE141</f>
        <v>1467</v>
      </c>
      <c r="H269" s="66">
        <f>'[14]ND WTP 2011'!AF141</f>
        <v>2721</v>
      </c>
      <c r="I269" s="65">
        <f>'[14]ND WTP 2011'!AG141</f>
        <v>2716</v>
      </c>
      <c r="J269" s="66">
        <f>'[14]ND WTP 2011'!AH141</f>
        <v>2289</v>
      </c>
      <c r="K269" s="65">
        <f>'[14]ND WTP 2011'!AI141</f>
        <v>2289</v>
      </c>
      <c r="L269" s="66">
        <f>'[14]ND WTP 2011'!AJ141</f>
        <v>2289</v>
      </c>
      <c r="M269" s="65">
        <f>'[14]ND WTP 2011'!AK141</f>
        <v>2289</v>
      </c>
      <c r="N269" s="66">
        <f>'[14]ND WTP 2011'!AL141</f>
        <v>2289</v>
      </c>
      <c r="O269" s="67">
        <f>SUM(C269:N269)</f>
        <v>25624</v>
      </c>
      <c r="R269" s="15"/>
      <c r="S269" s="15"/>
      <c r="T269" s="15"/>
      <c r="U269" s="15"/>
      <c r="V269" s="71"/>
    </row>
    <row r="270" spans="1:23" ht="15.75">
      <c r="A270" s="182" t="s">
        <v>64</v>
      </c>
      <c r="B270" s="35" t="s">
        <v>58</v>
      </c>
      <c r="C270" s="43">
        <f>C271/C269</f>
        <v>1.2367992145311733</v>
      </c>
      <c r="D270" s="44">
        <f>C270</f>
        <v>1.2367992145311733</v>
      </c>
      <c r="E270" s="43">
        <f>E271/E269</f>
        <v>1.232</v>
      </c>
      <c r="F270" s="44">
        <f>F271/F269</f>
        <v>1.230602278893109</v>
      </c>
      <c r="G270" s="43">
        <f t="shared" ref="G270:N270" si="175">F270</f>
        <v>1.230602278893109</v>
      </c>
      <c r="H270" s="44">
        <f t="shared" si="175"/>
        <v>1.230602278893109</v>
      </c>
      <c r="I270" s="43">
        <f t="shared" si="175"/>
        <v>1.230602278893109</v>
      </c>
      <c r="J270" s="44">
        <f t="shared" si="175"/>
        <v>1.230602278893109</v>
      </c>
      <c r="K270" s="43">
        <f t="shared" si="175"/>
        <v>1.230602278893109</v>
      </c>
      <c r="L270" s="44">
        <f t="shared" si="175"/>
        <v>1.230602278893109</v>
      </c>
      <c r="M270" s="43">
        <f t="shared" si="175"/>
        <v>1.230602278893109</v>
      </c>
      <c r="N270" s="44">
        <f t="shared" si="175"/>
        <v>1.230602278893109</v>
      </c>
      <c r="O270" s="45">
        <f>IF(O269=0,0,+O271/O269)</f>
        <v>1.2312800973856408</v>
      </c>
      <c r="R270" s="72"/>
      <c r="S270" s="15"/>
      <c r="T270" s="72"/>
      <c r="U270" s="15"/>
      <c r="V270" s="15"/>
    </row>
    <row r="271" spans="1:23">
      <c r="A271" s="42"/>
      <c r="B271" s="35" t="s">
        <v>15</v>
      </c>
      <c r="C271" s="48">
        <v>2519.36</v>
      </c>
      <c r="D271" s="49">
        <v>2568.7199999999998</v>
      </c>
      <c r="E271" s="48">
        <v>1613.92</v>
      </c>
      <c r="F271" s="49">
        <v>2268</v>
      </c>
      <c r="G271" s="48">
        <f t="shared" ref="G271:N271" si="176">G269*G270</f>
        <v>1805.2935431361909</v>
      </c>
      <c r="H271" s="49">
        <f t="shared" si="176"/>
        <v>3348.4688008681496</v>
      </c>
      <c r="I271" s="48">
        <f t="shared" si="176"/>
        <v>3342.3157894736842</v>
      </c>
      <c r="J271" s="49">
        <f t="shared" si="176"/>
        <v>2816.8486163863267</v>
      </c>
      <c r="K271" s="48">
        <f t="shared" si="176"/>
        <v>2816.8486163863267</v>
      </c>
      <c r="L271" s="49">
        <f t="shared" si="176"/>
        <v>2816.8486163863267</v>
      </c>
      <c r="M271" s="48">
        <f t="shared" si="176"/>
        <v>2816.8486163863267</v>
      </c>
      <c r="N271" s="49">
        <f t="shared" si="176"/>
        <v>2816.8486163863267</v>
      </c>
      <c r="O271" s="50">
        <f>SUM(C271:N271)</f>
        <v>31550.321215409662</v>
      </c>
      <c r="R271" s="15"/>
      <c r="S271" s="15"/>
      <c r="T271" s="15"/>
      <c r="U271" s="15"/>
      <c r="V271" s="15"/>
    </row>
    <row r="272" spans="1:23" ht="13.5" thickBot="1">
      <c r="A272" s="51"/>
      <c r="B272" s="52" t="s">
        <v>59</v>
      </c>
      <c r="C272" s="53">
        <f t="shared" ref="C272:O272" si="177">C271/C$197</f>
        <v>96.058342662637401</v>
      </c>
      <c r="D272" s="54">
        <f t="shared" si="177"/>
        <v>111.34545765695732</v>
      </c>
      <c r="E272" s="53">
        <f t="shared" si="177"/>
        <v>68.308155479607734</v>
      </c>
      <c r="F272" s="54">
        <f t="shared" si="177"/>
        <v>97.343546966222704</v>
      </c>
      <c r="G272" s="53">
        <f t="shared" si="177"/>
        <v>70.022893302780275</v>
      </c>
      <c r="H272" s="54">
        <f t="shared" si="177"/>
        <v>292.7089145418505</v>
      </c>
      <c r="I272" s="53" t="e">
        <f t="shared" si="177"/>
        <v>#DIV/0!</v>
      </c>
      <c r="J272" s="54" t="e">
        <f t="shared" si="177"/>
        <v>#DIV/0!</v>
      </c>
      <c r="K272" s="53" t="e">
        <f t="shared" si="177"/>
        <v>#DIV/0!</v>
      </c>
      <c r="L272" s="54" t="e">
        <f t="shared" si="177"/>
        <v>#DIV/0!</v>
      </c>
      <c r="M272" s="53" t="e">
        <f t="shared" si="177"/>
        <v>#DIV/0!</v>
      </c>
      <c r="N272" s="54" t="e">
        <f t="shared" si="177"/>
        <v>#DIV/0!</v>
      </c>
      <c r="O272" s="55">
        <f t="shared" si="177"/>
        <v>236.43072653170844</v>
      </c>
      <c r="S272" s="8"/>
      <c r="V272" s="41"/>
    </row>
    <row r="273" spans="1:22">
      <c r="A273" s="181" t="s">
        <v>76</v>
      </c>
      <c r="B273" s="29" t="s">
        <v>55</v>
      </c>
      <c r="C273" s="30">
        <f t="shared" ref="C273:O273" si="178">C274/C$197</f>
        <v>170.58499979067687</v>
      </c>
      <c r="D273" s="31">
        <f t="shared" si="178"/>
        <v>494.62884912467695</v>
      </c>
      <c r="E273" s="30">
        <f t="shared" si="178"/>
        <v>206.41597741774493</v>
      </c>
      <c r="F273" s="31">
        <f t="shared" si="178"/>
        <v>422.12247989982376</v>
      </c>
      <c r="G273" s="30">
        <f t="shared" si="178"/>
        <v>201.0358134654509</v>
      </c>
      <c r="H273" s="31">
        <f t="shared" si="178"/>
        <v>515.49068296702342</v>
      </c>
      <c r="I273" s="30" t="e">
        <f t="shared" si="178"/>
        <v>#DIV/0!</v>
      </c>
      <c r="J273" s="31" t="e">
        <f t="shared" si="178"/>
        <v>#DIV/0!</v>
      </c>
      <c r="K273" s="30" t="e">
        <f t="shared" si="178"/>
        <v>#DIV/0!</v>
      </c>
      <c r="L273" s="31" t="e">
        <f t="shared" si="178"/>
        <v>#DIV/0!</v>
      </c>
      <c r="M273" s="30" t="e">
        <f t="shared" si="178"/>
        <v>#DIV/0!</v>
      </c>
      <c r="N273" s="31" t="e">
        <f t="shared" si="178"/>
        <v>#DIV/0!</v>
      </c>
      <c r="O273" s="32">
        <f t="shared" si="178"/>
        <v>605.48880445962413</v>
      </c>
    </row>
    <row r="274" spans="1:22">
      <c r="A274" s="34" t="s">
        <v>64</v>
      </c>
      <c r="B274" s="35" t="s">
        <v>57</v>
      </c>
      <c r="C274" s="36">
        <v>4474</v>
      </c>
      <c r="D274" s="37">
        <v>11411</v>
      </c>
      <c r="E274" s="36">
        <v>4877</v>
      </c>
      <c r="F274" s="37">
        <v>9835</v>
      </c>
      <c r="G274" s="36">
        <f>'[14]ND WTP 2011'!AE158</f>
        <v>5183</v>
      </c>
      <c r="H274" s="37">
        <f>'[14]ND WTP 2011'!AF158</f>
        <v>5897</v>
      </c>
      <c r="I274" s="36">
        <f>'[14]ND WTP 2011'!AG158</f>
        <v>7567</v>
      </c>
      <c r="J274" s="37">
        <f>'[14]ND WTP 2011'!AH158</f>
        <v>6311</v>
      </c>
      <c r="K274" s="36">
        <f>'[14]ND WTP 2011'!AI158</f>
        <v>6311</v>
      </c>
      <c r="L274" s="37">
        <f>'[14]ND WTP 2011'!AJ158</f>
        <v>6311</v>
      </c>
      <c r="M274" s="36">
        <f>'[14]ND WTP 2011'!AK158</f>
        <v>6311</v>
      </c>
      <c r="N274" s="37">
        <f>'[14]ND WTP 2011'!AL158</f>
        <v>6311</v>
      </c>
      <c r="O274" s="38">
        <f>SUM(C274:N274)</f>
        <v>80799</v>
      </c>
    </row>
    <row r="275" spans="1:22">
      <c r="A275" s="34"/>
      <c r="B275" s="35" t="s">
        <v>58</v>
      </c>
      <c r="C275" s="43">
        <f>C276/C274</f>
        <v>0.27989941886455072</v>
      </c>
      <c r="D275" s="44">
        <f>C275</f>
        <v>0.27989941886455072</v>
      </c>
      <c r="E275" s="43">
        <f>E276/E274</f>
        <v>0.27999999999999997</v>
      </c>
      <c r="F275" s="44">
        <f>F276/F274</f>
        <v>0.28000000000000003</v>
      </c>
      <c r="G275" s="43">
        <f t="shared" ref="G275:N275" si="179">F275</f>
        <v>0.28000000000000003</v>
      </c>
      <c r="H275" s="44">
        <f t="shared" si="179"/>
        <v>0.28000000000000003</v>
      </c>
      <c r="I275" s="43">
        <f t="shared" si="179"/>
        <v>0.28000000000000003</v>
      </c>
      <c r="J275" s="44">
        <f t="shared" si="179"/>
        <v>0.28000000000000003</v>
      </c>
      <c r="K275" s="43">
        <f t="shared" si="179"/>
        <v>0.28000000000000003</v>
      </c>
      <c r="L275" s="44">
        <f t="shared" si="179"/>
        <v>0.28000000000000003</v>
      </c>
      <c r="M275" s="43">
        <f t="shared" si="179"/>
        <v>0.28000000000000003</v>
      </c>
      <c r="N275" s="44">
        <f t="shared" si="179"/>
        <v>0.28000000000000003</v>
      </c>
      <c r="O275" s="45">
        <f>IF(O274=0,0,+O276/O274)</f>
        <v>0.27999443062414142</v>
      </c>
    </row>
    <row r="276" spans="1:22">
      <c r="A276" s="42"/>
      <c r="B276" s="35" t="s">
        <v>15</v>
      </c>
      <c r="C276" s="48">
        <v>1252.27</v>
      </c>
      <c r="D276" s="49">
        <v>3195.08</v>
      </c>
      <c r="E276" s="48">
        <v>1365.56</v>
      </c>
      <c r="F276" s="49">
        <v>2753.8</v>
      </c>
      <c r="G276" s="48">
        <f t="shared" ref="G276:N276" si="180">G274*G275</f>
        <v>1451.2400000000002</v>
      </c>
      <c r="H276" s="49">
        <f t="shared" si="180"/>
        <v>1651.16</v>
      </c>
      <c r="I276" s="48">
        <f t="shared" si="180"/>
        <v>2118.7600000000002</v>
      </c>
      <c r="J276" s="49">
        <f t="shared" si="180"/>
        <v>1767.0800000000002</v>
      </c>
      <c r="K276" s="48">
        <f t="shared" si="180"/>
        <v>1767.0800000000002</v>
      </c>
      <c r="L276" s="49">
        <f t="shared" si="180"/>
        <v>1767.0800000000002</v>
      </c>
      <c r="M276" s="48">
        <f t="shared" si="180"/>
        <v>1767.0800000000002</v>
      </c>
      <c r="N276" s="49">
        <f t="shared" si="180"/>
        <v>1767.0800000000002</v>
      </c>
      <c r="O276" s="50">
        <f>SUM(C276:N276)</f>
        <v>22623.270000000004</v>
      </c>
    </row>
    <row r="277" spans="1:22" ht="15.75" customHeight="1" thickBot="1">
      <c r="A277" s="51"/>
      <c r="B277" s="52" t="s">
        <v>59</v>
      </c>
      <c r="C277" s="53">
        <f t="shared" ref="C277:O277" si="181">C276/C$197</f>
        <v>47.746642308419965</v>
      </c>
      <c r="D277" s="54">
        <f t="shared" si="181"/>
        <v>138.49607775490955</v>
      </c>
      <c r="E277" s="53">
        <f t="shared" si="181"/>
        <v>57.796473676968581</v>
      </c>
      <c r="F277" s="54">
        <f t="shared" si="181"/>
        <v>118.19429437195066</v>
      </c>
      <c r="G277" s="53">
        <f t="shared" si="181"/>
        <v>56.290027770326262</v>
      </c>
      <c r="H277" s="54">
        <f t="shared" si="181"/>
        <v>144.33739123076657</v>
      </c>
      <c r="I277" s="53" t="e">
        <f t="shared" si="181"/>
        <v>#DIV/0!</v>
      </c>
      <c r="J277" s="54" t="e">
        <f t="shared" si="181"/>
        <v>#DIV/0!</v>
      </c>
      <c r="K277" s="53" t="e">
        <f t="shared" si="181"/>
        <v>#DIV/0!</v>
      </c>
      <c r="L277" s="54" t="e">
        <f t="shared" si="181"/>
        <v>#DIV/0!</v>
      </c>
      <c r="M277" s="53" t="e">
        <f t="shared" si="181"/>
        <v>#DIV/0!</v>
      </c>
      <c r="N277" s="54" t="e">
        <f t="shared" si="181"/>
        <v>#DIV/0!</v>
      </c>
      <c r="O277" s="55">
        <f t="shared" si="181"/>
        <v>169.53349305396455</v>
      </c>
    </row>
    <row r="278" spans="1:22" ht="13.5" thickBot="1">
      <c r="A278" s="10" t="s">
        <v>1</v>
      </c>
      <c r="B278" s="73" t="s">
        <v>1</v>
      </c>
      <c r="C278" s="74" t="s">
        <v>1</v>
      </c>
      <c r="D278" s="75" t="s">
        <v>1</v>
      </c>
      <c r="E278" s="74" t="s">
        <v>1</v>
      </c>
      <c r="F278" s="75" t="s">
        <v>1</v>
      </c>
      <c r="G278" s="74" t="s">
        <v>1</v>
      </c>
      <c r="H278" s="75" t="s">
        <v>1</v>
      </c>
      <c r="I278" s="74" t="s">
        <v>1</v>
      </c>
      <c r="J278" s="75" t="s">
        <v>1</v>
      </c>
      <c r="K278" s="74" t="s">
        <v>1</v>
      </c>
      <c r="L278" s="75" t="s">
        <v>1</v>
      </c>
      <c r="M278" s="74" t="s">
        <v>1</v>
      </c>
      <c r="N278" s="75" t="s">
        <v>1</v>
      </c>
      <c r="O278" s="6" t="s">
        <v>1</v>
      </c>
      <c r="P278" s="9"/>
      <c r="Q278" s="9"/>
      <c r="R278" s="76"/>
      <c r="S278" s="9"/>
      <c r="T278" s="9"/>
      <c r="U278" s="9"/>
      <c r="V278" s="70"/>
    </row>
    <row r="279" spans="1:22" ht="16.5" thickBot="1">
      <c r="A279" s="104" t="s">
        <v>507</v>
      </c>
      <c r="B279" s="105"/>
      <c r="C279" s="106">
        <v>0</v>
      </c>
      <c r="D279" s="107">
        <v>0</v>
      </c>
      <c r="E279" s="106">
        <v>0</v>
      </c>
      <c r="F279" s="107">
        <v>0</v>
      </c>
      <c r="G279" s="106">
        <v>0</v>
      </c>
      <c r="H279" s="107">
        <v>0</v>
      </c>
      <c r="I279" s="106">
        <v>0</v>
      </c>
      <c r="J279" s="107">
        <v>0</v>
      </c>
      <c r="K279" s="106">
        <v>0</v>
      </c>
      <c r="L279" s="107">
        <v>0</v>
      </c>
      <c r="M279" s="106">
        <v>0</v>
      </c>
      <c r="N279" s="107">
        <v>0</v>
      </c>
      <c r="O279" s="108">
        <f>SUM(C279:N279)</f>
        <v>0</v>
      </c>
      <c r="P279" s="9"/>
      <c r="Q279" s="9"/>
      <c r="R279" s="76"/>
      <c r="S279" s="9"/>
      <c r="T279" s="9"/>
      <c r="U279" s="9"/>
      <c r="V279" s="70"/>
    </row>
    <row r="280" spans="1:22">
      <c r="A280" s="28" t="s">
        <v>84</v>
      </c>
      <c r="B280" s="29" t="s">
        <v>55</v>
      </c>
      <c r="C280" s="113">
        <f t="shared" ref="C280:O280" si="182">C281/C$197</f>
        <v>2341.521235392277</v>
      </c>
      <c r="D280" s="114">
        <f t="shared" si="182"/>
        <v>3009.7760177873934</v>
      </c>
      <c r="E280" s="113">
        <f t="shared" si="182"/>
        <v>2527.1037891447027</v>
      </c>
      <c r="F280" s="114">
        <f t="shared" si="182"/>
        <v>2734.3750838289752</v>
      </c>
      <c r="G280" s="113">
        <f t="shared" si="182"/>
        <v>2244.2082059227328</v>
      </c>
      <c r="H280" s="114">
        <f t="shared" si="182"/>
        <v>5311.1187765011773</v>
      </c>
      <c r="I280" s="113" t="e">
        <f t="shared" si="182"/>
        <v>#DIV/0!</v>
      </c>
      <c r="J280" s="114" t="e">
        <f t="shared" si="182"/>
        <v>#DIV/0!</v>
      </c>
      <c r="K280" s="113" t="e">
        <f t="shared" si="182"/>
        <v>#DIV/0!</v>
      </c>
      <c r="L280" s="114" t="e">
        <f t="shared" si="182"/>
        <v>#DIV/0!</v>
      </c>
      <c r="M280" s="113" t="e">
        <f t="shared" si="182"/>
        <v>#DIV/0!</v>
      </c>
      <c r="N280" s="114" t="e">
        <f t="shared" si="182"/>
        <v>#DIV/0!</v>
      </c>
      <c r="O280" s="32">
        <f t="shared" si="182"/>
        <v>5334.2201861306885</v>
      </c>
      <c r="Q280" s="33"/>
      <c r="R280" s="57"/>
      <c r="S280" s="57"/>
      <c r="T280" s="57"/>
      <c r="U280" s="57"/>
      <c r="V280" s="41"/>
    </row>
    <row r="281" spans="1:22" ht="15.75">
      <c r="A281" s="34"/>
      <c r="B281" s="35" t="s">
        <v>57</v>
      </c>
      <c r="C281" s="36">
        <f t="shared" ref="C281:N281" si="183">C199+C204+C209+C224+C229+C234+C239+C244+C249+C254+C264+C274+C259+C219+C214+C269</f>
        <v>61412</v>
      </c>
      <c r="D281" s="37">
        <f t="shared" si="183"/>
        <v>69435</v>
      </c>
      <c r="E281" s="36">
        <f t="shared" si="183"/>
        <v>59708</v>
      </c>
      <c r="F281" s="37">
        <f t="shared" si="183"/>
        <v>63708</v>
      </c>
      <c r="G281" s="36">
        <f t="shared" si="183"/>
        <v>57859</v>
      </c>
      <c r="H281" s="37">
        <f t="shared" si="183"/>
        <v>60757</v>
      </c>
      <c r="I281" s="36">
        <f t="shared" si="183"/>
        <v>60179</v>
      </c>
      <c r="J281" s="37">
        <f t="shared" si="183"/>
        <v>50960.020694037572</v>
      </c>
      <c r="K281" s="36">
        <f t="shared" si="183"/>
        <v>51810.754557044493</v>
      </c>
      <c r="L281" s="37">
        <f t="shared" si="183"/>
        <v>52863.999801772065</v>
      </c>
      <c r="M281" s="36">
        <f t="shared" si="183"/>
        <v>61701.070967999774</v>
      </c>
      <c r="N281" s="37">
        <f t="shared" si="183"/>
        <v>61427.171386436574</v>
      </c>
      <c r="O281" s="38">
        <f>SUM(C281:N281)</f>
        <v>711821.0174072904</v>
      </c>
      <c r="Q281" s="33"/>
      <c r="R281" s="46"/>
      <c r="S281" s="56"/>
      <c r="T281" s="47"/>
      <c r="U281" s="47"/>
      <c r="V281" s="41"/>
    </row>
    <row r="282" spans="1:22">
      <c r="A282" s="42"/>
      <c r="B282" s="35" t="s">
        <v>58</v>
      </c>
      <c r="C282" s="81">
        <f t="shared" ref="C282:N282" si="184">C283/C281</f>
        <v>0.29940874747606333</v>
      </c>
      <c r="D282" s="82">
        <f t="shared" si="184"/>
        <v>0.28972996327500544</v>
      </c>
      <c r="E282" s="81">
        <f t="shared" si="184"/>
        <v>0.28557596971930055</v>
      </c>
      <c r="F282" s="82">
        <f t="shared" si="184"/>
        <v>0.30312331261380043</v>
      </c>
      <c r="G282" s="81">
        <f t="shared" si="184"/>
        <v>0.30191514589289659</v>
      </c>
      <c r="H282" s="82">
        <f t="shared" si="184"/>
        <v>0.34937604008578221</v>
      </c>
      <c r="I282" s="81">
        <f t="shared" si="184"/>
        <v>0.3285824588125017</v>
      </c>
      <c r="J282" s="82">
        <f t="shared" si="184"/>
        <v>0.32573891709522579</v>
      </c>
      <c r="K282" s="81">
        <f t="shared" si="184"/>
        <v>0.32395606027035401</v>
      </c>
      <c r="L282" s="82">
        <f t="shared" si="184"/>
        <v>0.32053215471410373</v>
      </c>
      <c r="M282" s="81">
        <f t="shared" si="184"/>
        <v>0.30317451267819939</v>
      </c>
      <c r="N282" s="82">
        <f t="shared" si="184"/>
        <v>0.300919781512548</v>
      </c>
      <c r="O282" s="45">
        <f>IF(O281=0,0,+O283/O281)</f>
        <v>0.31026911490649622</v>
      </c>
      <c r="Q282" s="33"/>
      <c r="R282" s="40"/>
      <c r="S282" s="40"/>
      <c r="T282" s="40"/>
      <c r="U282" s="40"/>
      <c r="V282" s="41"/>
    </row>
    <row r="283" spans="1:22" ht="15.75">
      <c r="A283" s="83" t="s">
        <v>89</v>
      </c>
      <c r="B283" s="35" t="s">
        <v>15</v>
      </c>
      <c r="C283" s="48">
        <f t="shared" ref="C283:N283" si="185">C201+C206+C211+C216+C226+C231+C236+C241+C246+C251+C256+C266+C276+C261+C221+C271</f>
        <v>18387.29</v>
      </c>
      <c r="D283" s="49">
        <f t="shared" si="185"/>
        <v>20117.400000000001</v>
      </c>
      <c r="E283" s="48">
        <f t="shared" si="185"/>
        <v>17051.169999999998</v>
      </c>
      <c r="F283" s="49">
        <f t="shared" si="185"/>
        <v>19311.379999999997</v>
      </c>
      <c r="G283" s="48">
        <f t="shared" si="185"/>
        <v>17468.508426217104</v>
      </c>
      <c r="H283" s="49">
        <f t="shared" si="185"/>
        <v>21227.040067491871</v>
      </c>
      <c r="I283" s="48">
        <f t="shared" si="185"/>
        <v>19773.763788877539</v>
      </c>
      <c r="J283" s="49">
        <f t="shared" si="185"/>
        <v>16599.661956026095</v>
      </c>
      <c r="K283" s="48">
        <f t="shared" si="185"/>
        <v>16784.407925934425</v>
      </c>
      <c r="L283" s="49">
        <f t="shared" si="185"/>
        <v>16944.611763267952</v>
      </c>
      <c r="M283" s="48">
        <f t="shared" si="185"/>
        <v>18706.192122446329</v>
      </c>
      <c r="N283" s="49">
        <f t="shared" si="185"/>
        <v>18484.650992540333</v>
      </c>
      <c r="O283" s="50">
        <f>SUM(C283:N283)</f>
        <v>220856.07704280163</v>
      </c>
      <c r="Q283" s="33"/>
      <c r="R283" s="56"/>
      <c r="S283" s="80"/>
      <c r="T283" s="57"/>
      <c r="U283" s="57"/>
      <c r="V283" s="41"/>
    </row>
    <row r="284" spans="1:22" ht="13.5" thickBot="1">
      <c r="A284" s="51"/>
      <c r="B284" s="52" t="s">
        <v>59</v>
      </c>
      <c r="C284" s="53">
        <f t="shared" ref="C284:O284" si="186">C283/C$197</f>
        <v>701.07194027740616</v>
      </c>
      <c r="D284" s="54">
        <f t="shared" si="186"/>
        <v>872.02229509953349</v>
      </c>
      <c r="E284" s="53">
        <f t="shared" si="186"/>
        <v>721.68011516631736</v>
      </c>
      <c r="F284" s="54">
        <f t="shared" si="186"/>
        <v>828.85283333887719</v>
      </c>
      <c r="G284" s="53">
        <f t="shared" si="186"/>
        <v>677.56044790519752</v>
      </c>
      <c r="H284" s="54">
        <f t="shared" si="186"/>
        <v>1855.577646559226</v>
      </c>
      <c r="I284" s="53" t="e">
        <f t="shared" si="186"/>
        <v>#DIV/0!</v>
      </c>
      <c r="J284" s="54" t="e">
        <f t="shared" si="186"/>
        <v>#DIV/0!</v>
      </c>
      <c r="K284" s="53" t="e">
        <f t="shared" si="186"/>
        <v>#DIV/0!</v>
      </c>
      <c r="L284" s="54" t="e">
        <f t="shared" si="186"/>
        <v>#DIV/0!</v>
      </c>
      <c r="M284" s="53" t="e">
        <f t="shared" si="186"/>
        <v>#DIV/0!</v>
      </c>
      <c r="N284" s="54" t="e">
        <f t="shared" si="186"/>
        <v>#DIV/0!</v>
      </c>
      <c r="O284" s="55">
        <f t="shared" si="186"/>
        <v>1655.0437758671344</v>
      </c>
      <c r="P284" s="109"/>
      <c r="Q284" s="9"/>
      <c r="R284" s="76"/>
      <c r="S284" s="9"/>
      <c r="T284" s="9"/>
      <c r="U284" s="9"/>
      <c r="V284" s="70"/>
    </row>
    <row r="285" spans="1:22" ht="13.5" thickBot="1">
      <c r="A285" s="10" t="s">
        <v>1</v>
      </c>
      <c r="B285" s="73" t="s">
        <v>1</v>
      </c>
      <c r="C285" s="74" t="s">
        <v>1</v>
      </c>
      <c r="D285" s="75" t="s">
        <v>1</v>
      </c>
      <c r="E285" s="74" t="s">
        <v>1</v>
      </c>
      <c r="F285" s="75" t="s">
        <v>1</v>
      </c>
      <c r="G285" s="74" t="s">
        <v>1</v>
      </c>
      <c r="H285" s="75" t="s">
        <v>1</v>
      </c>
      <c r="I285" s="74" t="s">
        <v>1</v>
      </c>
      <c r="J285" s="75" t="s">
        <v>1</v>
      </c>
      <c r="K285" s="74" t="s">
        <v>1</v>
      </c>
      <c r="L285" s="75" t="s">
        <v>1</v>
      </c>
      <c r="M285" s="74" t="s">
        <v>1</v>
      </c>
      <c r="N285" s="75" t="s">
        <v>1</v>
      </c>
      <c r="O285" s="6" t="s">
        <v>1</v>
      </c>
      <c r="Q285" s="33"/>
      <c r="R285" s="57"/>
      <c r="S285" s="39"/>
      <c r="T285" s="39"/>
      <c r="U285" s="39"/>
      <c r="V285" s="41"/>
    </row>
    <row r="286" spans="1:22" ht="50.25" customHeight="1" thickBot="1">
      <c r="A286" s="580" t="s">
        <v>85</v>
      </c>
      <c r="B286" s="581"/>
      <c r="C286" s="581"/>
      <c r="D286" s="581"/>
      <c r="E286" s="581"/>
      <c r="F286" s="581"/>
      <c r="G286" s="581"/>
      <c r="H286" s="581"/>
      <c r="I286" s="581"/>
      <c r="J286" s="581"/>
      <c r="K286" s="581"/>
      <c r="L286" s="581"/>
      <c r="M286" s="581"/>
      <c r="N286" s="581"/>
      <c r="O286" s="582"/>
    </row>
    <row r="287" spans="1:22">
      <c r="A287" s="10" t="s">
        <v>1</v>
      </c>
      <c r="B287" s="11" t="s">
        <v>0</v>
      </c>
      <c r="C287" s="381"/>
      <c r="D287" s="97"/>
      <c r="E287" s="96"/>
      <c r="F287" s="97"/>
      <c r="G287" s="96"/>
      <c r="H287" s="97"/>
      <c r="I287" s="96"/>
      <c r="O287" s="2"/>
      <c r="V287" s="15"/>
    </row>
    <row r="288" spans="1:22" ht="15.75">
      <c r="A288" s="115" t="str">
        <f>A4</f>
        <v>2012 BUDGET</v>
      </c>
      <c r="B288" s="3"/>
      <c r="O288" s="2"/>
    </row>
    <row r="289" spans="1:23">
      <c r="A289" s="99"/>
      <c r="B289" s="3"/>
      <c r="O289" s="2"/>
      <c r="P289" s="9"/>
      <c r="Q289" s="9"/>
      <c r="R289" s="9"/>
      <c r="S289" s="9"/>
      <c r="T289" s="9"/>
      <c r="U289" s="9"/>
      <c r="V289" s="9"/>
    </row>
    <row r="290" spans="1:23">
      <c r="A290" s="4"/>
      <c r="B290" s="3"/>
      <c r="C290" s="22" t="s">
        <v>2</v>
      </c>
      <c r="D290" s="23" t="s">
        <v>3</v>
      </c>
      <c r="E290" s="22" t="s">
        <v>4</v>
      </c>
      <c r="F290" s="23" t="s">
        <v>5</v>
      </c>
      <c r="G290" s="22" t="s">
        <v>6</v>
      </c>
      <c r="H290" s="23" t="s">
        <v>86</v>
      </c>
      <c r="I290" s="22" t="s">
        <v>87</v>
      </c>
      <c r="J290" s="23" t="s">
        <v>52</v>
      </c>
      <c r="K290" s="22" t="s">
        <v>88</v>
      </c>
      <c r="L290" s="23" t="s">
        <v>10</v>
      </c>
      <c r="M290" s="22" t="s">
        <v>11</v>
      </c>
      <c r="N290" s="23" t="s">
        <v>12</v>
      </c>
      <c r="O290" s="24" t="s">
        <v>13</v>
      </c>
      <c r="R290" s="15"/>
      <c r="S290" s="15"/>
      <c r="T290" s="15"/>
      <c r="U290" s="15"/>
      <c r="V290" s="15"/>
    </row>
    <row r="291" spans="1:23" ht="16.5" thickBot="1">
      <c r="A291" s="19" t="s">
        <v>53</v>
      </c>
      <c r="B291" s="3"/>
      <c r="C291" s="100">
        <v>174.97199999999998</v>
      </c>
      <c r="D291" s="101">
        <v>169.125</v>
      </c>
      <c r="E291" s="100">
        <v>184.38300000000004</v>
      </c>
      <c r="F291" s="101">
        <v>193.45399999999998</v>
      </c>
      <c r="G291" s="100">
        <f>SUM([29]May!$C$8:$D$38)</f>
        <v>202.03600000000003</v>
      </c>
      <c r="H291" s="101">
        <f>SUM([29]Jun!$C$8:$D$38)</f>
        <v>0</v>
      </c>
      <c r="I291" s="100">
        <f>SUM([29]Jul!$C$8:$D$38)</f>
        <v>0</v>
      </c>
      <c r="J291" s="101">
        <f>SUM([29]Aug!$C$8:$D$38)</f>
        <v>0</v>
      </c>
      <c r="K291" s="100">
        <f>SUM([29]Sep!$C$8:$D$38)</f>
        <v>0</v>
      </c>
      <c r="L291" s="101">
        <f>SUM([29]Oct!$C$8:$D$38)</f>
        <v>0</v>
      </c>
      <c r="M291" s="100">
        <f>SUM([29]Nov!$C$8:$D$38)</f>
        <v>0</v>
      </c>
      <c r="N291" s="101">
        <f>SUM([29]Dec!$C$8:$D$38)</f>
        <v>0</v>
      </c>
      <c r="O291" s="102">
        <f>SUM(C291:N291)</f>
        <v>923.97</v>
      </c>
      <c r="R291" s="72"/>
      <c r="S291" s="15"/>
      <c r="T291" s="72"/>
      <c r="U291" s="15"/>
      <c r="V291" s="15"/>
    </row>
    <row r="292" spans="1:23">
      <c r="A292" s="28" t="s">
        <v>54</v>
      </c>
      <c r="B292" s="29" t="s">
        <v>55</v>
      </c>
      <c r="C292" s="30">
        <f>C293/C$291</f>
        <v>55.900372631049542</v>
      </c>
      <c r="D292" s="31">
        <f>D293/D$291</f>
        <v>51.181079083518107</v>
      </c>
      <c r="E292" s="30">
        <f>E293/E$291</f>
        <v>53.763090957409297</v>
      </c>
      <c r="F292" s="31">
        <f>F293/F$291</f>
        <v>56.209744952288403</v>
      </c>
      <c r="G292" s="30">
        <f>'[14]KRS II WTP 2010-2011'!G8</f>
        <v>37.329871109853464</v>
      </c>
      <c r="H292" s="31">
        <f>'[14]KRS II WTP 2010-2011'!H8</f>
        <v>55.643703341344619</v>
      </c>
      <c r="I292" s="30">
        <f>'[14]KRS II WTP 2010-2011'!I8</f>
        <v>48.519745188452966</v>
      </c>
      <c r="J292" s="31">
        <f>'[14]KRS II WTP 2010-2011'!J8</f>
        <v>74.925069064361182</v>
      </c>
      <c r="K292" s="30">
        <f>'[14]KRS II WTP 2010-2011'!K8</f>
        <v>45.765685442701219</v>
      </c>
      <c r="L292" s="31">
        <f>'[14]KRS II WTP 2010-2011'!L8</f>
        <v>51.56461386148878</v>
      </c>
      <c r="M292" s="30">
        <f>'[14]KRS II WTP 2010-2011'!M8</f>
        <v>40.652281337506174</v>
      </c>
      <c r="N292" s="31">
        <f>'[14]KRS II WTP 2010-2011'!N8</f>
        <v>49.393856383978687</v>
      </c>
      <c r="O292" s="32">
        <f>O293/O$7</f>
        <v>25.850410612763451</v>
      </c>
      <c r="Q292" s="33"/>
    </row>
    <row r="293" spans="1:23">
      <c r="A293" s="34" t="s">
        <v>56</v>
      </c>
      <c r="B293" s="35" t="s">
        <v>57</v>
      </c>
      <c r="C293" s="36">
        <v>9781</v>
      </c>
      <c r="D293" s="37">
        <v>8656</v>
      </c>
      <c r="E293" s="36">
        <v>9913</v>
      </c>
      <c r="F293" s="37">
        <v>10874</v>
      </c>
      <c r="G293" s="36">
        <f t="shared" ref="G293:N293" si="187">G$291*G292</f>
        <v>7541.9778395503554</v>
      </c>
      <c r="H293" s="37">
        <f t="shared" si="187"/>
        <v>0</v>
      </c>
      <c r="I293" s="36">
        <f t="shared" si="187"/>
        <v>0</v>
      </c>
      <c r="J293" s="37">
        <f t="shared" si="187"/>
        <v>0</v>
      </c>
      <c r="K293" s="36">
        <f t="shared" si="187"/>
        <v>0</v>
      </c>
      <c r="L293" s="37">
        <f t="shared" si="187"/>
        <v>0</v>
      </c>
      <c r="M293" s="36">
        <f t="shared" si="187"/>
        <v>0</v>
      </c>
      <c r="N293" s="37">
        <f t="shared" si="187"/>
        <v>0</v>
      </c>
      <c r="O293" s="38">
        <f>SUM(C293:N293)</f>
        <v>46765.977839550353</v>
      </c>
      <c r="Q293" s="33"/>
      <c r="R293" s="57"/>
      <c r="S293" s="57"/>
      <c r="T293" s="57"/>
      <c r="U293" s="57"/>
      <c r="V293" s="41"/>
    </row>
    <row r="294" spans="1:23" ht="15.75">
      <c r="A294" s="42"/>
      <c r="B294" s="35" t="s">
        <v>58</v>
      </c>
      <c r="C294" s="43">
        <f>C295/C293</f>
        <v>0.15010019425416626</v>
      </c>
      <c r="D294" s="44">
        <f>D295/D293</f>
        <v>0.13879967652495379</v>
      </c>
      <c r="E294" s="43">
        <f>E295/E293</f>
        <v>0.13879955613840411</v>
      </c>
      <c r="F294" s="44">
        <f>F295/F293</f>
        <v>0.13879988964502482</v>
      </c>
      <c r="G294" s="43">
        <f t="shared" ref="G294:N294" si="188">F294</f>
        <v>0.13879988964502482</v>
      </c>
      <c r="H294" s="44">
        <f t="shared" si="188"/>
        <v>0.13879988964502482</v>
      </c>
      <c r="I294" s="43">
        <f t="shared" si="188"/>
        <v>0.13879988964502482</v>
      </c>
      <c r="J294" s="44">
        <f t="shared" si="188"/>
        <v>0.13879988964502482</v>
      </c>
      <c r="K294" s="43">
        <f t="shared" si="188"/>
        <v>0.13879988964502482</v>
      </c>
      <c r="L294" s="44">
        <f t="shared" si="188"/>
        <v>0.13879988964502482</v>
      </c>
      <c r="M294" s="43">
        <f t="shared" si="188"/>
        <v>0.13879988964502482</v>
      </c>
      <c r="N294" s="44">
        <f t="shared" si="188"/>
        <v>0.13879988964502482</v>
      </c>
      <c r="O294" s="45">
        <f>IF(O293=0,0,+O295/O293)</f>
        <v>0.1411632130196101</v>
      </c>
      <c r="Q294" s="33"/>
      <c r="R294" s="46"/>
      <c r="S294" s="80"/>
      <c r="T294" s="68"/>
      <c r="U294" s="47"/>
      <c r="V294" s="41"/>
    </row>
    <row r="295" spans="1:23">
      <c r="A295" s="42"/>
      <c r="B295" s="35" t="s">
        <v>15</v>
      </c>
      <c r="C295" s="48">
        <v>1468.13</v>
      </c>
      <c r="D295" s="49">
        <v>1201.45</v>
      </c>
      <c r="E295" s="48">
        <v>1375.92</v>
      </c>
      <c r="F295" s="49">
        <v>1509.31</v>
      </c>
      <c r="G295" s="48">
        <f t="shared" ref="G295:N295" si="189">G293*G294</f>
        <v>1046.825691834812</v>
      </c>
      <c r="H295" s="49">
        <f t="shared" si="189"/>
        <v>0</v>
      </c>
      <c r="I295" s="48">
        <f t="shared" si="189"/>
        <v>0</v>
      </c>
      <c r="J295" s="49">
        <f t="shared" si="189"/>
        <v>0</v>
      </c>
      <c r="K295" s="48">
        <f t="shared" si="189"/>
        <v>0</v>
      </c>
      <c r="L295" s="49">
        <f t="shared" si="189"/>
        <v>0</v>
      </c>
      <c r="M295" s="48">
        <f t="shared" si="189"/>
        <v>0</v>
      </c>
      <c r="N295" s="49">
        <f t="shared" si="189"/>
        <v>0</v>
      </c>
      <c r="O295" s="50">
        <f>SUM(C295:N295)</f>
        <v>6601.635691834812</v>
      </c>
      <c r="Q295" s="33"/>
      <c r="R295" s="40"/>
      <c r="S295" s="40"/>
      <c r="T295" s="40"/>
      <c r="U295" s="40"/>
      <c r="V295" s="41"/>
    </row>
    <row r="296" spans="1:23" ht="16.5" thickBot="1">
      <c r="A296" s="51"/>
      <c r="B296" s="52" t="s">
        <v>59</v>
      </c>
      <c r="C296" s="53">
        <f t="shared" ref="C296:N296" si="190">C295/C$291</f>
        <v>8.3906567908008149</v>
      </c>
      <c r="D296" s="54">
        <f t="shared" si="190"/>
        <v>7.1039172209903922</v>
      </c>
      <c r="E296" s="53">
        <f t="shared" si="190"/>
        <v>7.4622931615170582</v>
      </c>
      <c r="F296" s="54">
        <f t="shared" si="190"/>
        <v>7.8019063963526216</v>
      </c>
      <c r="G296" s="53">
        <f t="shared" si="190"/>
        <v>5.1813819905106611</v>
      </c>
      <c r="H296" s="54" t="e">
        <f t="shared" si="190"/>
        <v>#DIV/0!</v>
      </c>
      <c r="I296" s="53" t="e">
        <f t="shared" si="190"/>
        <v>#DIV/0!</v>
      </c>
      <c r="J296" s="54" t="e">
        <f t="shared" si="190"/>
        <v>#DIV/0!</v>
      </c>
      <c r="K296" s="53" t="e">
        <f t="shared" si="190"/>
        <v>#DIV/0!</v>
      </c>
      <c r="L296" s="54" t="e">
        <f t="shared" si="190"/>
        <v>#DIV/0!</v>
      </c>
      <c r="M296" s="53" t="e">
        <f t="shared" si="190"/>
        <v>#DIV/0!</v>
      </c>
      <c r="N296" s="54" t="e">
        <f t="shared" si="190"/>
        <v>#DIV/0!</v>
      </c>
      <c r="O296" s="55">
        <f>O295/O$7</f>
        <v>3.6491270199739168</v>
      </c>
      <c r="Q296" s="33"/>
      <c r="R296" s="56"/>
      <c r="S296" s="80"/>
      <c r="T296" s="57"/>
      <c r="U296" s="57"/>
      <c r="V296" s="41"/>
    </row>
    <row r="297" spans="1:23">
      <c r="A297" s="28" t="s">
        <v>60</v>
      </c>
      <c r="B297" s="29" t="s">
        <v>55</v>
      </c>
      <c r="C297" s="30">
        <f>'[14]KRS II WTP 2010-2011'!C13</f>
        <v>0</v>
      </c>
      <c r="D297" s="31">
        <f>'[14]KRS II WTP 2010-2011'!D13</f>
        <v>0</v>
      </c>
      <c r="E297" s="30">
        <f>'[14]KRS II WTP 2010-2011'!E13</f>
        <v>0</v>
      </c>
      <c r="F297" s="31">
        <f>'[14]KRS II WTP 2010-2011'!F13</f>
        <v>0</v>
      </c>
      <c r="G297" s="30">
        <f>'[14]KRS II WTP 2010-2011'!G13</f>
        <v>0</v>
      </c>
      <c r="H297" s="31">
        <f>'[14]KRS II WTP 2010-2011'!H13</f>
        <v>0</v>
      </c>
      <c r="I297" s="30">
        <f>'[14]KRS II WTP 2010-2011'!I13</f>
        <v>0</v>
      </c>
      <c r="J297" s="31">
        <f>'[14]KRS II WTP 2010-2011'!J13</f>
        <v>0</v>
      </c>
      <c r="K297" s="30">
        <f>'[14]KRS II WTP 2010-2011'!K13</f>
        <v>0</v>
      </c>
      <c r="L297" s="31">
        <f>'[14]KRS II WTP 2010-2011'!L13</f>
        <v>0</v>
      </c>
      <c r="M297" s="30">
        <f>'[14]KRS II WTP 2010-2011'!M13</f>
        <v>0</v>
      </c>
      <c r="N297" s="31">
        <f>'[14]KRS II WTP 2010-2011'!N13</f>
        <v>0</v>
      </c>
      <c r="O297" s="32">
        <f>O298/O$7</f>
        <v>0</v>
      </c>
      <c r="Q297" s="33"/>
      <c r="R297" s="58"/>
      <c r="S297" s="58"/>
      <c r="T297" s="58"/>
      <c r="U297" s="58"/>
      <c r="V297" s="41"/>
      <c r="W297" s="8"/>
    </row>
    <row r="298" spans="1:23">
      <c r="A298" s="34" t="s">
        <v>56</v>
      </c>
      <c r="B298" s="35" t="s">
        <v>57</v>
      </c>
      <c r="C298" s="65">
        <f t="shared" ref="C298:N298" si="191">C$291*C297</f>
        <v>0</v>
      </c>
      <c r="D298" s="66">
        <f t="shared" si="191"/>
        <v>0</v>
      </c>
      <c r="E298" s="65">
        <f t="shared" si="191"/>
        <v>0</v>
      </c>
      <c r="F298" s="66">
        <f t="shared" si="191"/>
        <v>0</v>
      </c>
      <c r="G298" s="65">
        <f t="shared" si="191"/>
        <v>0</v>
      </c>
      <c r="H298" s="66">
        <f t="shared" si="191"/>
        <v>0</v>
      </c>
      <c r="I298" s="65">
        <f t="shared" si="191"/>
        <v>0</v>
      </c>
      <c r="J298" s="66">
        <f t="shared" si="191"/>
        <v>0</v>
      </c>
      <c r="K298" s="65">
        <f t="shared" si="191"/>
        <v>0</v>
      </c>
      <c r="L298" s="66">
        <f t="shared" si="191"/>
        <v>0</v>
      </c>
      <c r="M298" s="65">
        <f t="shared" si="191"/>
        <v>0</v>
      </c>
      <c r="N298" s="66">
        <f t="shared" si="191"/>
        <v>0</v>
      </c>
      <c r="O298" s="67">
        <f>SUM(C298:N298)</f>
        <v>0</v>
      </c>
      <c r="Q298" s="33"/>
      <c r="R298" s="57"/>
      <c r="S298" s="57"/>
      <c r="T298" s="57"/>
      <c r="U298" s="57"/>
      <c r="V298" s="41"/>
      <c r="W298" s="8"/>
    </row>
    <row r="299" spans="1:23" ht="15.75">
      <c r="A299" s="42"/>
      <c r="B299" s="35" t="s">
        <v>58</v>
      </c>
      <c r="C299" s="43">
        <f>'[14]Price Changes'!D58</f>
        <v>0.9373800000000001</v>
      </c>
      <c r="D299" s="44">
        <f t="shared" ref="D299:N299" si="192">C299</f>
        <v>0.9373800000000001</v>
      </c>
      <c r="E299" s="43">
        <f t="shared" si="192"/>
        <v>0.9373800000000001</v>
      </c>
      <c r="F299" s="44">
        <f t="shared" si="192"/>
        <v>0.9373800000000001</v>
      </c>
      <c r="G299" s="43">
        <f t="shared" si="192"/>
        <v>0.9373800000000001</v>
      </c>
      <c r="H299" s="44">
        <f t="shared" si="192"/>
        <v>0.9373800000000001</v>
      </c>
      <c r="I299" s="43">
        <f t="shared" si="192"/>
        <v>0.9373800000000001</v>
      </c>
      <c r="J299" s="44">
        <f t="shared" si="192"/>
        <v>0.9373800000000001</v>
      </c>
      <c r="K299" s="43">
        <f t="shared" si="192"/>
        <v>0.9373800000000001</v>
      </c>
      <c r="L299" s="44">
        <f t="shared" si="192"/>
        <v>0.9373800000000001</v>
      </c>
      <c r="M299" s="43">
        <f t="shared" si="192"/>
        <v>0.9373800000000001</v>
      </c>
      <c r="N299" s="44">
        <f t="shared" si="192"/>
        <v>0.9373800000000001</v>
      </c>
      <c r="O299" s="45">
        <f>IF(O298=0,0,+O300/O298)</f>
        <v>0</v>
      </c>
      <c r="Q299" s="33"/>
      <c r="R299" s="46"/>
      <c r="S299" s="46"/>
      <c r="T299" s="47"/>
      <c r="U299" s="47"/>
      <c r="V299" s="41"/>
      <c r="W299" s="8"/>
    </row>
    <row r="300" spans="1:23">
      <c r="A300" s="42"/>
      <c r="B300" s="35" t="s">
        <v>15</v>
      </c>
      <c r="C300" s="48">
        <f t="shared" ref="C300:N300" si="193">C298*C299</f>
        <v>0</v>
      </c>
      <c r="D300" s="49">
        <f t="shared" si="193"/>
        <v>0</v>
      </c>
      <c r="E300" s="48">
        <f t="shared" si="193"/>
        <v>0</v>
      </c>
      <c r="F300" s="49">
        <f t="shared" si="193"/>
        <v>0</v>
      </c>
      <c r="G300" s="48">
        <f t="shared" si="193"/>
        <v>0</v>
      </c>
      <c r="H300" s="49">
        <f t="shared" si="193"/>
        <v>0</v>
      </c>
      <c r="I300" s="48">
        <f t="shared" si="193"/>
        <v>0</v>
      </c>
      <c r="J300" s="49">
        <f t="shared" si="193"/>
        <v>0</v>
      </c>
      <c r="K300" s="48">
        <f t="shared" si="193"/>
        <v>0</v>
      </c>
      <c r="L300" s="49">
        <f t="shared" si="193"/>
        <v>0</v>
      </c>
      <c r="M300" s="48">
        <f t="shared" si="193"/>
        <v>0</v>
      </c>
      <c r="N300" s="49">
        <f t="shared" si="193"/>
        <v>0</v>
      </c>
      <c r="O300" s="50">
        <f>SUM(C300:N300)</f>
        <v>0</v>
      </c>
      <c r="Q300" s="33"/>
      <c r="R300" s="40"/>
      <c r="S300" s="40"/>
      <c r="T300" s="40"/>
      <c r="U300" s="40"/>
      <c r="V300" s="41"/>
      <c r="W300" s="8"/>
    </row>
    <row r="301" spans="1:23" ht="16.5" thickBot="1">
      <c r="A301" s="51"/>
      <c r="B301" s="52" t="s">
        <v>59</v>
      </c>
      <c r="C301" s="53">
        <f t="shared" ref="C301:N301" si="194">C300/C$291</f>
        <v>0</v>
      </c>
      <c r="D301" s="54">
        <f t="shared" si="194"/>
        <v>0</v>
      </c>
      <c r="E301" s="53">
        <f t="shared" si="194"/>
        <v>0</v>
      </c>
      <c r="F301" s="54">
        <f t="shared" si="194"/>
        <v>0</v>
      </c>
      <c r="G301" s="53">
        <f t="shared" si="194"/>
        <v>0</v>
      </c>
      <c r="H301" s="54" t="e">
        <f t="shared" si="194"/>
        <v>#DIV/0!</v>
      </c>
      <c r="I301" s="53" t="e">
        <f t="shared" si="194"/>
        <v>#DIV/0!</v>
      </c>
      <c r="J301" s="54" t="e">
        <f t="shared" si="194"/>
        <v>#DIV/0!</v>
      </c>
      <c r="K301" s="53" t="e">
        <f t="shared" si="194"/>
        <v>#DIV/0!</v>
      </c>
      <c r="L301" s="54" t="e">
        <f t="shared" si="194"/>
        <v>#DIV/0!</v>
      </c>
      <c r="M301" s="53" t="e">
        <f t="shared" si="194"/>
        <v>#DIV/0!</v>
      </c>
      <c r="N301" s="54" t="e">
        <f t="shared" si="194"/>
        <v>#DIV/0!</v>
      </c>
      <c r="O301" s="55">
        <f>O300/O$7</f>
        <v>0</v>
      </c>
      <c r="Q301" s="33"/>
      <c r="R301" s="56"/>
      <c r="S301" s="56"/>
      <c r="T301" s="57"/>
      <c r="U301" s="57"/>
      <c r="V301" s="41"/>
      <c r="W301" s="8"/>
    </row>
    <row r="302" spans="1:23">
      <c r="A302" s="28" t="s">
        <v>61</v>
      </c>
      <c r="B302" s="29" t="s">
        <v>55</v>
      </c>
      <c r="C302" s="30">
        <f>C303/C$291</f>
        <v>52.882746953798325</v>
      </c>
      <c r="D302" s="31">
        <f>D303/D$291</f>
        <v>49.72062084257206</v>
      </c>
      <c r="E302" s="30">
        <f>E303/E$291</f>
        <v>54.218664410493361</v>
      </c>
      <c r="F302" s="31">
        <f>'[14]KRS II WTP 2010-2011'!F18</f>
        <v>42.998646630576815</v>
      </c>
      <c r="G302" s="30">
        <f>'[14]KRS II WTP 2010-2011'!G18</f>
        <v>48.615388029806198</v>
      </c>
      <c r="H302" s="31">
        <f>'[14]KRS II WTP 2010-2011'!H18</f>
        <v>53.04464342684561</v>
      </c>
      <c r="I302" s="30">
        <f>'[14]KRS II WTP 2010-2011'!I18</f>
        <v>54.592325206112498</v>
      </c>
      <c r="J302" s="31">
        <f>'[14]KRS II WTP 2010-2011'!J18</f>
        <v>84.302457083502745</v>
      </c>
      <c r="K302" s="30">
        <f>'[14]KRS II WTP 2010-2011'!K18</f>
        <v>48.28225887631401</v>
      </c>
      <c r="L302" s="31">
        <f>'[14]KRS II WTP 2010-2011'!L18</f>
        <v>24.844108789517062</v>
      </c>
      <c r="M302" s="30">
        <f>'[14]KRS II WTP 2010-2011'!M18</f>
        <v>103.36572777686268</v>
      </c>
      <c r="N302" s="31">
        <f>'[14]KRS II WTP 2010-2011'!N18</f>
        <v>50.328450882762105</v>
      </c>
      <c r="O302" s="32">
        <f>O303/O$7</f>
        <v>27.08421786302025</v>
      </c>
      <c r="Q302" s="33"/>
    </row>
    <row r="303" spans="1:23">
      <c r="A303" s="34" t="s">
        <v>56</v>
      </c>
      <c r="B303" s="35" t="s">
        <v>57</v>
      </c>
      <c r="C303" s="36">
        <v>9253</v>
      </c>
      <c r="D303" s="37">
        <v>8409</v>
      </c>
      <c r="E303" s="36">
        <v>9997</v>
      </c>
      <c r="F303" s="37">
        <v>11517</v>
      </c>
      <c r="G303" s="36">
        <f t="shared" ref="G303:N303" si="195">G$291*G302</f>
        <v>9822.0585359899269</v>
      </c>
      <c r="H303" s="37">
        <f t="shared" si="195"/>
        <v>0</v>
      </c>
      <c r="I303" s="36">
        <f t="shared" si="195"/>
        <v>0</v>
      </c>
      <c r="J303" s="37">
        <f t="shared" si="195"/>
        <v>0</v>
      </c>
      <c r="K303" s="36">
        <f t="shared" si="195"/>
        <v>0</v>
      </c>
      <c r="L303" s="37">
        <f t="shared" si="195"/>
        <v>0</v>
      </c>
      <c r="M303" s="36">
        <f t="shared" si="195"/>
        <v>0</v>
      </c>
      <c r="N303" s="37">
        <f t="shared" si="195"/>
        <v>0</v>
      </c>
      <c r="O303" s="38">
        <f>SUM(C303:N303)</f>
        <v>48998.058535989927</v>
      </c>
      <c r="Q303" s="33"/>
      <c r="R303" s="57"/>
      <c r="S303" s="57"/>
      <c r="T303" s="47"/>
      <c r="U303" s="57"/>
      <c r="V303" s="41"/>
      <c r="W303" s="8"/>
    </row>
    <row r="304" spans="1:23" ht="15.75">
      <c r="A304" s="42"/>
      <c r="B304" s="35" t="s">
        <v>58</v>
      </c>
      <c r="C304" s="43">
        <f>C305/C303</f>
        <v>0.20010050794336973</v>
      </c>
      <c r="D304" s="44">
        <f>D305/D303</f>
        <v>0.20009989297181593</v>
      </c>
      <c r="E304" s="43">
        <f>E305/E303</f>
        <v>0.2001000300090027</v>
      </c>
      <c r="F304" s="44">
        <f>F305/F303</f>
        <v>0.20018668055917341</v>
      </c>
      <c r="G304" s="43">
        <f t="shared" ref="G304:N304" si="196">F304</f>
        <v>0.20018668055917341</v>
      </c>
      <c r="H304" s="44">
        <f t="shared" si="196"/>
        <v>0.20018668055917341</v>
      </c>
      <c r="I304" s="43">
        <f t="shared" si="196"/>
        <v>0.20018668055917341</v>
      </c>
      <c r="J304" s="44">
        <f t="shared" si="196"/>
        <v>0.20018668055917341</v>
      </c>
      <c r="K304" s="43">
        <f t="shared" si="196"/>
        <v>0.20018668055917341</v>
      </c>
      <c r="L304" s="44">
        <f t="shared" si="196"/>
        <v>0.20018668055917341</v>
      </c>
      <c r="M304" s="43">
        <f t="shared" si="196"/>
        <v>0.20018668055917341</v>
      </c>
      <c r="N304" s="44">
        <f t="shared" si="196"/>
        <v>0.20018668055917341</v>
      </c>
      <c r="O304" s="45">
        <f>IF(O303=0,0,+O305/O303)</f>
        <v>0.20013783377508257</v>
      </c>
      <c r="Q304" s="33"/>
      <c r="R304" s="46"/>
      <c r="S304" s="46"/>
      <c r="T304" s="47"/>
      <c r="U304" s="47"/>
      <c r="V304" s="41"/>
      <c r="W304" s="8"/>
    </row>
    <row r="305" spans="1:23">
      <c r="A305" s="42"/>
      <c r="B305" s="35" t="s">
        <v>15</v>
      </c>
      <c r="C305" s="48">
        <v>1851.53</v>
      </c>
      <c r="D305" s="49">
        <v>1682.64</v>
      </c>
      <c r="E305" s="48">
        <v>2000.4</v>
      </c>
      <c r="F305" s="49">
        <v>2305.5500000000002</v>
      </c>
      <c r="G305" s="48">
        <f t="shared" ref="G305:N305" si="197">G303*G304</f>
        <v>1966.2452945777179</v>
      </c>
      <c r="H305" s="49">
        <f t="shared" si="197"/>
        <v>0</v>
      </c>
      <c r="I305" s="48">
        <f t="shared" si="197"/>
        <v>0</v>
      </c>
      <c r="J305" s="49">
        <f t="shared" si="197"/>
        <v>0</v>
      </c>
      <c r="K305" s="48">
        <f t="shared" si="197"/>
        <v>0</v>
      </c>
      <c r="L305" s="49">
        <f t="shared" si="197"/>
        <v>0</v>
      </c>
      <c r="M305" s="48">
        <f t="shared" si="197"/>
        <v>0</v>
      </c>
      <c r="N305" s="49">
        <f t="shared" si="197"/>
        <v>0</v>
      </c>
      <c r="O305" s="50">
        <f>SUM(C305:N305)</f>
        <v>9806.3652945777176</v>
      </c>
      <c r="Q305" s="33"/>
      <c r="R305" s="40"/>
      <c r="S305" s="40"/>
      <c r="T305" s="40"/>
      <c r="U305" s="40"/>
      <c r="V305" s="41"/>
    </row>
    <row r="306" spans="1:23" ht="16.5" thickBot="1">
      <c r="A306" s="51"/>
      <c r="B306" s="52" t="s">
        <v>59</v>
      </c>
      <c r="C306" s="53">
        <f t="shared" ref="C306:N306" si="198">C305/C$291</f>
        <v>10.581864526895734</v>
      </c>
      <c r="D306" s="54">
        <f t="shared" si="198"/>
        <v>9.9490909090909092</v>
      </c>
      <c r="E306" s="53">
        <f t="shared" si="198"/>
        <v>10.84915637558777</v>
      </c>
      <c r="F306" s="54">
        <f t="shared" si="198"/>
        <v>11.917820257012005</v>
      </c>
      <c r="G306" s="53">
        <f t="shared" si="198"/>
        <v>9.7321531537830772</v>
      </c>
      <c r="H306" s="54" t="e">
        <f t="shared" si="198"/>
        <v>#DIV/0!</v>
      </c>
      <c r="I306" s="53" t="e">
        <f t="shared" si="198"/>
        <v>#DIV/0!</v>
      </c>
      <c r="J306" s="54" t="e">
        <f t="shared" si="198"/>
        <v>#DIV/0!</v>
      </c>
      <c r="K306" s="53" t="e">
        <f t="shared" si="198"/>
        <v>#DIV/0!</v>
      </c>
      <c r="L306" s="54" t="e">
        <f t="shared" si="198"/>
        <v>#DIV/0!</v>
      </c>
      <c r="M306" s="53" t="e">
        <f t="shared" si="198"/>
        <v>#DIV/0!</v>
      </c>
      <c r="N306" s="54" t="e">
        <f t="shared" si="198"/>
        <v>#DIV/0!</v>
      </c>
      <c r="O306" s="55">
        <f>O305/O$7</f>
        <v>5.4205766925972689</v>
      </c>
      <c r="Q306" s="33"/>
      <c r="R306" s="46"/>
      <c r="S306" s="56"/>
      <c r="T306" s="57"/>
      <c r="U306" s="57"/>
      <c r="V306" s="41"/>
    </row>
    <row r="307" spans="1:23">
      <c r="A307" s="28" t="s">
        <v>62</v>
      </c>
      <c r="B307" s="29" t="s">
        <v>55</v>
      </c>
      <c r="C307" s="30">
        <f>'[14]KRS II WTP 2010-2011'!C23</f>
        <v>0</v>
      </c>
      <c r="D307" s="31">
        <f>'[14]KRS II WTP 2010-2011'!D23</f>
        <v>0</v>
      </c>
      <c r="E307" s="30">
        <f>'[14]KRS II WTP 2010-2011'!E23</f>
        <v>0</v>
      </c>
      <c r="F307" s="31">
        <f>'[14]KRS II WTP 2010-2011'!F23</f>
        <v>0</v>
      </c>
      <c r="G307" s="30">
        <f>'[14]KRS II WTP 2010-2011'!G23</f>
        <v>0</v>
      </c>
      <c r="H307" s="31">
        <f>'[14]KRS II WTP 2010-2011'!H23</f>
        <v>0</v>
      </c>
      <c r="I307" s="30">
        <f>'[14]KRS II WTP 2010-2011'!I23</f>
        <v>0</v>
      </c>
      <c r="J307" s="31">
        <f>'[14]KRS II WTP 2010-2011'!J23</f>
        <v>0</v>
      </c>
      <c r="K307" s="30">
        <f>'[14]KRS II WTP 2010-2011'!K23</f>
        <v>0</v>
      </c>
      <c r="L307" s="31">
        <f>'[14]KRS II WTP 2010-2011'!L23</f>
        <v>0</v>
      </c>
      <c r="M307" s="30">
        <f>'[14]KRS II WTP 2010-2011'!M23</f>
        <v>0</v>
      </c>
      <c r="N307" s="31">
        <f>'[14]KRS II WTP 2010-2011'!N23</f>
        <v>0</v>
      </c>
      <c r="O307" s="32">
        <f>O308/O$7</f>
        <v>0</v>
      </c>
      <c r="Q307" s="33"/>
    </row>
    <row r="308" spans="1:23">
      <c r="A308" s="34" t="s">
        <v>56</v>
      </c>
      <c r="B308" s="35" t="s">
        <v>57</v>
      </c>
      <c r="C308" s="65">
        <f t="shared" ref="C308:N308" si="199">C$291*C307</f>
        <v>0</v>
      </c>
      <c r="D308" s="66">
        <f t="shared" si="199"/>
        <v>0</v>
      </c>
      <c r="E308" s="65">
        <f t="shared" si="199"/>
        <v>0</v>
      </c>
      <c r="F308" s="66">
        <f t="shared" si="199"/>
        <v>0</v>
      </c>
      <c r="G308" s="65">
        <f t="shared" si="199"/>
        <v>0</v>
      </c>
      <c r="H308" s="66">
        <f t="shared" si="199"/>
        <v>0</v>
      </c>
      <c r="I308" s="65">
        <f t="shared" si="199"/>
        <v>0</v>
      </c>
      <c r="J308" s="66">
        <f t="shared" si="199"/>
        <v>0</v>
      </c>
      <c r="K308" s="65">
        <f t="shared" si="199"/>
        <v>0</v>
      </c>
      <c r="L308" s="66">
        <f t="shared" si="199"/>
        <v>0</v>
      </c>
      <c r="M308" s="65">
        <f t="shared" si="199"/>
        <v>0</v>
      </c>
      <c r="N308" s="66">
        <f t="shared" si="199"/>
        <v>0</v>
      </c>
      <c r="O308" s="67">
        <f>SUM(C308:N308)</f>
        <v>0</v>
      </c>
      <c r="Q308" s="33"/>
      <c r="R308" s="57"/>
      <c r="S308" s="60"/>
      <c r="T308" s="57"/>
      <c r="U308" s="57"/>
      <c r="V308" s="41"/>
      <c r="W308" s="8"/>
    </row>
    <row r="309" spans="1:23" ht="15.75">
      <c r="A309" s="42"/>
      <c r="B309" s="35" t="s">
        <v>58</v>
      </c>
      <c r="C309" s="43">
        <f>'[14]Price Changes'!D60</f>
        <v>0</v>
      </c>
      <c r="D309" s="44">
        <f t="shared" ref="D309:N309" si="200">C309</f>
        <v>0</v>
      </c>
      <c r="E309" s="43">
        <f t="shared" si="200"/>
        <v>0</v>
      </c>
      <c r="F309" s="44">
        <f t="shared" si="200"/>
        <v>0</v>
      </c>
      <c r="G309" s="43">
        <f t="shared" si="200"/>
        <v>0</v>
      </c>
      <c r="H309" s="44">
        <f t="shared" si="200"/>
        <v>0</v>
      </c>
      <c r="I309" s="43">
        <f t="shared" si="200"/>
        <v>0</v>
      </c>
      <c r="J309" s="44">
        <f t="shared" si="200"/>
        <v>0</v>
      </c>
      <c r="K309" s="43">
        <f t="shared" si="200"/>
        <v>0</v>
      </c>
      <c r="L309" s="44">
        <f t="shared" si="200"/>
        <v>0</v>
      </c>
      <c r="M309" s="43">
        <f t="shared" si="200"/>
        <v>0</v>
      </c>
      <c r="N309" s="44">
        <f t="shared" si="200"/>
        <v>0</v>
      </c>
      <c r="O309" s="45">
        <f>IF(O308=0,0,+O310/O308)</f>
        <v>0</v>
      </c>
      <c r="Q309" s="33"/>
      <c r="R309" s="46"/>
      <c r="S309" s="46"/>
      <c r="T309" s="47"/>
      <c r="U309" s="47"/>
      <c r="V309" s="41"/>
      <c r="W309" s="8"/>
    </row>
    <row r="310" spans="1:23">
      <c r="A310" s="42"/>
      <c r="B310" s="35" t="s">
        <v>15</v>
      </c>
      <c r="C310" s="48">
        <f t="shared" ref="C310:N310" si="201">C308*C309</f>
        <v>0</v>
      </c>
      <c r="D310" s="49">
        <f t="shared" si="201"/>
        <v>0</v>
      </c>
      <c r="E310" s="48">
        <f t="shared" si="201"/>
        <v>0</v>
      </c>
      <c r="F310" s="49">
        <f t="shared" si="201"/>
        <v>0</v>
      </c>
      <c r="G310" s="48">
        <f t="shared" si="201"/>
        <v>0</v>
      </c>
      <c r="H310" s="49">
        <f t="shared" si="201"/>
        <v>0</v>
      </c>
      <c r="I310" s="48">
        <f t="shared" si="201"/>
        <v>0</v>
      </c>
      <c r="J310" s="49">
        <f t="shared" si="201"/>
        <v>0</v>
      </c>
      <c r="K310" s="48">
        <f t="shared" si="201"/>
        <v>0</v>
      </c>
      <c r="L310" s="49">
        <f t="shared" si="201"/>
        <v>0</v>
      </c>
      <c r="M310" s="48">
        <f t="shared" si="201"/>
        <v>0</v>
      </c>
      <c r="N310" s="49">
        <f t="shared" si="201"/>
        <v>0</v>
      </c>
      <c r="O310" s="50">
        <f>SUM(C310:N310)</f>
        <v>0</v>
      </c>
      <c r="Q310" s="33"/>
      <c r="R310" s="40"/>
      <c r="S310" s="40"/>
      <c r="T310" s="40"/>
      <c r="U310" s="40"/>
      <c r="V310" s="41"/>
      <c r="W310" s="8"/>
    </row>
    <row r="311" spans="1:23" ht="16.5" thickBot="1">
      <c r="A311" s="51"/>
      <c r="B311" s="52" t="s">
        <v>59</v>
      </c>
      <c r="C311" s="53">
        <f t="shared" ref="C311:N311" si="202">C310/C$291</f>
        <v>0</v>
      </c>
      <c r="D311" s="54">
        <f t="shared" si="202"/>
        <v>0</v>
      </c>
      <c r="E311" s="53">
        <f t="shared" si="202"/>
        <v>0</v>
      </c>
      <c r="F311" s="54">
        <f t="shared" si="202"/>
        <v>0</v>
      </c>
      <c r="G311" s="53">
        <f t="shared" si="202"/>
        <v>0</v>
      </c>
      <c r="H311" s="54" t="e">
        <f t="shared" si="202"/>
        <v>#DIV/0!</v>
      </c>
      <c r="I311" s="53" t="e">
        <f t="shared" si="202"/>
        <v>#DIV/0!</v>
      </c>
      <c r="J311" s="54" t="e">
        <f t="shared" si="202"/>
        <v>#DIV/0!</v>
      </c>
      <c r="K311" s="53" t="e">
        <f t="shared" si="202"/>
        <v>#DIV/0!</v>
      </c>
      <c r="L311" s="54" t="e">
        <f t="shared" si="202"/>
        <v>#DIV/0!</v>
      </c>
      <c r="M311" s="53" t="e">
        <f t="shared" si="202"/>
        <v>#DIV/0!</v>
      </c>
      <c r="N311" s="54" t="e">
        <f t="shared" si="202"/>
        <v>#DIV/0!</v>
      </c>
      <c r="O311" s="55">
        <f>O310/O$7</f>
        <v>0</v>
      </c>
      <c r="Q311" s="33"/>
      <c r="R311" s="46"/>
      <c r="S311" s="56"/>
      <c r="T311" s="57"/>
      <c r="U311" s="57"/>
      <c r="V311" s="41"/>
    </row>
    <row r="312" spans="1:23">
      <c r="A312" s="181" t="s">
        <v>63</v>
      </c>
      <c r="B312" s="29" t="s">
        <v>55</v>
      </c>
      <c r="C312" s="30">
        <f>C313/C$291</f>
        <v>27.775872711062345</v>
      </c>
      <c r="D312" s="31">
        <f>D313/D$291</f>
        <v>16.975609756097562</v>
      </c>
      <c r="E312" s="30">
        <f>E313/E$291</f>
        <v>18.087350786135378</v>
      </c>
      <c r="F312" s="31">
        <f>'[14]KRS II WTP 2010-2011'!F28</f>
        <v>20.358876236699643</v>
      </c>
      <c r="G312" s="30">
        <f>'[14]KRS II WTP 2010-2011'!G28</f>
        <v>19.991011535196499</v>
      </c>
      <c r="H312" s="31">
        <f>'[14]KRS II WTP 2010-2011'!H28</f>
        <v>22.621604951400556</v>
      </c>
      <c r="I312" s="30">
        <f>'[14]KRS II WTP 2010-2011'!I28</f>
        <v>18.786092945996327</v>
      </c>
      <c r="J312" s="31">
        <f>'[14]KRS II WTP 2010-2011'!J28</f>
        <v>29.009824885957162</v>
      </c>
      <c r="K312" s="30">
        <f>'[14]KRS II WTP 2010-2011'!K28</f>
        <v>33.949294640417612</v>
      </c>
      <c r="L312" s="31">
        <f>'[14]KRS II WTP 2010-2011'!L28</f>
        <v>26.725688487116621</v>
      </c>
      <c r="M312" s="30">
        <f>'[14]KRS II WTP 2010-2011'!M28</f>
        <v>29.429528358864548</v>
      </c>
      <c r="N312" s="31">
        <f>'[14]KRS II WTP 2010-2011'!N28</f>
        <v>25.067543251851735</v>
      </c>
      <c r="O312" s="32">
        <f>O313/O$7</f>
        <v>10.779340006923313</v>
      </c>
    </row>
    <row r="313" spans="1:23">
      <c r="A313" s="34" t="s">
        <v>64</v>
      </c>
      <c r="B313" s="35" t="s">
        <v>57</v>
      </c>
      <c r="C313" s="36">
        <v>4860</v>
      </c>
      <c r="D313" s="37">
        <v>2871</v>
      </c>
      <c r="E313" s="36">
        <v>3335</v>
      </c>
      <c r="F313" s="37">
        <v>4396</v>
      </c>
      <c r="G313" s="36">
        <f t="shared" ref="G313:N313" si="203">G$291*G312</f>
        <v>4038.9040065249606</v>
      </c>
      <c r="H313" s="37">
        <f t="shared" si="203"/>
        <v>0</v>
      </c>
      <c r="I313" s="36">
        <f t="shared" si="203"/>
        <v>0</v>
      </c>
      <c r="J313" s="37">
        <f t="shared" si="203"/>
        <v>0</v>
      </c>
      <c r="K313" s="36">
        <f t="shared" si="203"/>
        <v>0</v>
      </c>
      <c r="L313" s="37">
        <f t="shared" si="203"/>
        <v>0</v>
      </c>
      <c r="M313" s="36">
        <f t="shared" si="203"/>
        <v>0</v>
      </c>
      <c r="N313" s="37">
        <f t="shared" si="203"/>
        <v>0</v>
      </c>
      <c r="O313" s="38">
        <f>SUM(C313:N313)</f>
        <v>19500.904006524961</v>
      </c>
    </row>
    <row r="314" spans="1:23">
      <c r="A314" s="34"/>
      <c r="B314" s="35" t="s">
        <v>58</v>
      </c>
      <c r="C314" s="43">
        <f>C315/C313</f>
        <v>0.42280041152263376</v>
      </c>
      <c r="D314" s="44">
        <f>D315/D313</f>
        <v>0.42280041797283174</v>
      </c>
      <c r="E314" s="43">
        <f>E315/E313</f>
        <v>0.3722008995502249</v>
      </c>
      <c r="F314" s="44">
        <f>F315/F313</f>
        <v>0.37219972702456783</v>
      </c>
      <c r="G314" s="43">
        <f t="shared" ref="G314:N314" si="204">F314</f>
        <v>0.37219972702456783</v>
      </c>
      <c r="H314" s="44">
        <f t="shared" si="204"/>
        <v>0.37219972702456783</v>
      </c>
      <c r="I314" s="43">
        <f t="shared" si="204"/>
        <v>0.37219972702456783</v>
      </c>
      <c r="J314" s="44">
        <f t="shared" si="204"/>
        <v>0.37219972702456783</v>
      </c>
      <c r="K314" s="43">
        <f t="shared" si="204"/>
        <v>0.37219972702456783</v>
      </c>
      <c r="L314" s="44">
        <f t="shared" si="204"/>
        <v>0.37219972702456783</v>
      </c>
      <c r="M314" s="43">
        <f t="shared" si="204"/>
        <v>0.37219972702456783</v>
      </c>
      <c r="N314" s="44">
        <f t="shared" si="204"/>
        <v>0.37219972702456783</v>
      </c>
      <c r="O314" s="45">
        <f>IF(O313=0,0,+O315/O313)</f>
        <v>0.39226022373873232</v>
      </c>
    </row>
    <row r="315" spans="1:23">
      <c r="A315" s="42"/>
      <c r="B315" s="35" t="s">
        <v>15</v>
      </c>
      <c r="C315" s="48">
        <v>2054.81</v>
      </c>
      <c r="D315" s="49">
        <v>1213.8599999999999</v>
      </c>
      <c r="E315" s="48">
        <v>1241.29</v>
      </c>
      <c r="F315" s="49">
        <v>1636.19</v>
      </c>
      <c r="G315" s="48">
        <f t="shared" ref="G315:N315" si="205">G313*G314</f>
        <v>1503.2789687070235</v>
      </c>
      <c r="H315" s="49">
        <f t="shared" si="205"/>
        <v>0</v>
      </c>
      <c r="I315" s="48">
        <f t="shared" si="205"/>
        <v>0</v>
      </c>
      <c r="J315" s="49">
        <f t="shared" si="205"/>
        <v>0</v>
      </c>
      <c r="K315" s="48">
        <f t="shared" si="205"/>
        <v>0</v>
      </c>
      <c r="L315" s="49">
        <f t="shared" si="205"/>
        <v>0</v>
      </c>
      <c r="M315" s="48">
        <f t="shared" si="205"/>
        <v>0</v>
      </c>
      <c r="N315" s="49">
        <f t="shared" si="205"/>
        <v>0</v>
      </c>
      <c r="O315" s="50">
        <f>SUM(C315:N315)</f>
        <v>7649.4289687070232</v>
      </c>
    </row>
    <row r="316" spans="1:23" ht="13.5" thickBot="1">
      <c r="A316" s="51"/>
      <c r="B316" s="52" t="s">
        <v>59</v>
      </c>
      <c r="C316" s="53">
        <f t="shared" ref="C316:N316" si="206">C315/C$291</f>
        <v>11.743650412637452</v>
      </c>
      <c r="D316" s="54">
        <f t="shared" si="206"/>
        <v>7.177294900221729</v>
      </c>
      <c r="E316" s="53">
        <f t="shared" si="206"/>
        <v>6.7321282330800543</v>
      </c>
      <c r="F316" s="54">
        <f t="shared" si="206"/>
        <v>8.457772907254439</v>
      </c>
      <c r="G316" s="53">
        <f t="shared" si="206"/>
        <v>7.440649036345123</v>
      </c>
      <c r="H316" s="54" t="e">
        <f t="shared" si="206"/>
        <v>#DIV/0!</v>
      </c>
      <c r="I316" s="53" t="e">
        <f t="shared" si="206"/>
        <v>#DIV/0!</v>
      </c>
      <c r="J316" s="54" t="e">
        <f t="shared" si="206"/>
        <v>#DIV/0!</v>
      </c>
      <c r="K316" s="53" t="e">
        <f t="shared" si="206"/>
        <v>#DIV/0!</v>
      </c>
      <c r="L316" s="54" t="e">
        <f t="shared" si="206"/>
        <v>#DIV/0!</v>
      </c>
      <c r="M316" s="53" t="e">
        <f t="shared" si="206"/>
        <v>#DIV/0!</v>
      </c>
      <c r="N316" s="54" t="e">
        <f t="shared" si="206"/>
        <v>#DIV/0!</v>
      </c>
      <c r="O316" s="55">
        <f>O315/O$7</f>
        <v>4.2283063228716076</v>
      </c>
    </row>
    <row r="317" spans="1:23">
      <c r="A317" s="28" t="s">
        <v>65</v>
      </c>
      <c r="B317" s="29" t="s">
        <v>55</v>
      </c>
      <c r="C317" s="30">
        <f>'[14]KRS II WTP 2010-2011'!C33</f>
        <v>0</v>
      </c>
      <c r="D317" s="31">
        <f>'[14]KRS II WTP 2010-2011'!D33</f>
        <v>0</v>
      </c>
      <c r="E317" s="30">
        <f>'[14]KRS II WTP 2010-2011'!E33</f>
        <v>0</v>
      </c>
      <c r="F317" s="31">
        <f>'[14]KRS II WTP 2010-2011'!F33</f>
        <v>0</v>
      </c>
      <c r="G317" s="30">
        <f>'[14]KRS II WTP 2010-2011'!G33</f>
        <v>0</v>
      </c>
      <c r="H317" s="31">
        <f>'[14]KRS II WTP 2010-2011'!H33</f>
        <v>0</v>
      </c>
      <c r="I317" s="30">
        <f>'[14]KRS II WTP 2010-2011'!I33</f>
        <v>0</v>
      </c>
      <c r="J317" s="31">
        <f>'[14]KRS II WTP 2010-2011'!J33</f>
        <v>0</v>
      </c>
      <c r="K317" s="30">
        <f>'[14]KRS II WTP 2010-2011'!K33</f>
        <v>0</v>
      </c>
      <c r="L317" s="31">
        <f>'[14]KRS II WTP 2010-2011'!L33</f>
        <v>0</v>
      </c>
      <c r="M317" s="30">
        <f>'[14]KRS II WTP 2010-2011'!M33</f>
        <v>0</v>
      </c>
      <c r="N317" s="31">
        <f>'[14]KRS II WTP 2010-2011'!N33</f>
        <v>0</v>
      </c>
      <c r="O317" s="32">
        <f>O318/O$7</f>
        <v>0</v>
      </c>
      <c r="Q317" s="33"/>
    </row>
    <row r="318" spans="1:23">
      <c r="A318" s="34" t="s">
        <v>56</v>
      </c>
      <c r="B318" s="35" t="s">
        <v>57</v>
      </c>
      <c r="C318" s="36">
        <f t="shared" ref="C318:N318" si="207">C$291*C317</f>
        <v>0</v>
      </c>
      <c r="D318" s="37">
        <f t="shared" si="207"/>
        <v>0</v>
      </c>
      <c r="E318" s="36">
        <f t="shared" si="207"/>
        <v>0</v>
      </c>
      <c r="F318" s="37">
        <f t="shared" si="207"/>
        <v>0</v>
      </c>
      <c r="G318" s="36">
        <f t="shared" si="207"/>
        <v>0</v>
      </c>
      <c r="H318" s="37">
        <f t="shared" si="207"/>
        <v>0</v>
      </c>
      <c r="I318" s="36">
        <f t="shared" si="207"/>
        <v>0</v>
      </c>
      <c r="J318" s="37">
        <f t="shared" si="207"/>
        <v>0</v>
      </c>
      <c r="K318" s="36">
        <f t="shared" si="207"/>
        <v>0</v>
      </c>
      <c r="L318" s="37">
        <f t="shared" si="207"/>
        <v>0</v>
      </c>
      <c r="M318" s="36">
        <f t="shared" si="207"/>
        <v>0</v>
      </c>
      <c r="N318" s="37">
        <f t="shared" si="207"/>
        <v>0</v>
      </c>
      <c r="O318" s="38">
        <f>SUM(C318:N318)</f>
        <v>0</v>
      </c>
      <c r="Q318" s="33"/>
      <c r="R318" s="57"/>
      <c r="S318" s="57"/>
      <c r="T318" s="57"/>
      <c r="U318" s="57"/>
      <c r="V318" s="41"/>
      <c r="W318" s="8"/>
    </row>
    <row r="319" spans="1:23" ht="15.75">
      <c r="A319" s="42"/>
      <c r="B319" s="35" t="s">
        <v>58</v>
      </c>
      <c r="C319" s="43">
        <f>'[14]Price Changes'!D62</f>
        <v>9.5950000000000008E-2</v>
      </c>
      <c r="D319" s="44">
        <f t="shared" ref="D319:N319" si="208">C319</f>
        <v>9.5950000000000008E-2</v>
      </c>
      <c r="E319" s="43">
        <f t="shared" si="208"/>
        <v>9.5950000000000008E-2</v>
      </c>
      <c r="F319" s="44">
        <f t="shared" si="208"/>
        <v>9.5950000000000008E-2</v>
      </c>
      <c r="G319" s="43">
        <f t="shared" si="208"/>
        <v>9.5950000000000008E-2</v>
      </c>
      <c r="H319" s="44">
        <f t="shared" si="208"/>
        <v>9.5950000000000008E-2</v>
      </c>
      <c r="I319" s="43">
        <f t="shared" si="208"/>
        <v>9.5950000000000008E-2</v>
      </c>
      <c r="J319" s="44">
        <f t="shared" si="208"/>
        <v>9.5950000000000008E-2</v>
      </c>
      <c r="K319" s="43">
        <f t="shared" si="208"/>
        <v>9.5950000000000008E-2</v>
      </c>
      <c r="L319" s="44">
        <f t="shared" si="208"/>
        <v>9.5950000000000008E-2</v>
      </c>
      <c r="M319" s="43">
        <f t="shared" si="208"/>
        <v>9.5950000000000008E-2</v>
      </c>
      <c r="N319" s="44">
        <f t="shared" si="208"/>
        <v>9.5950000000000008E-2</v>
      </c>
      <c r="O319" s="45">
        <f>IF(O318=0,0,+O320/O318)</f>
        <v>0</v>
      </c>
      <c r="Q319" s="33"/>
      <c r="R319" s="46"/>
      <c r="S319" s="46"/>
      <c r="T319" s="47"/>
      <c r="U319" s="47"/>
      <c r="V319" s="41"/>
      <c r="W319" s="8"/>
    </row>
    <row r="320" spans="1:23">
      <c r="A320" s="42"/>
      <c r="B320" s="35" t="s">
        <v>15</v>
      </c>
      <c r="C320" s="48">
        <f t="shared" ref="C320:N320" si="209">C318*C319</f>
        <v>0</v>
      </c>
      <c r="D320" s="49">
        <f t="shared" si="209"/>
        <v>0</v>
      </c>
      <c r="E320" s="48">
        <f t="shared" si="209"/>
        <v>0</v>
      </c>
      <c r="F320" s="49">
        <f t="shared" si="209"/>
        <v>0</v>
      </c>
      <c r="G320" s="48">
        <f t="shared" si="209"/>
        <v>0</v>
      </c>
      <c r="H320" s="49">
        <f t="shared" si="209"/>
        <v>0</v>
      </c>
      <c r="I320" s="48">
        <f t="shared" si="209"/>
        <v>0</v>
      </c>
      <c r="J320" s="49">
        <f t="shared" si="209"/>
        <v>0</v>
      </c>
      <c r="K320" s="48">
        <f t="shared" si="209"/>
        <v>0</v>
      </c>
      <c r="L320" s="49">
        <f t="shared" si="209"/>
        <v>0</v>
      </c>
      <c r="M320" s="48">
        <f t="shared" si="209"/>
        <v>0</v>
      </c>
      <c r="N320" s="49">
        <f t="shared" si="209"/>
        <v>0</v>
      </c>
      <c r="O320" s="50">
        <f>SUM(C320:N320)</f>
        <v>0</v>
      </c>
      <c r="Q320" s="33"/>
      <c r="R320" s="40"/>
      <c r="S320" s="40"/>
      <c r="T320" s="40"/>
      <c r="U320" s="40"/>
      <c r="V320" s="41"/>
    </row>
    <row r="321" spans="1:23" ht="16.5" thickBot="1">
      <c r="A321" s="51"/>
      <c r="B321" s="52" t="s">
        <v>59</v>
      </c>
      <c r="C321" s="53">
        <f t="shared" ref="C321:N321" si="210">C320/C$291</f>
        <v>0</v>
      </c>
      <c r="D321" s="54">
        <f t="shared" si="210"/>
        <v>0</v>
      </c>
      <c r="E321" s="53">
        <f t="shared" si="210"/>
        <v>0</v>
      </c>
      <c r="F321" s="54">
        <f t="shared" si="210"/>
        <v>0</v>
      </c>
      <c r="G321" s="53">
        <f t="shared" si="210"/>
        <v>0</v>
      </c>
      <c r="H321" s="54" t="e">
        <f t="shared" si="210"/>
        <v>#DIV/0!</v>
      </c>
      <c r="I321" s="53" t="e">
        <f t="shared" si="210"/>
        <v>#DIV/0!</v>
      </c>
      <c r="J321" s="54" t="e">
        <f t="shared" si="210"/>
        <v>#DIV/0!</v>
      </c>
      <c r="K321" s="53" t="e">
        <f t="shared" si="210"/>
        <v>#DIV/0!</v>
      </c>
      <c r="L321" s="54" t="e">
        <f t="shared" si="210"/>
        <v>#DIV/0!</v>
      </c>
      <c r="M321" s="53" t="e">
        <f t="shared" si="210"/>
        <v>#DIV/0!</v>
      </c>
      <c r="N321" s="54" t="e">
        <f t="shared" si="210"/>
        <v>#DIV/0!</v>
      </c>
      <c r="O321" s="55">
        <f>O320/O$7</f>
        <v>0</v>
      </c>
      <c r="Q321" s="33"/>
      <c r="R321" s="56"/>
      <c r="S321" s="56"/>
      <c r="T321" s="57"/>
      <c r="U321" s="57"/>
      <c r="V321" s="41"/>
    </row>
    <row r="322" spans="1:23">
      <c r="A322" s="28" t="s">
        <v>66</v>
      </c>
      <c r="B322" s="29" t="s">
        <v>55</v>
      </c>
      <c r="C322" s="30">
        <f>C323/C$291</f>
        <v>38.800493793292645</v>
      </c>
      <c r="D322" s="31">
        <f>D323/D$291</f>
        <v>37.794530672579455</v>
      </c>
      <c r="E322" s="30">
        <f>E323/E$291</f>
        <v>34.911027589311374</v>
      </c>
      <c r="F322" s="31">
        <f>'[14]KRS II WTP 2010-2011'!F38</f>
        <v>34.365083068881837</v>
      </c>
      <c r="G322" s="30">
        <f>'[14]KRS II WTP 2010-2011'!G38</f>
        <v>32.968801149635745</v>
      </c>
      <c r="H322" s="31">
        <f>'[14]KRS II WTP 2010-2011'!H38</f>
        <v>34.795924878235532</v>
      </c>
      <c r="I322" s="30">
        <f>'[14]KRS II WTP 2010-2011'!I38</f>
        <v>33.343369723706068</v>
      </c>
      <c r="J322" s="31">
        <f>'[14]KRS II WTP 2010-2011'!J38</f>
        <v>51.489435273904881</v>
      </c>
      <c r="K322" s="30">
        <f>'[14]KRS II WTP 2010-2011'!K38</f>
        <v>40.393879693409453</v>
      </c>
      <c r="L322" s="31">
        <f>'[14]KRS II WTP 2010-2011'!L38</f>
        <v>36.387574317214643</v>
      </c>
      <c r="M322" s="30">
        <f>'[14]KRS II WTP 2010-2011'!M38</f>
        <v>36.633174106407509</v>
      </c>
      <c r="N322" s="31">
        <f>'[14]KRS II WTP 2010-2011'!N38</f>
        <v>40.794512748620939</v>
      </c>
      <c r="O322" s="32">
        <f>O323/O$7</f>
        <v>18.485371018223326</v>
      </c>
      <c r="Q322" s="33"/>
    </row>
    <row r="323" spans="1:23">
      <c r="A323" s="34" t="s">
        <v>64</v>
      </c>
      <c r="B323" s="35" t="s">
        <v>57</v>
      </c>
      <c r="C323" s="36">
        <v>6789</v>
      </c>
      <c r="D323" s="37">
        <v>6392</v>
      </c>
      <c r="E323" s="36">
        <v>6437</v>
      </c>
      <c r="F323" s="37">
        <v>7163</v>
      </c>
      <c r="G323" s="36">
        <f t="shared" ref="G323:N323" si="211">G$291*G322</f>
        <v>6660.8847090678082</v>
      </c>
      <c r="H323" s="37">
        <f t="shared" si="211"/>
        <v>0</v>
      </c>
      <c r="I323" s="36">
        <f t="shared" si="211"/>
        <v>0</v>
      </c>
      <c r="J323" s="37">
        <f t="shared" si="211"/>
        <v>0</v>
      </c>
      <c r="K323" s="36">
        <f t="shared" si="211"/>
        <v>0</v>
      </c>
      <c r="L323" s="37">
        <f t="shared" si="211"/>
        <v>0</v>
      </c>
      <c r="M323" s="36">
        <f t="shared" si="211"/>
        <v>0</v>
      </c>
      <c r="N323" s="37">
        <f t="shared" si="211"/>
        <v>0</v>
      </c>
      <c r="O323" s="38">
        <f>SUM(C323:N323)</f>
        <v>33441.88470906781</v>
      </c>
      <c r="Q323" s="33"/>
      <c r="R323" s="57"/>
      <c r="S323" s="57"/>
      <c r="T323" s="57"/>
      <c r="U323" s="57"/>
      <c r="V323" s="41"/>
      <c r="W323" s="8"/>
    </row>
    <row r="324" spans="1:23" ht="15.75">
      <c r="A324" s="42"/>
      <c r="B324" s="35" t="s">
        <v>58</v>
      </c>
      <c r="C324" s="43">
        <f>C325/C323</f>
        <v>0.29100014729709822</v>
      </c>
      <c r="D324" s="44">
        <f>D325/D323</f>
        <v>0.29099968710888607</v>
      </c>
      <c r="E324" s="43">
        <f>E325/E323</f>
        <v>0.24479726580705297</v>
      </c>
      <c r="F324" s="44">
        <f>F325/F323</f>
        <v>0.2447996649448555</v>
      </c>
      <c r="G324" s="43">
        <f t="shared" ref="G324:N324" si="212">F324</f>
        <v>0.2447996649448555</v>
      </c>
      <c r="H324" s="44">
        <f t="shared" si="212"/>
        <v>0.2447996649448555</v>
      </c>
      <c r="I324" s="43">
        <f t="shared" si="212"/>
        <v>0.2447996649448555</v>
      </c>
      <c r="J324" s="44">
        <f t="shared" si="212"/>
        <v>0.2447996649448555</v>
      </c>
      <c r="K324" s="43">
        <f t="shared" si="212"/>
        <v>0.2447996649448555</v>
      </c>
      <c r="L324" s="44">
        <f t="shared" si="212"/>
        <v>0.2447996649448555</v>
      </c>
      <c r="M324" s="43">
        <f t="shared" si="212"/>
        <v>0.2447996649448555</v>
      </c>
      <c r="N324" s="44">
        <f t="shared" si="212"/>
        <v>0.2447996649448555</v>
      </c>
      <c r="O324" s="45">
        <f>IF(O323=0,0,+O325/O323)</f>
        <v>0.26300887110681287</v>
      </c>
      <c r="Q324" s="33"/>
      <c r="R324" s="46"/>
      <c r="S324" s="46"/>
      <c r="T324" s="47"/>
      <c r="U324" s="47"/>
      <c r="V324" s="41"/>
      <c r="W324" s="8"/>
    </row>
    <row r="325" spans="1:23">
      <c r="A325" s="42"/>
      <c r="B325" s="35" t="s">
        <v>15</v>
      </c>
      <c r="C325" s="48">
        <v>1975.6</v>
      </c>
      <c r="D325" s="49">
        <v>1860.07</v>
      </c>
      <c r="E325" s="48">
        <v>1575.76</v>
      </c>
      <c r="F325" s="49">
        <v>1753.5</v>
      </c>
      <c r="G325" s="48">
        <f t="shared" ref="G325:N325" si="213">G323*G324</f>
        <v>1630.5823450161108</v>
      </c>
      <c r="H325" s="49">
        <f t="shared" si="213"/>
        <v>0</v>
      </c>
      <c r="I325" s="48">
        <f t="shared" si="213"/>
        <v>0</v>
      </c>
      <c r="J325" s="49">
        <f t="shared" si="213"/>
        <v>0</v>
      </c>
      <c r="K325" s="48">
        <f t="shared" si="213"/>
        <v>0</v>
      </c>
      <c r="L325" s="49">
        <f t="shared" si="213"/>
        <v>0</v>
      </c>
      <c r="M325" s="48">
        <f t="shared" si="213"/>
        <v>0</v>
      </c>
      <c r="N325" s="49">
        <f t="shared" si="213"/>
        <v>0</v>
      </c>
      <c r="O325" s="50">
        <f>SUM(C325:N325)</f>
        <v>8795.5123450161118</v>
      </c>
      <c r="Q325" s="33"/>
      <c r="R325" s="40"/>
      <c r="S325" s="40"/>
      <c r="T325" s="40"/>
      <c r="U325" s="40"/>
      <c r="V325" s="41"/>
    </row>
    <row r="326" spans="1:23" ht="16.5" thickBot="1">
      <c r="A326" s="51"/>
      <c r="B326" s="52" t="s">
        <v>59</v>
      </c>
      <c r="C326" s="53">
        <f t="shared" ref="C326:N326" si="214">C325/C$291</f>
        <v>11.290949409048306</v>
      </c>
      <c r="D326" s="54">
        <f t="shared" si="214"/>
        <v>10.99819660014782</v>
      </c>
      <c r="E326" s="53">
        <f t="shared" si="214"/>
        <v>8.546124100378016</v>
      </c>
      <c r="F326" s="54">
        <f t="shared" si="214"/>
        <v>9.0641702937132358</v>
      </c>
      <c r="G326" s="53">
        <f t="shared" si="214"/>
        <v>8.0707514750643981</v>
      </c>
      <c r="H326" s="54" t="e">
        <f t="shared" si="214"/>
        <v>#DIV/0!</v>
      </c>
      <c r="I326" s="53" t="e">
        <f t="shared" si="214"/>
        <v>#DIV/0!</v>
      </c>
      <c r="J326" s="54" t="e">
        <f t="shared" si="214"/>
        <v>#DIV/0!</v>
      </c>
      <c r="K326" s="53" t="e">
        <f t="shared" si="214"/>
        <v>#DIV/0!</v>
      </c>
      <c r="L326" s="54" t="e">
        <f t="shared" si="214"/>
        <v>#DIV/0!</v>
      </c>
      <c r="M326" s="53" t="e">
        <f t="shared" si="214"/>
        <v>#DIV/0!</v>
      </c>
      <c r="N326" s="54" t="e">
        <f t="shared" si="214"/>
        <v>#DIV/0!</v>
      </c>
      <c r="O326" s="55">
        <f>O325/O$7</f>
        <v>4.8618165634935124</v>
      </c>
      <c r="Q326" s="33"/>
      <c r="R326" s="46"/>
      <c r="S326" s="56"/>
      <c r="T326" s="57"/>
      <c r="U326" s="57"/>
      <c r="V326" s="41"/>
    </row>
    <row r="327" spans="1:23">
      <c r="A327" s="69" t="s">
        <v>67</v>
      </c>
      <c r="B327" s="29" t="s">
        <v>55</v>
      </c>
      <c r="C327" s="30">
        <f>C328/C$291</f>
        <v>422.36472121253689</v>
      </c>
      <c r="D327" s="31">
        <f>D328/D$291</f>
        <v>215.14264597191428</v>
      </c>
      <c r="E327" s="30">
        <f>E328/E$291</f>
        <v>412.13669372989909</v>
      </c>
      <c r="F327" s="31">
        <f>'[14]KRS II WTP 2010-2011'!F43</f>
        <v>490.19973865969757</v>
      </c>
      <c r="G327" s="30">
        <f>'[14]KRS II WTP 2010-2011'!G43</f>
        <v>465.76338143826536</v>
      </c>
      <c r="H327" s="31">
        <f>'[14]KRS II WTP 2010-2011'!H43</f>
        <v>324.45711125763023</v>
      </c>
      <c r="I327" s="30">
        <f>'[14]KRS II WTP 2010-2011'!I43</f>
        <v>523.33460761660535</v>
      </c>
      <c r="J327" s="31">
        <f>'[14]KRS II WTP 2010-2011'!J43</f>
        <v>808.14277707246015</v>
      </c>
      <c r="K327" s="30">
        <f>'[14]KRS II WTP 2010-2011'!K43</f>
        <v>292.40210529343244</v>
      </c>
      <c r="L327" s="31">
        <f>'[14]KRS II WTP 2010-2011'!L43</f>
        <v>496.37420110614079</v>
      </c>
      <c r="M327" s="30">
        <f>'[14]KRS II WTP 2010-2011'!M43</f>
        <v>435.04090484818539</v>
      </c>
      <c r="N327" s="31">
        <f>'[14]KRS II WTP 2010-2011'!N43</f>
        <v>433.36180086691701</v>
      </c>
      <c r="O327" s="32">
        <f>O328/O$7</f>
        <v>177.59713146440853</v>
      </c>
    </row>
    <row r="328" spans="1:23">
      <c r="A328" s="34" t="s">
        <v>64</v>
      </c>
      <c r="B328" s="35" t="s">
        <v>57</v>
      </c>
      <c r="C328" s="36">
        <v>73902</v>
      </c>
      <c r="D328" s="37">
        <v>36386</v>
      </c>
      <c r="E328" s="36">
        <v>75991</v>
      </c>
      <c r="F328" s="37">
        <v>40911</v>
      </c>
      <c r="G328" s="36">
        <f t="shared" ref="G328:N328" si="215">G$291*G327</f>
        <v>94100.970532261388</v>
      </c>
      <c r="H328" s="37">
        <f t="shared" si="215"/>
        <v>0</v>
      </c>
      <c r="I328" s="36">
        <f t="shared" si="215"/>
        <v>0</v>
      </c>
      <c r="J328" s="37">
        <f t="shared" si="215"/>
        <v>0</v>
      </c>
      <c r="K328" s="36">
        <f t="shared" si="215"/>
        <v>0</v>
      </c>
      <c r="L328" s="37">
        <f t="shared" si="215"/>
        <v>0</v>
      </c>
      <c r="M328" s="36">
        <f t="shared" si="215"/>
        <v>0</v>
      </c>
      <c r="N328" s="37">
        <f t="shared" si="215"/>
        <v>0</v>
      </c>
      <c r="O328" s="38">
        <f>SUM(C328:N328)</f>
        <v>321290.97053226142</v>
      </c>
    </row>
    <row r="329" spans="1:23">
      <c r="A329" s="42"/>
      <c r="B329" s="35" t="s">
        <v>58</v>
      </c>
      <c r="C329" s="43">
        <f>C330/C328</f>
        <v>0.1499000027062867</v>
      </c>
      <c r="D329" s="44">
        <f>D330/D328</f>
        <v>0.15209998351014128</v>
      </c>
      <c r="E329" s="43">
        <f>E330/E328</f>
        <v>0.1531999842086563</v>
      </c>
      <c r="F329" s="44">
        <f>F330/F328</f>
        <v>0.1541001197721884</v>
      </c>
      <c r="G329" s="43">
        <f t="shared" ref="G329:N329" si="216">F329</f>
        <v>0.1541001197721884</v>
      </c>
      <c r="H329" s="44">
        <f t="shared" si="216"/>
        <v>0.1541001197721884</v>
      </c>
      <c r="I329" s="43">
        <f t="shared" si="216"/>
        <v>0.1541001197721884</v>
      </c>
      <c r="J329" s="44">
        <f t="shared" si="216"/>
        <v>0.1541001197721884</v>
      </c>
      <c r="K329" s="43">
        <f t="shared" si="216"/>
        <v>0.1541001197721884</v>
      </c>
      <c r="L329" s="44">
        <f t="shared" si="216"/>
        <v>0.1541001197721884</v>
      </c>
      <c r="M329" s="43">
        <f t="shared" si="216"/>
        <v>0.1541001197721884</v>
      </c>
      <c r="N329" s="44">
        <f t="shared" si="216"/>
        <v>0.1541001197721884</v>
      </c>
      <c r="O329" s="45">
        <f>IF(O328=0,0,+O330/O328)</f>
        <v>0.15269461431931061</v>
      </c>
    </row>
    <row r="330" spans="1:23">
      <c r="A330" s="42"/>
      <c r="B330" s="35" t="s">
        <v>15</v>
      </c>
      <c r="C330" s="48">
        <v>11077.91</v>
      </c>
      <c r="D330" s="49">
        <v>5534.31</v>
      </c>
      <c r="E330" s="48">
        <v>11641.82</v>
      </c>
      <c r="F330" s="49">
        <v>6304.39</v>
      </c>
      <c r="G330" s="48">
        <f t="shared" ref="G330:N330" si="217">G328*G329</f>
        <v>14500.970829700651</v>
      </c>
      <c r="H330" s="49">
        <f t="shared" si="217"/>
        <v>0</v>
      </c>
      <c r="I330" s="48">
        <f t="shared" si="217"/>
        <v>0</v>
      </c>
      <c r="J330" s="49">
        <f t="shared" si="217"/>
        <v>0</v>
      </c>
      <c r="K330" s="48">
        <f t="shared" si="217"/>
        <v>0</v>
      </c>
      <c r="L330" s="49">
        <f t="shared" si="217"/>
        <v>0</v>
      </c>
      <c r="M330" s="48">
        <f t="shared" si="217"/>
        <v>0</v>
      </c>
      <c r="N330" s="49">
        <f t="shared" si="217"/>
        <v>0</v>
      </c>
      <c r="O330" s="50">
        <f>SUM(C330:N330)</f>
        <v>49059.400829700651</v>
      </c>
    </row>
    <row r="331" spans="1:23" ht="13.5" thickBot="1">
      <c r="A331" s="51"/>
      <c r="B331" s="52" t="s">
        <v>59</v>
      </c>
      <c r="C331" s="53">
        <f t="shared" ref="C331:N331" si="218">C330/C$291</f>
        <v>63.31247285279931</v>
      </c>
      <c r="D331" s="54">
        <f t="shared" si="218"/>
        <v>32.723192904656322</v>
      </c>
      <c r="E331" s="53">
        <f t="shared" si="218"/>
        <v>63.139334971228351</v>
      </c>
      <c r="F331" s="54">
        <f t="shared" si="218"/>
        <v>32.588574027934293</v>
      </c>
      <c r="G331" s="53">
        <f t="shared" si="218"/>
        <v>71.774192865136158</v>
      </c>
      <c r="H331" s="54" t="e">
        <f t="shared" si="218"/>
        <v>#DIV/0!</v>
      </c>
      <c r="I331" s="53" t="e">
        <f t="shared" si="218"/>
        <v>#DIV/0!</v>
      </c>
      <c r="J331" s="54" t="e">
        <f t="shared" si="218"/>
        <v>#DIV/0!</v>
      </c>
      <c r="K331" s="53" t="e">
        <f t="shared" si="218"/>
        <v>#DIV/0!</v>
      </c>
      <c r="L331" s="54" t="e">
        <f t="shared" si="218"/>
        <v>#DIV/0!</v>
      </c>
      <c r="M331" s="53" t="e">
        <f t="shared" si="218"/>
        <v>#DIV/0!</v>
      </c>
      <c r="N331" s="54" t="e">
        <f t="shared" si="218"/>
        <v>#DIV/0!</v>
      </c>
      <c r="O331" s="55">
        <f>O330/O$7</f>
        <v>27.118125493173768</v>
      </c>
    </row>
    <row r="332" spans="1:23">
      <c r="A332" s="28" t="s">
        <v>68</v>
      </c>
      <c r="B332" s="29" t="s">
        <v>55</v>
      </c>
      <c r="C332" s="30">
        <f>C333/C$291</f>
        <v>0.16002560409665548</v>
      </c>
      <c r="D332" s="31">
        <f>D333/D$291</f>
        <v>1.188470066518847</v>
      </c>
      <c r="E332" s="30">
        <f>E333/E$291</f>
        <v>1.1389336327101738</v>
      </c>
      <c r="F332" s="31">
        <f>'[14]KRS II WTP 2010-2011'!F48</f>
        <v>0</v>
      </c>
      <c r="G332" s="30">
        <f>'[14]KRS II WTP 2010-2011'!G48</f>
        <v>0</v>
      </c>
      <c r="H332" s="31">
        <f>'[14]KRS II WTP 2010-2011'!H48</f>
        <v>0.12335963587638513</v>
      </c>
      <c r="I332" s="30">
        <f>'[14]KRS II WTP 2010-2011'!I48</f>
        <v>0</v>
      </c>
      <c r="J332" s="31">
        <f>'[14]KRS II WTP 2010-2011'!J48</f>
        <v>0</v>
      </c>
      <c r="K332" s="30">
        <f>'[14]KRS II WTP 2010-2011'!K48</f>
        <v>5.7521678482578125</v>
      </c>
      <c r="L332" s="31">
        <f>'[14]KRS II WTP 2010-2011'!L48</f>
        <v>1.7623611492668059</v>
      </c>
      <c r="M332" s="30">
        <f>'[14]KRS II WTP 2010-2011'!M48</f>
        <v>0</v>
      </c>
      <c r="N332" s="31">
        <f>'[14]KRS II WTP 2010-2011'!N48</f>
        <v>0</v>
      </c>
      <c r="O332" s="32">
        <f>O333/O$7</f>
        <v>0.24266209717539111</v>
      </c>
      <c r="Q332" s="33"/>
    </row>
    <row r="333" spans="1:23">
      <c r="A333" s="34" t="s">
        <v>64</v>
      </c>
      <c r="B333" s="35" t="s">
        <v>57</v>
      </c>
      <c r="C333" s="36">
        <v>28</v>
      </c>
      <c r="D333" s="37">
        <v>201</v>
      </c>
      <c r="E333" s="36">
        <v>210</v>
      </c>
      <c r="F333" s="37">
        <f t="shared" ref="F333:N333" si="219">F$291*F332</f>
        <v>0</v>
      </c>
      <c r="G333" s="36">
        <f t="shared" si="219"/>
        <v>0</v>
      </c>
      <c r="H333" s="37">
        <f t="shared" si="219"/>
        <v>0</v>
      </c>
      <c r="I333" s="36">
        <f t="shared" si="219"/>
        <v>0</v>
      </c>
      <c r="J333" s="37">
        <f t="shared" si="219"/>
        <v>0</v>
      </c>
      <c r="K333" s="36">
        <f t="shared" si="219"/>
        <v>0</v>
      </c>
      <c r="L333" s="37">
        <f t="shared" si="219"/>
        <v>0</v>
      </c>
      <c r="M333" s="36">
        <f t="shared" si="219"/>
        <v>0</v>
      </c>
      <c r="N333" s="37">
        <f t="shared" si="219"/>
        <v>0</v>
      </c>
      <c r="O333" s="38">
        <f>SUM(C333:N333)</f>
        <v>439</v>
      </c>
      <c r="Q333" s="33"/>
      <c r="R333" s="57"/>
      <c r="S333" s="68"/>
      <c r="T333" s="68"/>
      <c r="U333" s="33"/>
      <c r="V333" s="41"/>
    </row>
    <row r="334" spans="1:23" ht="15.75">
      <c r="A334" s="42"/>
      <c r="B334" s="35" t="s">
        <v>58</v>
      </c>
      <c r="C334" s="43">
        <f>C335/C333</f>
        <v>1.2085714285714286</v>
      </c>
      <c r="D334" s="44">
        <f>D335/D333</f>
        <v>1.208407960199005</v>
      </c>
      <c r="E334" s="43">
        <f>E335/E333</f>
        <v>1.2083809523809523</v>
      </c>
      <c r="F334" s="44">
        <f t="shared" ref="F334:N334" si="220">E334</f>
        <v>1.2083809523809523</v>
      </c>
      <c r="G334" s="43">
        <f t="shared" si="220"/>
        <v>1.2083809523809523</v>
      </c>
      <c r="H334" s="44">
        <f t="shared" si="220"/>
        <v>1.2083809523809523</v>
      </c>
      <c r="I334" s="43">
        <f t="shared" si="220"/>
        <v>1.2083809523809523</v>
      </c>
      <c r="J334" s="44">
        <f t="shared" si="220"/>
        <v>1.2083809523809523</v>
      </c>
      <c r="K334" s="43">
        <f t="shared" si="220"/>
        <v>1.2083809523809523</v>
      </c>
      <c r="L334" s="44">
        <f t="shared" si="220"/>
        <v>1.2083809523809523</v>
      </c>
      <c r="M334" s="43">
        <f t="shared" si="220"/>
        <v>1.2083809523809523</v>
      </c>
      <c r="N334" s="44">
        <f t="shared" si="220"/>
        <v>1.2083809523809523</v>
      </c>
      <c r="O334" s="45">
        <f>IF(O333=0,0,+O335/O333)</f>
        <v>1.2084054669703872</v>
      </c>
      <c r="Q334" s="33"/>
      <c r="R334" s="46"/>
      <c r="S334" s="80"/>
      <c r="T334" s="46"/>
      <c r="U334" s="47"/>
      <c r="V334" s="41"/>
    </row>
    <row r="335" spans="1:23">
      <c r="A335" s="42"/>
      <c r="B335" s="35" t="s">
        <v>15</v>
      </c>
      <c r="C335" s="48">
        <v>33.840000000000003</v>
      </c>
      <c r="D335" s="49">
        <v>242.89</v>
      </c>
      <c r="E335" s="48">
        <v>253.76</v>
      </c>
      <c r="F335" s="49">
        <f t="shared" ref="F335:N335" si="221">F333*F334</f>
        <v>0</v>
      </c>
      <c r="G335" s="48">
        <f t="shared" si="221"/>
        <v>0</v>
      </c>
      <c r="H335" s="49">
        <f t="shared" si="221"/>
        <v>0</v>
      </c>
      <c r="I335" s="48">
        <f t="shared" si="221"/>
        <v>0</v>
      </c>
      <c r="J335" s="49">
        <f t="shared" si="221"/>
        <v>0</v>
      </c>
      <c r="K335" s="48">
        <f t="shared" si="221"/>
        <v>0</v>
      </c>
      <c r="L335" s="49">
        <f t="shared" si="221"/>
        <v>0</v>
      </c>
      <c r="M335" s="48">
        <f t="shared" si="221"/>
        <v>0</v>
      </c>
      <c r="N335" s="49">
        <f t="shared" si="221"/>
        <v>0</v>
      </c>
      <c r="O335" s="50">
        <f>SUM(C335:N335)</f>
        <v>530.49</v>
      </c>
      <c r="Q335" s="33"/>
      <c r="R335" s="40"/>
      <c r="S335" s="40"/>
      <c r="T335" s="40"/>
      <c r="U335" s="40"/>
      <c r="V335" s="41"/>
    </row>
    <row r="336" spans="1:23" ht="16.5" thickBot="1">
      <c r="A336" s="51"/>
      <c r="B336" s="52" t="s">
        <v>59</v>
      </c>
      <c r="C336" s="53">
        <f t="shared" ref="C336:N336" si="222">C335/C$291</f>
        <v>0.1934023729511008</v>
      </c>
      <c r="D336" s="54">
        <f t="shared" si="222"/>
        <v>1.4361566888396156</v>
      </c>
      <c r="E336" s="53">
        <f t="shared" si="222"/>
        <v>1.3762657077930174</v>
      </c>
      <c r="F336" s="54">
        <f t="shared" si="222"/>
        <v>0</v>
      </c>
      <c r="G336" s="53">
        <f t="shared" si="222"/>
        <v>0</v>
      </c>
      <c r="H336" s="54" t="e">
        <f t="shared" si="222"/>
        <v>#DIV/0!</v>
      </c>
      <c r="I336" s="53" t="e">
        <f t="shared" si="222"/>
        <v>#DIV/0!</v>
      </c>
      <c r="J336" s="54" t="e">
        <f t="shared" si="222"/>
        <v>#DIV/0!</v>
      </c>
      <c r="K336" s="53" t="e">
        <f t="shared" si="222"/>
        <v>#DIV/0!</v>
      </c>
      <c r="L336" s="54" t="e">
        <f t="shared" si="222"/>
        <v>#DIV/0!</v>
      </c>
      <c r="M336" s="53" t="e">
        <f t="shared" si="222"/>
        <v>#DIV/0!</v>
      </c>
      <c r="N336" s="54" t="e">
        <f t="shared" si="222"/>
        <v>#DIV/0!</v>
      </c>
      <c r="O336" s="55">
        <f>O335/O$7</f>
        <v>0.29323420485324198</v>
      </c>
      <c r="Q336" s="33"/>
      <c r="R336" s="56"/>
      <c r="S336" s="80"/>
      <c r="T336" s="56"/>
      <c r="U336" s="57"/>
      <c r="V336" s="41"/>
    </row>
    <row r="337" spans="1:22">
      <c r="A337" s="28" t="s">
        <v>69</v>
      </c>
      <c r="B337" s="29" t="s">
        <v>55</v>
      </c>
      <c r="C337" s="30">
        <f>'[14]KRS II WTP 2010-2011'!C53</f>
        <v>0</v>
      </c>
      <c r="D337" s="31">
        <f>'[14]KRS II WTP 2010-2011'!D53</f>
        <v>0</v>
      </c>
      <c r="E337" s="30">
        <f>'[14]KRS II WTP 2010-2011'!E53</f>
        <v>0</v>
      </c>
      <c r="F337" s="31">
        <f>'[14]KRS II WTP 2010-2011'!F53</f>
        <v>0</v>
      </c>
      <c r="G337" s="30">
        <f>'[14]KRS II WTP 2010-2011'!G53</f>
        <v>0</v>
      </c>
      <c r="H337" s="31">
        <f>'[14]KRS II WTP 2010-2011'!H53</f>
        <v>0</v>
      </c>
      <c r="I337" s="30">
        <f>'[14]KRS II WTP 2010-2011'!I53</f>
        <v>0</v>
      </c>
      <c r="J337" s="31">
        <f>'[14]KRS II WTP 2010-2011'!J53</f>
        <v>0</v>
      </c>
      <c r="K337" s="30">
        <f>'[14]KRS II WTP 2010-2011'!K53</f>
        <v>0</v>
      </c>
      <c r="L337" s="31">
        <f>'[14]KRS II WTP 2010-2011'!L53</f>
        <v>0</v>
      </c>
      <c r="M337" s="30">
        <f>'[14]KRS II WTP 2010-2011'!M53</f>
        <v>0</v>
      </c>
      <c r="N337" s="31">
        <f>'[14]KRS II WTP 2010-2011'!N53</f>
        <v>0</v>
      </c>
      <c r="O337" s="32">
        <f>O338/O$7</f>
        <v>0</v>
      </c>
      <c r="Q337" s="33"/>
    </row>
    <row r="338" spans="1:22">
      <c r="A338" s="34" t="s">
        <v>56</v>
      </c>
      <c r="B338" s="35" t="s">
        <v>57</v>
      </c>
      <c r="C338" s="36">
        <f t="shared" ref="C338:N338" si="223">C$291*C337</f>
        <v>0</v>
      </c>
      <c r="D338" s="37">
        <f t="shared" si="223"/>
        <v>0</v>
      </c>
      <c r="E338" s="36">
        <f t="shared" si="223"/>
        <v>0</v>
      </c>
      <c r="F338" s="37">
        <f t="shared" si="223"/>
        <v>0</v>
      </c>
      <c r="G338" s="36">
        <f t="shared" si="223"/>
        <v>0</v>
      </c>
      <c r="H338" s="37">
        <f t="shared" si="223"/>
        <v>0</v>
      </c>
      <c r="I338" s="36">
        <f t="shared" si="223"/>
        <v>0</v>
      </c>
      <c r="J338" s="37">
        <f t="shared" si="223"/>
        <v>0</v>
      </c>
      <c r="K338" s="36">
        <f t="shared" si="223"/>
        <v>0</v>
      </c>
      <c r="L338" s="37">
        <f t="shared" si="223"/>
        <v>0</v>
      </c>
      <c r="M338" s="36">
        <f t="shared" si="223"/>
        <v>0</v>
      </c>
      <c r="N338" s="37">
        <f t="shared" si="223"/>
        <v>0</v>
      </c>
      <c r="O338" s="38">
        <f>SUM(C338:N338)</f>
        <v>0</v>
      </c>
      <c r="Q338" s="33"/>
      <c r="R338" s="39"/>
      <c r="S338" s="39"/>
      <c r="T338" s="39"/>
      <c r="U338" s="39"/>
      <c r="V338" s="41"/>
    </row>
    <row r="339" spans="1:22" ht="15.75">
      <c r="A339" s="42"/>
      <c r="B339" s="35" t="s">
        <v>58</v>
      </c>
      <c r="C339" s="43">
        <f>'[14]Price Changes'!D66</f>
        <v>0</v>
      </c>
      <c r="D339" s="44">
        <f t="shared" ref="D339:N339" si="224">C339</f>
        <v>0</v>
      </c>
      <c r="E339" s="43">
        <f t="shared" si="224"/>
        <v>0</v>
      </c>
      <c r="F339" s="44">
        <f t="shared" si="224"/>
        <v>0</v>
      </c>
      <c r="G339" s="43">
        <f t="shared" si="224"/>
        <v>0</v>
      </c>
      <c r="H339" s="44">
        <f t="shared" si="224"/>
        <v>0</v>
      </c>
      <c r="I339" s="43">
        <f t="shared" si="224"/>
        <v>0</v>
      </c>
      <c r="J339" s="44">
        <f t="shared" si="224"/>
        <v>0</v>
      </c>
      <c r="K339" s="43">
        <f t="shared" si="224"/>
        <v>0</v>
      </c>
      <c r="L339" s="44">
        <f t="shared" si="224"/>
        <v>0</v>
      </c>
      <c r="M339" s="43">
        <f t="shared" si="224"/>
        <v>0</v>
      </c>
      <c r="N339" s="44">
        <f t="shared" si="224"/>
        <v>0</v>
      </c>
      <c r="O339" s="45">
        <f>IF(O338=0,0,+O340/O338)</f>
        <v>0</v>
      </c>
      <c r="Q339" s="33"/>
      <c r="R339" s="46"/>
      <c r="S339" s="46"/>
      <c r="T339" s="47"/>
      <c r="U339" s="47"/>
      <c r="V339" s="41"/>
    </row>
    <row r="340" spans="1:22">
      <c r="A340" s="42"/>
      <c r="B340" s="35" t="s">
        <v>15</v>
      </c>
      <c r="C340" s="48">
        <f t="shared" ref="C340:N340" si="225">C338*C339</f>
        <v>0</v>
      </c>
      <c r="D340" s="49">
        <f t="shared" si="225"/>
        <v>0</v>
      </c>
      <c r="E340" s="48">
        <f t="shared" si="225"/>
        <v>0</v>
      </c>
      <c r="F340" s="49">
        <f t="shared" si="225"/>
        <v>0</v>
      </c>
      <c r="G340" s="48">
        <f t="shared" si="225"/>
        <v>0</v>
      </c>
      <c r="H340" s="49">
        <f t="shared" si="225"/>
        <v>0</v>
      </c>
      <c r="I340" s="48">
        <f t="shared" si="225"/>
        <v>0</v>
      </c>
      <c r="J340" s="49">
        <f t="shared" si="225"/>
        <v>0</v>
      </c>
      <c r="K340" s="48">
        <f t="shared" si="225"/>
        <v>0</v>
      </c>
      <c r="L340" s="49">
        <f t="shared" si="225"/>
        <v>0</v>
      </c>
      <c r="M340" s="48">
        <f t="shared" si="225"/>
        <v>0</v>
      </c>
      <c r="N340" s="49">
        <f t="shared" si="225"/>
        <v>0</v>
      </c>
      <c r="O340" s="50">
        <f>SUM(C340:N340)</f>
        <v>0</v>
      </c>
      <c r="Q340" s="33"/>
      <c r="R340" s="40"/>
      <c r="S340" s="40"/>
      <c r="T340" s="40"/>
      <c r="U340" s="40"/>
      <c r="V340" s="41"/>
    </row>
    <row r="341" spans="1:22" ht="16.5" thickBot="1">
      <c r="A341" s="51"/>
      <c r="B341" s="52" t="s">
        <v>59</v>
      </c>
      <c r="C341" s="53">
        <f t="shared" ref="C341:N341" si="226">C340/C$291</f>
        <v>0</v>
      </c>
      <c r="D341" s="54">
        <f t="shared" si="226"/>
        <v>0</v>
      </c>
      <c r="E341" s="53">
        <f t="shared" si="226"/>
        <v>0</v>
      </c>
      <c r="F341" s="54">
        <f t="shared" si="226"/>
        <v>0</v>
      </c>
      <c r="G341" s="53">
        <f t="shared" si="226"/>
        <v>0</v>
      </c>
      <c r="H341" s="54" t="e">
        <f t="shared" si="226"/>
        <v>#DIV/0!</v>
      </c>
      <c r="I341" s="53" t="e">
        <f t="shared" si="226"/>
        <v>#DIV/0!</v>
      </c>
      <c r="J341" s="54" t="e">
        <f t="shared" si="226"/>
        <v>#DIV/0!</v>
      </c>
      <c r="K341" s="53" t="e">
        <f t="shared" si="226"/>
        <v>#DIV/0!</v>
      </c>
      <c r="L341" s="54" t="e">
        <f t="shared" si="226"/>
        <v>#DIV/0!</v>
      </c>
      <c r="M341" s="53" t="e">
        <f t="shared" si="226"/>
        <v>#DIV/0!</v>
      </c>
      <c r="N341" s="54" t="e">
        <f t="shared" si="226"/>
        <v>#DIV/0!</v>
      </c>
      <c r="O341" s="55">
        <f>O340/O$7</f>
        <v>0</v>
      </c>
      <c r="Q341" s="33"/>
      <c r="R341" s="56"/>
      <c r="S341" s="56"/>
      <c r="T341" s="57"/>
      <c r="U341" s="57"/>
      <c r="V341" s="41"/>
    </row>
    <row r="342" spans="1:22">
      <c r="A342" s="28" t="s">
        <v>70</v>
      </c>
      <c r="B342" s="29" t="s">
        <v>55</v>
      </c>
      <c r="C342" s="30">
        <f>C343/C$291</f>
        <v>3.7491712959787855</v>
      </c>
      <c r="D342" s="31">
        <f>D343/D$291</f>
        <v>0</v>
      </c>
      <c r="E342" s="30">
        <v>0</v>
      </c>
      <c r="F342" s="31">
        <v>0</v>
      </c>
      <c r="G342" s="30">
        <f>'[14]KRS II WTP 2010-2011'!G58</f>
        <v>5.5040475833791085</v>
      </c>
      <c r="H342" s="31">
        <f>'[14]KRS II WTP 2010-2011'!H58</f>
        <v>6.3296254546227955</v>
      </c>
      <c r="I342" s="30">
        <f>'[14]KRS II WTP 2010-2011'!I58</f>
        <v>7.6490826851967748</v>
      </c>
      <c r="J342" s="31">
        <f>'[14]KRS II WTP 2010-2011'!J58</f>
        <v>11.811851983999485</v>
      </c>
      <c r="K342" s="30">
        <f>'[14]KRS II WTP 2010-2011'!K58</f>
        <v>0</v>
      </c>
      <c r="L342" s="31">
        <f>'[14]KRS II WTP 2010-2011'!L58</f>
        <v>7.710330028042276</v>
      </c>
      <c r="M342" s="30">
        <f>'[14]KRS II WTP 2010-2011'!M58</f>
        <v>1.8228737714819085</v>
      </c>
      <c r="N342" s="31">
        <f>'[14]KRS II WTP 2010-2011'!N58</f>
        <v>5.3228916568641669</v>
      </c>
      <c r="O342" s="32">
        <f>O343/O$7</f>
        <v>0.9772902313612194</v>
      </c>
      <c r="P342" s="9"/>
      <c r="Q342" s="9"/>
      <c r="R342" s="9"/>
      <c r="S342" s="9"/>
      <c r="T342" s="9"/>
      <c r="U342" s="9"/>
      <c r="V342" s="70"/>
    </row>
    <row r="343" spans="1:22">
      <c r="A343" s="34" t="s">
        <v>71</v>
      </c>
      <c r="B343" s="35" t="s">
        <v>57</v>
      </c>
      <c r="C343" s="65">
        <v>656</v>
      </c>
      <c r="D343" s="66">
        <v>0</v>
      </c>
      <c r="E343" s="65">
        <v>0</v>
      </c>
      <c r="F343" s="66">
        <v>0</v>
      </c>
      <c r="G343" s="65">
        <f t="shared" ref="G343:N343" si="227">G$291*G342</f>
        <v>1112.0157575555818</v>
      </c>
      <c r="H343" s="66">
        <f t="shared" si="227"/>
        <v>0</v>
      </c>
      <c r="I343" s="65">
        <f t="shared" si="227"/>
        <v>0</v>
      </c>
      <c r="J343" s="66">
        <f t="shared" si="227"/>
        <v>0</v>
      </c>
      <c r="K343" s="65">
        <f t="shared" si="227"/>
        <v>0</v>
      </c>
      <c r="L343" s="66">
        <f t="shared" si="227"/>
        <v>0</v>
      </c>
      <c r="M343" s="65">
        <f t="shared" si="227"/>
        <v>0</v>
      </c>
      <c r="N343" s="66">
        <f t="shared" si="227"/>
        <v>0</v>
      </c>
      <c r="O343" s="67">
        <f>SUM(C343:N343)</f>
        <v>1768.0157575555818</v>
      </c>
      <c r="R343" s="15"/>
      <c r="S343" s="15"/>
      <c r="T343" s="15"/>
      <c r="U343" s="15"/>
      <c r="V343" s="71"/>
    </row>
    <row r="344" spans="1:22" ht="15.75">
      <c r="A344" s="34" t="s">
        <v>56</v>
      </c>
      <c r="B344" s="35" t="s">
        <v>58</v>
      </c>
      <c r="C344" s="43">
        <f>C345/C343</f>
        <v>2.4751981707317072</v>
      </c>
      <c r="D344" s="44">
        <f>C344</f>
        <v>2.4751981707317072</v>
      </c>
      <c r="E344" s="43">
        <f>D344</f>
        <v>2.4751981707317072</v>
      </c>
      <c r="F344" s="44">
        <v>0</v>
      </c>
      <c r="G344" s="43">
        <f t="shared" ref="G344:N344" si="228">F344</f>
        <v>0</v>
      </c>
      <c r="H344" s="44">
        <f t="shared" si="228"/>
        <v>0</v>
      </c>
      <c r="I344" s="43">
        <f t="shared" si="228"/>
        <v>0</v>
      </c>
      <c r="J344" s="44">
        <f t="shared" si="228"/>
        <v>0</v>
      </c>
      <c r="K344" s="43">
        <f t="shared" si="228"/>
        <v>0</v>
      </c>
      <c r="L344" s="44">
        <f t="shared" si="228"/>
        <v>0</v>
      </c>
      <c r="M344" s="43">
        <f t="shared" si="228"/>
        <v>0</v>
      </c>
      <c r="N344" s="44">
        <f t="shared" si="228"/>
        <v>0</v>
      </c>
      <c r="O344" s="45">
        <f>IF(O343=0,0,+O345/O343)</f>
        <v>0.91839113597320654</v>
      </c>
      <c r="R344" s="72"/>
      <c r="S344" s="15"/>
      <c r="T344" s="72"/>
      <c r="U344" s="15"/>
      <c r="V344" s="15"/>
    </row>
    <row r="345" spans="1:22">
      <c r="A345" s="42"/>
      <c r="B345" s="35" t="s">
        <v>15</v>
      </c>
      <c r="C345" s="48">
        <v>1623.73</v>
      </c>
      <c r="D345" s="49">
        <f t="shared" ref="D345:N345" si="229">D343*D344</f>
        <v>0</v>
      </c>
      <c r="E345" s="48">
        <f t="shared" si="229"/>
        <v>0</v>
      </c>
      <c r="F345" s="49">
        <f t="shared" si="229"/>
        <v>0</v>
      </c>
      <c r="G345" s="48">
        <f t="shared" si="229"/>
        <v>0</v>
      </c>
      <c r="H345" s="49">
        <f t="shared" si="229"/>
        <v>0</v>
      </c>
      <c r="I345" s="48">
        <f t="shared" si="229"/>
        <v>0</v>
      </c>
      <c r="J345" s="49">
        <f t="shared" si="229"/>
        <v>0</v>
      </c>
      <c r="K345" s="48">
        <f t="shared" si="229"/>
        <v>0</v>
      </c>
      <c r="L345" s="49">
        <f t="shared" si="229"/>
        <v>0</v>
      </c>
      <c r="M345" s="48">
        <f t="shared" si="229"/>
        <v>0</v>
      </c>
      <c r="N345" s="49">
        <f t="shared" si="229"/>
        <v>0</v>
      </c>
      <c r="O345" s="50">
        <f>SUM(C345:N345)</f>
        <v>1623.73</v>
      </c>
      <c r="R345" s="15"/>
      <c r="S345" s="15"/>
      <c r="T345" s="15"/>
      <c r="U345" s="15"/>
      <c r="V345" s="15"/>
    </row>
    <row r="346" spans="1:22" ht="13.5" thickBot="1">
      <c r="A346" s="51"/>
      <c r="B346" s="52" t="s">
        <v>59</v>
      </c>
      <c r="C346" s="53">
        <f t="shared" ref="C346:N346" si="230">C345/C$291</f>
        <v>9.2799419335665139</v>
      </c>
      <c r="D346" s="54">
        <f t="shared" si="230"/>
        <v>0</v>
      </c>
      <c r="E346" s="53">
        <f t="shared" si="230"/>
        <v>0</v>
      </c>
      <c r="F346" s="54">
        <f t="shared" si="230"/>
        <v>0</v>
      </c>
      <c r="G346" s="53">
        <f t="shared" si="230"/>
        <v>0</v>
      </c>
      <c r="H346" s="54" t="e">
        <f t="shared" si="230"/>
        <v>#DIV/0!</v>
      </c>
      <c r="I346" s="53" t="e">
        <f t="shared" si="230"/>
        <v>#DIV/0!</v>
      </c>
      <c r="J346" s="54" t="e">
        <f t="shared" si="230"/>
        <v>#DIV/0!</v>
      </c>
      <c r="K346" s="53" t="e">
        <f t="shared" si="230"/>
        <v>#DIV/0!</v>
      </c>
      <c r="L346" s="54" t="e">
        <f t="shared" si="230"/>
        <v>#DIV/0!</v>
      </c>
      <c r="M346" s="53" t="e">
        <f t="shared" si="230"/>
        <v>#DIV/0!</v>
      </c>
      <c r="N346" s="54" t="e">
        <f t="shared" si="230"/>
        <v>#DIV/0!</v>
      </c>
      <c r="O346" s="55">
        <f>O345/O$7</f>
        <v>0.89753468575534812</v>
      </c>
      <c r="S346" s="8"/>
      <c r="V346" s="41"/>
    </row>
    <row r="347" spans="1:22">
      <c r="A347" s="28" t="s">
        <v>72</v>
      </c>
      <c r="B347" s="29" t="s">
        <v>55</v>
      </c>
      <c r="C347" s="30">
        <f>C348/C$291</f>
        <v>0.85728002194636865</v>
      </c>
      <c r="D347" s="31">
        <f>D348/D$291</f>
        <v>1.1825572801182558</v>
      </c>
      <c r="E347" s="30">
        <v>0</v>
      </c>
      <c r="F347" s="31">
        <f>'[14]KRS II WTP 2010-2011'!F63</f>
        <v>2.333395557214859</v>
      </c>
      <c r="G347" s="30">
        <f>'[14]KRS II WTP 2010-2011'!G63</f>
        <v>4.7161698043066957</v>
      </c>
      <c r="H347" s="31">
        <f>'[14]KRS II WTP 2010-2011'!H63</f>
        <v>4.4664695748346341</v>
      </c>
      <c r="I347" s="30">
        <f>'[14]KRS II WTP 2010-2011'!I63</f>
        <v>2.5372897009719511</v>
      </c>
      <c r="J347" s="31">
        <f>'[14]KRS II WTP 2010-2011'!J63</f>
        <v>3.9181286988056674</v>
      </c>
      <c r="K347" s="30">
        <f>'[14]KRS II WTP 2010-2011'!K63</f>
        <v>0</v>
      </c>
      <c r="L347" s="31">
        <f>'[14]KRS II WTP 2010-2011'!L63</f>
        <v>1.1662684076030334</v>
      </c>
      <c r="M347" s="30">
        <f>'[14]KRS II WTP 2010-2011'!M63</f>
        <v>0</v>
      </c>
      <c r="N347" s="31">
        <f>'[14]KRS II WTP 2010-2011'!N63</f>
        <v>0.93996573153504459</v>
      </c>
      <c r="O347" s="32">
        <f>O348/O$7</f>
        <v>0.94126144634509312</v>
      </c>
      <c r="Q347" s="33"/>
    </row>
    <row r="348" spans="1:22">
      <c r="A348" s="34" t="s">
        <v>56</v>
      </c>
      <c r="B348" s="35" t="s">
        <v>57</v>
      </c>
      <c r="C348" s="36">
        <v>150</v>
      </c>
      <c r="D348" s="37">
        <v>200</v>
      </c>
      <c r="E348" s="36">
        <v>0</v>
      </c>
      <c r="F348" s="37">
        <v>400</v>
      </c>
      <c r="G348" s="36">
        <f t="shared" ref="G348:N348" si="231">G$291*G347</f>
        <v>952.83608258290769</v>
      </c>
      <c r="H348" s="37">
        <f t="shared" si="231"/>
        <v>0</v>
      </c>
      <c r="I348" s="36">
        <f t="shared" si="231"/>
        <v>0</v>
      </c>
      <c r="J348" s="37">
        <f t="shared" si="231"/>
        <v>0</v>
      </c>
      <c r="K348" s="36">
        <f t="shared" si="231"/>
        <v>0</v>
      </c>
      <c r="L348" s="37">
        <f t="shared" si="231"/>
        <v>0</v>
      </c>
      <c r="M348" s="36">
        <f t="shared" si="231"/>
        <v>0</v>
      </c>
      <c r="N348" s="37">
        <f t="shared" si="231"/>
        <v>0</v>
      </c>
      <c r="O348" s="38">
        <f>SUM(C348:N348)</f>
        <v>1702.8360825829077</v>
      </c>
      <c r="Q348" s="33"/>
      <c r="R348" s="57"/>
      <c r="S348" s="57"/>
      <c r="T348" s="57"/>
      <c r="U348" s="60"/>
      <c r="V348" s="41"/>
    </row>
    <row r="349" spans="1:22" ht="15.75">
      <c r="A349" s="42"/>
      <c r="B349" s="35" t="s">
        <v>58</v>
      </c>
      <c r="C349" s="43">
        <f>C350/C348</f>
        <v>0.14293333333333333</v>
      </c>
      <c r="D349" s="44">
        <f>D350/D348</f>
        <v>0.1429</v>
      </c>
      <c r="E349" s="43">
        <f>D349</f>
        <v>0.1429</v>
      </c>
      <c r="F349" s="44">
        <f>F350/F348</f>
        <v>0.1429</v>
      </c>
      <c r="G349" s="43">
        <f t="shared" ref="G349:N349" si="232">F349</f>
        <v>0.1429</v>
      </c>
      <c r="H349" s="44">
        <f t="shared" si="232"/>
        <v>0.1429</v>
      </c>
      <c r="I349" s="43">
        <f t="shared" si="232"/>
        <v>0.1429</v>
      </c>
      <c r="J349" s="44">
        <f t="shared" si="232"/>
        <v>0.1429</v>
      </c>
      <c r="K349" s="43">
        <f t="shared" si="232"/>
        <v>0.1429</v>
      </c>
      <c r="L349" s="44">
        <f t="shared" si="232"/>
        <v>0.1429</v>
      </c>
      <c r="M349" s="43">
        <f t="shared" si="232"/>
        <v>0.1429</v>
      </c>
      <c r="N349" s="44">
        <f t="shared" si="232"/>
        <v>0.1429</v>
      </c>
      <c r="O349" s="45">
        <f>IF(O348=0,0,+O350/O348)</f>
        <v>0.14290293627792547</v>
      </c>
      <c r="Q349" s="33"/>
      <c r="R349" s="46"/>
      <c r="S349" s="46"/>
      <c r="T349" s="47"/>
      <c r="U349" s="47"/>
      <c r="V349" s="41"/>
    </row>
    <row r="350" spans="1:22">
      <c r="A350" s="42"/>
      <c r="B350" s="35" t="s">
        <v>15</v>
      </c>
      <c r="C350" s="48">
        <v>21.44</v>
      </c>
      <c r="D350" s="49">
        <v>28.58</v>
      </c>
      <c r="E350" s="48">
        <f>E348*E349</f>
        <v>0</v>
      </c>
      <c r="F350" s="49">
        <v>57.16</v>
      </c>
      <c r="G350" s="48">
        <f t="shared" ref="G350:N350" si="233">G348*G349</f>
        <v>136.1602762010975</v>
      </c>
      <c r="H350" s="49">
        <f t="shared" si="233"/>
        <v>0</v>
      </c>
      <c r="I350" s="48">
        <f t="shared" si="233"/>
        <v>0</v>
      </c>
      <c r="J350" s="49">
        <f t="shared" si="233"/>
        <v>0</v>
      </c>
      <c r="K350" s="48">
        <f t="shared" si="233"/>
        <v>0</v>
      </c>
      <c r="L350" s="49">
        <f t="shared" si="233"/>
        <v>0</v>
      </c>
      <c r="M350" s="48">
        <f t="shared" si="233"/>
        <v>0</v>
      </c>
      <c r="N350" s="49">
        <f t="shared" si="233"/>
        <v>0</v>
      </c>
      <c r="O350" s="50">
        <f>SUM(C350:N350)</f>
        <v>243.34027620109748</v>
      </c>
      <c r="Q350" s="33"/>
      <c r="R350" s="40"/>
      <c r="S350" s="40"/>
      <c r="T350" s="40"/>
      <c r="U350" s="40"/>
      <c r="V350" s="41"/>
    </row>
    <row r="351" spans="1:22" ht="16.5" thickBot="1">
      <c r="A351" s="51"/>
      <c r="B351" s="52" t="s">
        <v>59</v>
      </c>
      <c r="C351" s="53">
        <f t="shared" ref="C351:N351" si="234">C350/C$291</f>
        <v>0.12253389113686763</v>
      </c>
      <c r="D351" s="54">
        <f t="shared" si="234"/>
        <v>0.16898743532889873</v>
      </c>
      <c r="E351" s="53">
        <f t="shared" si="234"/>
        <v>0</v>
      </c>
      <c r="F351" s="54">
        <f t="shared" si="234"/>
        <v>0.29547075790627231</v>
      </c>
      <c r="G351" s="53">
        <f t="shared" si="234"/>
        <v>0.67394066503542682</v>
      </c>
      <c r="H351" s="54" t="e">
        <f t="shared" si="234"/>
        <v>#DIV/0!</v>
      </c>
      <c r="I351" s="53" t="e">
        <f t="shared" si="234"/>
        <v>#DIV/0!</v>
      </c>
      <c r="J351" s="54" t="e">
        <f t="shared" si="234"/>
        <v>#DIV/0!</v>
      </c>
      <c r="K351" s="53" t="e">
        <f t="shared" si="234"/>
        <v>#DIV/0!</v>
      </c>
      <c r="L351" s="54" t="e">
        <f t="shared" si="234"/>
        <v>#DIV/0!</v>
      </c>
      <c r="M351" s="53" t="e">
        <f t="shared" si="234"/>
        <v>#DIV/0!</v>
      </c>
      <c r="N351" s="54" t="e">
        <f t="shared" si="234"/>
        <v>#DIV/0!</v>
      </c>
      <c r="O351" s="55">
        <f>O350/O$7</f>
        <v>0.13450902448792079</v>
      </c>
      <c r="Q351" s="33"/>
      <c r="R351" s="56"/>
      <c r="S351" s="56"/>
      <c r="T351" s="57"/>
      <c r="U351" s="57"/>
      <c r="V351" s="41"/>
    </row>
    <row r="352" spans="1:22">
      <c r="A352" s="181" t="s">
        <v>113</v>
      </c>
      <c r="B352" s="29" t="s">
        <v>55</v>
      </c>
      <c r="C352" s="30">
        <f>C353/C$291</f>
        <v>3.4348352879317838</v>
      </c>
      <c r="D352" s="31">
        <f>'[14]KRS II WTP 2010-2011'!D68</f>
        <v>0</v>
      </c>
      <c r="E352" s="30">
        <f>E353/E$291</f>
        <v>9.3175618142670409</v>
      </c>
      <c r="F352" s="31">
        <f>'[14]KRS II WTP 2010-2011'!F68</f>
        <v>114.82639537054321</v>
      </c>
      <c r="G352" s="30">
        <f>'[14]KRS II WTP 2010-2011'!G68</f>
        <v>55.317897586985595</v>
      </c>
      <c r="H352" s="31">
        <f>'[14]KRS II WTP 2010-2011'!H68</f>
        <v>10.158027947338196</v>
      </c>
      <c r="I352" s="30">
        <f>'[14]KRS II WTP 2010-2011'!I68</f>
        <v>103.62967749356373</v>
      </c>
      <c r="J352" s="31">
        <f>'[14]KRS II WTP 2010-2011'!J68</f>
        <v>160.02682440242029</v>
      </c>
      <c r="K352" s="30">
        <f>'[14]KRS II WTP 2010-2011'!K68</f>
        <v>0</v>
      </c>
      <c r="L352" s="31">
        <f>'[14]KRS II WTP 2010-2011'!L68</f>
        <v>0</v>
      </c>
      <c r="M352" s="30">
        <f>'[14]KRS II WTP 2010-2011'!M68</f>
        <v>0</v>
      </c>
      <c r="N352" s="31">
        <f>'[14]KRS II WTP 2010-2011'!N68</f>
        <v>34.671307411764076</v>
      </c>
      <c r="O352" s="32">
        <f>O353/O$7</f>
        <v>7.48118222148263</v>
      </c>
      <c r="Q352" s="33"/>
    </row>
    <row r="353" spans="1:23">
      <c r="A353" s="103" t="s">
        <v>64</v>
      </c>
      <c r="B353" s="35" t="s">
        <v>57</v>
      </c>
      <c r="C353" s="65">
        <v>601</v>
      </c>
      <c r="D353" s="66">
        <v>0</v>
      </c>
      <c r="E353" s="65">
        <v>1718</v>
      </c>
      <c r="F353" s="66">
        <v>39</v>
      </c>
      <c r="G353" s="65">
        <f t="shared" ref="G353:N353" si="235">G$291*G352</f>
        <v>11176.206756884223</v>
      </c>
      <c r="H353" s="66">
        <f t="shared" si="235"/>
        <v>0</v>
      </c>
      <c r="I353" s="65">
        <f t="shared" si="235"/>
        <v>0</v>
      </c>
      <c r="J353" s="66">
        <f t="shared" si="235"/>
        <v>0</v>
      </c>
      <c r="K353" s="65">
        <f t="shared" si="235"/>
        <v>0</v>
      </c>
      <c r="L353" s="66">
        <f t="shared" si="235"/>
        <v>0</v>
      </c>
      <c r="M353" s="65">
        <f t="shared" si="235"/>
        <v>0</v>
      </c>
      <c r="N353" s="66">
        <f t="shared" si="235"/>
        <v>0</v>
      </c>
      <c r="O353" s="67">
        <f>SUM(C353:N353)</f>
        <v>13534.206756884223</v>
      </c>
      <c r="Q353" s="33"/>
      <c r="R353" s="57"/>
      <c r="S353" s="57"/>
      <c r="T353" s="57"/>
      <c r="U353" s="60"/>
      <c r="V353" s="41"/>
      <c r="W353" s="8"/>
    </row>
    <row r="354" spans="1:23" ht="15.75">
      <c r="A354" s="42"/>
      <c r="B354" s="35" t="s">
        <v>58</v>
      </c>
      <c r="C354" s="43">
        <f>C355/C353</f>
        <v>8.9400998336106485E-2</v>
      </c>
      <c r="D354" s="44">
        <f>C354</f>
        <v>8.9400998336106485E-2</v>
      </c>
      <c r="E354" s="43">
        <f>E355/E353</f>
        <v>8.9400465657741568E-2</v>
      </c>
      <c r="F354" s="44">
        <f>F355/F353</f>
        <v>8.9487179487179491E-2</v>
      </c>
      <c r="G354" s="43">
        <f t="shared" ref="G354:N354" si="236">F354</f>
        <v>8.9487179487179491E-2</v>
      </c>
      <c r="H354" s="44">
        <f t="shared" si="236"/>
        <v>8.9487179487179491E-2</v>
      </c>
      <c r="I354" s="43">
        <f t="shared" si="236"/>
        <v>8.9487179487179491E-2</v>
      </c>
      <c r="J354" s="44">
        <f t="shared" si="236"/>
        <v>8.9487179487179491E-2</v>
      </c>
      <c r="K354" s="43">
        <f t="shared" si="236"/>
        <v>8.9487179487179491E-2</v>
      </c>
      <c r="L354" s="44">
        <f t="shared" si="236"/>
        <v>8.9487179487179491E-2</v>
      </c>
      <c r="M354" s="43">
        <f t="shared" si="236"/>
        <v>8.9487179487179491E-2</v>
      </c>
      <c r="N354" s="44">
        <f t="shared" si="236"/>
        <v>8.9487179487179491E-2</v>
      </c>
      <c r="O354" s="45">
        <f>IF(O353=0,0,+O355/O353)</f>
        <v>8.9472345279724586E-2</v>
      </c>
      <c r="Q354" s="33"/>
      <c r="R354" s="46"/>
      <c r="S354" s="46"/>
      <c r="T354" s="46"/>
      <c r="U354" s="47"/>
      <c r="V354" s="41"/>
      <c r="W354" s="8"/>
    </row>
    <row r="355" spans="1:23">
      <c r="A355" s="42"/>
      <c r="B355" s="35" t="s">
        <v>15</v>
      </c>
      <c r="C355" s="48">
        <v>53.73</v>
      </c>
      <c r="D355" s="49">
        <f>D353*D354</f>
        <v>0</v>
      </c>
      <c r="E355" s="48">
        <v>153.59</v>
      </c>
      <c r="F355" s="49">
        <v>3.49</v>
      </c>
      <c r="G355" s="48">
        <f t="shared" ref="G355:N355" si="237">G353*G354</f>
        <v>1000.1272200391267</v>
      </c>
      <c r="H355" s="49">
        <f t="shared" si="237"/>
        <v>0</v>
      </c>
      <c r="I355" s="48">
        <f t="shared" si="237"/>
        <v>0</v>
      </c>
      <c r="J355" s="49">
        <f t="shared" si="237"/>
        <v>0</v>
      </c>
      <c r="K355" s="48">
        <f t="shared" si="237"/>
        <v>0</v>
      </c>
      <c r="L355" s="49">
        <f t="shared" si="237"/>
        <v>0</v>
      </c>
      <c r="M355" s="48">
        <f t="shared" si="237"/>
        <v>0</v>
      </c>
      <c r="N355" s="49">
        <f t="shared" si="237"/>
        <v>0</v>
      </c>
      <c r="O355" s="50">
        <f>SUM(C355:N355)</f>
        <v>1210.9372200391267</v>
      </c>
      <c r="Q355" s="33"/>
      <c r="R355" s="40"/>
      <c r="S355" s="40"/>
      <c r="T355" s="40"/>
      <c r="U355" s="40"/>
      <c r="V355" s="41"/>
      <c r="W355" s="8"/>
    </row>
    <row r="356" spans="1:23" ht="16.5" thickBot="1">
      <c r="A356" s="51"/>
      <c r="B356" s="52" t="s">
        <v>59</v>
      </c>
      <c r="C356" s="53">
        <f t="shared" ref="C356:N356" si="238">C355/C$291</f>
        <v>0.30707770386118921</v>
      </c>
      <c r="D356" s="54">
        <f t="shared" si="238"/>
        <v>0</v>
      </c>
      <c r="E356" s="53">
        <f t="shared" si="238"/>
        <v>0.83299436499026469</v>
      </c>
      <c r="F356" s="54">
        <f t="shared" si="238"/>
        <v>1.8040464399805643E-2</v>
      </c>
      <c r="G356" s="53">
        <f t="shared" si="238"/>
        <v>4.9502426302199929</v>
      </c>
      <c r="H356" s="54" t="e">
        <f t="shared" si="238"/>
        <v>#DIV/0!</v>
      </c>
      <c r="I356" s="53" t="e">
        <f t="shared" si="238"/>
        <v>#DIV/0!</v>
      </c>
      <c r="J356" s="54" t="e">
        <f t="shared" si="238"/>
        <v>#DIV/0!</v>
      </c>
      <c r="K356" s="53" t="e">
        <f t="shared" si="238"/>
        <v>#DIV/0!</v>
      </c>
      <c r="L356" s="54" t="e">
        <f t="shared" si="238"/>
        <v>#DIV/0!</v>
      </c>
      <c r="M356" s="53" t="e">
        <f t="shared" si="238"/>
        <v>#DIV/0!</v>
      </c>
      <c r="N356" s="54" t="e">
        <f t="shared" si="238"/>
        <v>#DIV/0!</v>
      </c>
      <c r="O356" s="55">
        <f>O355/O$7</f>
        <v>0.66935891882103082</v>
      </c>
      <c r="Q356" s="33"/>
      <c r="R356" s="56"/>
      <c r="S356" s="56"/>
      <c r="T356" s="56"/>
      <c r="U356" s="57"/>
      <c r="V356" s="41"/>
      <c r="W356" s="8"/>
    </row>
    <row r="357" spans="1:23">
      <c r="A357" s="28" t="s">
        <v>74</v>
      </c>
      <c r="B357" s="29" t="s">
        <v>55</v>
      </c>
      <c r="C357" s="30">
        <f>'[14]KRS II WTP 2010-2011'!C73</f>
        <v>0</v>
      </c>
      <c r="D357" s="31">
        <f>'[14]KRS II WTP 2010-2011'!D73</f>
        <v>0</v>
      </c>
      <c r="E357" s="30">
        <f>'[14]KRS II WTP 2010-2011'!E73</f>
        <v>0</v>
      </c>
      <c r="F357" s="31">
        <f>'[14]KRS II WTP 2010-2011'!F73</f>
        <v>0</v>
      </c>
      <c r="G357" s="30">
        <f>'[14]KRS II WTP 2010-2011'!G73</f>
        <v>0</v>
      </c>
      <c r="H357" s="31">
        <f>'[14]KRS II WTP 2010-2011'!H73</f>
        <v>0</v>
      </c>
      <c r="I357" s="30">
        <f>'[14]KRS II WTP 2010-2011'!I73</f>
        <v>0</v>
      </c>
      <c r="J357" s="31">
        <f>'[14]KRS II WTP 2010-2011'!J73</f>
        <v>0</v>
      </c>
      <c r="K357" s="30">
        <f>'[14]KRS II WTP 2010-2011'!K73</f>
        <v>0</v>
      </c>
      <c r="L357" s="31">
        <f>'[14]KRS II WTP 2010-2011'!L73</f>
        <v>0</v>
      </c>
      <c r="M357" s="30">
        <f>'[14]KRS II WTP 2010-2011'!M73</f>
        <v>0</v>
      </c>
      <c r="N357" s="31">
        <f>'[14]KRS II WTP 2010-2011'!N73</f>
        <v>0</v>
      </c>
      <c r="O357" s="32">
        <f>O358/O$7</f>
        <v>0</v>
      </c>
      <c r="Q357" s="33"/>
    </row>
    <row r="358" spans="1:23">
      <c r="A358" s="103" t="s">
        <v>64</v>
      </c>
      <c r="B358" s="35" t="s">
        <v>57</v>
      </c>
      <c r="C358" s="36">
        <f t="shared" ref="C358:N358" si="239">C$291*C357</f>
        <v>0</v>
      </c>
      <c r="D358" s="37">
        <f t="shared" si="239"/>
        <v>0</v>
      </c>
      <c r="E358" s="36">
        <f t="shared" si="239"/>
        <v>0</v>
      </c>
      <c r="F358" s="37">
        <f t="shared" si="239"/>
        <v>0</v>
      </c>
      <c r="G358" s="36">
        <f t="shared" si="239"/>
        <v>0</v>
      </c>
      <c r="H358" s="37">
        <f t="shared" si="239"/>
        <v>0</v>
      </c>
      <c r="I358" s="36">
        <f t="shared" si="239"/>
        <v>0</v>
      </c>
      <c r="J358" s="37">
        <f t="shared" si="239"/>
        <v>0</v>
      </c>
      <c r="K358" s="36">
        <f t="shared" si="239"/>
        <v>0</v>
      </c>
      <c r="L358" s="37">
        <f t="shared" si="239"/>
        <v>0</v>
      </c>
      <c r="M358" s="36">
        <f t="shared" si="239"/>
        <v>0</v>
      </c>
      <c r="N358" s="37">
        <f t="shared" si="239"/>
        <v>0</v>
      </c>
      <c r="O358" s="38">
        <f>SUM(C358:N358)</f>
        <v>0</v>
      </c>
      <c r="Q358" s="33"/>
      <c r="R358" s="57"/>
      <c r="S358" s="57"/>
      <c r="T358" s="57"/>
      <c r="U358" s="60"/>
      <c r="V358" s="41"/>
      <c r="W358" s="8"/>
    </row>
    <row r="359" spans="1:23" ht="15.75">
      <c r="A359" s="42"/>
      <c r="B359" s="35" t="s">
        <v>58</v>
      </c>
      <c r="C359" s="43">
        <f>'[14]Price Changes'!D70</f>
        <v>0</v>
      </c>
      <c r="D359" s="44">
        <f t="shared" ref="D359:N359" si="240">C359</f>
        <v>0</v>
      </c>
      <c r="E359" s="43">
        <f t="shared" si="240"/>
        <v>0</v>
      </c>
      <c r="F359" s="44">
        <f t="shared" si="240"/>
        <v>0</v>
      </c>
      <c r="G359" s="43">
        <f t="shared" si="240"/>
        <v>0</v>
      </c>
      <c r="H359" s="44">
        <f t="shared" si="240"/>
        <v>0</v>
      </c>
      <c r="I359" s="43">
        <f t="shared" si="240"/>
        <v>0</v>
      </c>
      <c r="J359" s="44">
        <f t="shared" si="240"/>
        <v>0</v>
      </c>
      <c r="K359" s="43">
        <f t="shared" si="240"/>
        <v>0</v>
      </c>
      <c r="L359" s="44">
        <f t="shared" si="240"/>
        <v>0</v>
      </c>
      <c r="M359" s="43">
        <f t="shared" si="240"/>
        <v>0</v>
      </c>
      <c r="N359" s="44">
        <f t="shared" si="240"/>
        <v>0</v>
      </c>
      <c r="O359" s="45">
        <f>IF(O358=0,0,+O360/O358)</f>
        <v>0</v>
      </c>
      <c r="Q359" s="33"/>
      <c r="R359" s="46"/>
      <c r="S359" s="46"/>
      <c r="T359" s="46"/>
      <c r="U359" s="47"/>
      <c r="V359" s="41"/>
      <c r="W359" s="8"/>
    </row>
    <row r="360" spans="1:23">
      <c r="A360" s="42"/>
      <c r="B360" s="35" t="s">
        <v>15</v>
      </c>
      <c r="C360" s="48">
        <f t="shared" ref="C360:N360" si="241">C358*C359</f>
        <v>0</v>
      </c>
      <c r="D360" s="49">
        <f t="shared" si="241"/>
        <v>0</v>
      </c>
      <c r="E360" s="48">
        <f t="shared" si="241"/>
        <v>0</v>
      </c>
      <c r="F360" s="49">
        <f t="shared" si="241"/>
        <v>0</v>
      </c>
      <c r="G360" s="48">
        <f t="shared" si="241"/>
        <v>0</v>
      </c>
      <c r="H360" s="49">
        <f t="shared" si="241"/>
        <v>0</v>
      </c>
      <c r="I360" s="48">
        <f t="shared" si="241"/>
        <v>0</v>
      </c>
      <c r="J360" s="49">
        <f t="shared" si="241"/>
        <v>0</v>
      </c>
      <c r="K360" s="48">
        <f t="shared" si="241"/>
        <v>0</v>
      </c>
      <c r="L360" s="49">
        <f t="shared" si="241"/>
        <v>0</v>
      </c>
      <c r="M360" s="48">
        <f t="shared" si="241"/>
        <v>0</v>
      </c>
      <c r="N360" s="49">
        <f t="shared" si="241"/>
        <v>0</v>
      </c>
      <c r="O360" s="50">
        <f>SUM(C360:N360)</f>
        <v>0</v>
      </c>
      <c r="Q360" s="33"/>
      <c r="R360" s="40"/>
      <c r="S360" s="40"/>
      <c r="T360" s="40"/>
      <c r="U360" s="40"/>
      <c r="V360" s="41"/>
      <c r="W360" s="8"/>
    </row>
    <row r="361" spans="1:23" ht="16.5" thickBot="1">
      <c r="A361" s="51"/>
      <c r="B361" s="52" t="s">
        <v>59</v>
      </c>
      <c r="C361" s="53">
        <f t="shared" ref="C361:N361" si="242">C360/C$291</f>
        <v>0</v>
      </c>
      <c r="D361" s="54">
        <f t="shared" si="242"/>
        <v>0</v>
      </c>
      <c r="E361" s="53">
        <f t="shared" si="242"/>
        <v>0</v>
      </c>
      <c r="F361" s="54">
        <f t="shared" si="242"/>
        <v>0</v>
      </c>
      <c r="G361" s="53">
        <f t="shared" si="242"/>
        <v>0</v>
      </c>
      <c r="H361" s="54" t="e">
        <f t="shared" si="242"/>
        <v>#DIV/0!</v>
      </c>
      <c r="I361" s="53" t="e">
        <f t="shared" si="242"/>
        <v>#DIV/0!</v>
      </c>
      <c r="J361" s="54" t="e">
        <f t="shared" si="242"/>
        <v>#DIV/0!</v>
      </c>
      <c r="K361" s="53" t="e">
        <f t="shared" si="242"/>
        <v>#DIV/0!</v>
      </c>
      <c r="L361" s="54" t="e">
        <f t="shared" si="242"/>
        <v>#DIV/0!</v>
      </c>
      <c r="M361" s="53" t="e">
        <f t="shared" si="242"/>
        <v>#DIV/0!</v>
      </c>
      <c r="N361" s="54" t="e">
        <f t="shared" si="242"/>
        <v>#DIV/0!</v>
      </c>
      <c r="O361" s="55">
        <f>O360/O$7</f>
        <v>0</v>
      </c>
      <c r="Q361" s="33"/>
      <c r="R361" s="56"/>
      <c r="S361" s="56"/>
      <c r="T361" s="56"/>
      <c r="U361" s="57"/>
      <c r="V361" s="41"/>
      <c r="W361" s="8"/>
    </row>
    <row r="362" spans="1:23">
      <c r="A362" s="181" t="s">
        <v>75</v>
      </c>
      <c r="B362" s="29" t="s">
        <v>55</v>
      </c>
      <c r="C362" s="30">
        <f>'[14]KRS II WTP 2010-2011'!C78</f>
        <v>0</v>
      </c>
      <c r="D362" s="31">
        <f>'[14]KRS II WTP 2010-2011'!D78</f>
        <v>0</v>
      </c>
      <c r="E362" s="30">
        <f>'[14]KRS II WTP 2010-2011'!E78</f>
        <v>0</v>
      </c>
      <c r="F362" s="31">
        <f>'[14]KRS II WTP 2010-2011'!F78</f>
        <v>0</v>
      </c>
      <c r="G362" s="30">
        <f>'[14]KRS II WTP 2010-2011'!G78</f>
        <v>0</v>
      </c>
      <c r="H362" s="31">
        <f>'[14]KRS II WTP 2010-2011'!H78</f>
        <v>0</v>
      </c>
      <c r="I362" s="30">
        <f>'[14]KRS II WTP 2010-2011'!I78</f>
        <v>0</v>
      </c>
      <c r="J362" s="31">
        <f>'[14]KRS II WTP 2010-2011'!J78</f>
        <v>0</v>
      </c>
      <c r="K362" s="30">
        <f>'[14]KRS II WTP 2010-2011'!K78</f>
        <v>0</v>
      </c>
      <c r="L362" s="31">
        <f>'[14]KRS II WTP 2010-2011'!L78</f>
        <v>0</v>
      </c>
      <c r="M362" s="30">
        <f>'[14]KRS II WTP 2010-2011'!M78</f>
        <v>0</v>
      </c>
      <c r="N362" s="31">
        <f>'[14]KRS II WTP 2010-2011'!N78</f>
        <v>0</v>
      </c>
      <c r="O362" s="32">
        <f>O363/O$7</f>
        <v>0</v>
      </c>
      <c r="P362" s="9"/>
      <c r="Q362" s="9"/>
      <c r="R362" s="9"/>
      <c r="S362" s="9"/>
      <c r="T362" s="9"/>
      <c r="U362" s="9"/>
      <c r="V362" s="70"/>
    </row>
    <row r="363" spans="1:23">
      <c r="A363" s="34" t="s">
        <v>71</v>
      </c>
      <c r="B363" s="35" t="s">
        <v>57</v>
      </c>
      <c r="C363" s="65">
        <f t="shared" ref="C363:N363" si="243">C$291*C362</f>
        <v>0</v>
      </c>
      <c r="D363" s="66">
        <f t="shared" si="243"/>
        <v>0</v>
      </c>
      <c r="E363" s="65">
        <f t="shared" si="243"/>
        <v>0</v>
      </c>
      <c r="F363" s="66">
        <f t="shared" si="243"/>
        <v>0</v>
      </c>
      <c r="G363" s="65">
        <f t="shared" si="243"/>
        <v>0</v>
      </c>
      <c r="H363" s="66">
        <f t="shared" si="243"/>
        <v>0</v>
      </c>
      <c r="I363" s="65">
        <f t="shared" si="243"/>
        <v>0</v>
      </c>
      <c r="J363" s="66">
        <f t="shared" si="243"/>
        <v>0</v>
      </c>
      <c r="K363" s="65">
        <f t="shared" si="243"/>
        <v>0</v>
      </c>
      <c r="L363" s="66">
        <f t="shared" si="243"/>
        <v>0</v>
      </c>
      <c r="M363" s="65">
        <f t="shared" si="243"/>
        <v>0</v>
      </c>
      <c r="N363" s="66">
        <f t="shared" si="243"/>
        <v>0</v>
      </c>
      <c r="O363" s="67">
        <f>SUM(C363:N363)</f>
        <v>0</v>
      </c>
      <c r="R363" s="15"/>
      <c r="S363" s="15"/>
      <c r="T363" s="15"/>
      <c r="U363" s="15"/>
      <c r="V363" s="71"/>
    </row>
    <row r="364" spans="1:23" ht="15.75">
      <c r="A364" s="182" t="s">
        <v>64</v>
      </c>
      <c r="B364" s="35" t="s">
        <v>58</v>
      </c>
      <c r="C364" s="43">
        <f>'[14]Price Changes'!D71</f>
        <v>0</v>
      </c>
      <c r="D364" s="44">
        <f t="shared" ref="D364:N364" si="244">C364</f>
        <v>0</v>
      </c>
      <c r="E364" s="43">
        <f t="shared" si="244"/>
        <v>0</v>
      </c>
      <c r="F364" s="44">
        <f t="shared" si="244"/>
        <v>0</v>
      </c>
      <c r="G364" s="43">
        <f t="shared" si="244"/>
        <v>0</v>
      </c>
      <c r="H364" s="44">
        <f t="shared" si="244"/>
        <v>0</v>
      </c>
      <c r="I364" s="43">
        <f t="shared" si="244"/>
        <v>0</v>
      </c>
      <c r="J364" s="44">
        <f t="shared" si="244"/>
        <v>0</v>
      </c>
      <c r="K364" s="43">
        <f t="shared" si="244"/>
        <v>0</v>
      </c>
      <c r="L364" s="44">
        <f t="shared" si="244"/>
        <v>0</v>
      </c>
      <c r="M364" s="43">
        <f t="shared" si="244"/>
        <v>0</v>
      </c>
      <c r="N364" s="44">
        <f t="shared" si="244"/>
        <v>0</v>
      </c>
      <c r="O364" s="45">
        <f>IF(O363=0,0,+O365/O363)</f>
        <v>0</v>
      </c>
      <c r="R364" s="72"/>
      <c r="S364" s="15"/>
      <c r="T364" s="72"/>
      <c r="U364" s="15"/>
      <c r="V364" s="15"/>
    </row>
    <row r="365" spans="1:23">
      <c r="A365" s="42"/>
      <c r="B365" s="35" t="s">
        <v>15</v>
      </c>
      <c r="C365" s="48">
        <f t="shared" ref="C365:N365" si="245">C363*C364</f>
        <v>0</v>
      </c>
      <c r="D365" s="49">
        <f t="shared" si="245"/>
        <v>0</v>
      </c>
      <c r="E365" s="48">
        <f t="shared" si="245"/>
        <v>0</v>
      </c>
      <c r="F365" s="49">
        <f t="shared" si="245"/>
        <v>0</v>
      </c>
      <c r="G365" s="48">
        <f t="shared" si="245"/>
        <v>0</v>
      </c>
      <c r="H365" s="49">
        <f t="shared" si="245"/>
        <v>0</v>
      </c>
      <c r="I365" s="48">
        <f t="shared" si="245"/>
        <v>0</v>
      </c>
      <c r="J365" s="49">
        <f t="shared" si="245"/>
        <v>0</v>
      </c>
      <c r="K365" s="48">
        <f t="shared" si="245"/>
        <v>0</v>
      </c>
      <c r="L365" s="49">
        <f t="shared" si="245"/>
        <v>0</v>
      </c>
      <c r="M365" s="48">
        <f t="shared" si="245"/>
        <v>0</v>
      </c>
      <c r="N365" s="49">
        <f t="shared" si="245"/>
        <v>0</v>
      </c>
      <c r="O365" s="50">
        <f>SUM(C365:N365)</f>
        <v>0</v>
      </c>
      <c r="R365" s="15"/>
      <c r="S365" s="15"/>
      <c r="T365" s="15"/>
      <c r="U365" s="15"/>
      <c r="V365" s="15"/>
    </row>
    <row r="366" spans="1:23" ht="13.5" thickBot="1">
      <c r="A366" s="51"/>
      <c r="B366" s="52" t="s">
        <v>59</v>
      </c>
      <c r="C366" s="53">
        <f t="shared" ref="C366:N366" si="246">C365/C$291</f>
        <v>0</v>
      </c>
      <c r="D366" s="54">
        <f t="shared" si="246"/>
        <v>0</v>
      </c>
      <c r="E366" s="53">
        <f t="shared" si="246"/>
        <v>0</v>
      </c>
      <c r="F366" s="54">
        <f t="shared" si="246"/>
        <v>0</v>
      </c>
      <c r="G366" s="53">
        <f t="shared" si="246"/>
        <v>0</v>
      </c>
      <c r="H366" s="54" t="e">
        <f t="shared" si="246"/>
        <v>#DIV/0!</v>
      </c>
      <c r="I366" s="53" t="e">
        <f t="shared" si="246"/>
        <v>#DIV/0!</v>
      </c>
      <c r="J366" s="54" t="e">
        <f t="shared" si="246"/>
        <v>#DIV/0!</v>
      </c>
      <c r="K366" s="53" t="e">
        <f t="shared" si="246"/>
        <v>#DIV/0!</v>
      </c>
      <c r="L366" s="54" t="e">
        <f t="shared" si="246"/>
        <v>#DIV/0!</v>
      </c>
      <c r="M366" s="53" t="e">
        <f t="shared" si="246"/>
        <v>#DIV/0!</v>
      </c>
      <c r="N366" s="54" t="e">
        <f t="shared" si="246"/>
        <v>#DIV/0!</v>
      </c>
      <c r="O366" s="55">
        <f>O365/O$7</f>
        <v>0</v>
      </c>
      <c r="S366" s="8"/>
      <c r="V366" s="41"/>
    </row>
    <row r="367" spans="1:23">
      <c r="A367" s="181" t="s">
        <v>76</v>
      </c>
      <c r="B367" s="29" t="s">
        <v>55</v>
      </c>
      <c r="C367" s="30">
        <v>0</v>
      </c>
      <c r="D367" s="31">
        <v>0</v>
      </c>
      <c r="E367" s="30">
        <v>0</v>
      </c>
      <c r="F367" s="31">
        <v>0</v>
      </c>
      <c r="G367" s="30">
        <v>0</v>
      </c>
      <c r="H367" s="31">
        <v>0</v>
      </c>
      <c r="I367" s="30">
        <v>0</v>
      </c>
      <c r="J367" s="31">
        <v>0</v>
      </c>
      <c r="K367" s="30">
        <v>0</v>
      </c>
      <c r="L367" s="31">
        <v>0</v>
      </c>
      <c r="M367" s="30">
        <v>0</v>
      </c>
      <c r="N367" s="31">
        <v>0</v>
      </c>
      <c r="O367" s="32">
        <f>O368/O$7</f>
        <v>0</v>
      </c>
    </row>
    <row r="368" spans="1:23">
      <c r="A368" s="34" t="s">
        <v>64</v>
      </c>
      <c r="B368" s="35" t="s">
        <v>57</v>
      </c>
      <c r="C368" s="65">
        <f t="shared" ref="C368:N368" si="247">C$291*C367</f>
        <v>0</v>
      </c>
      <c r="D368" s="66">
        <f t="shared" si="247"/>
        <v>0</v>
      </c>
      <c r="E368" s="65">
        <f t="shared" si="247"/>
        <v>0</v>
      </c>
      <c r="F368" s="66">
        <f t="shared" si="247"/>
        <v>0</v>
      </c>
      <c r="G368" s="65">
        <f t="shared" si="247"/>
        <v>0</v>
      </c>
      <c r="H368" s="66">
        <f t="shared" si="247"/>
        <v>0</v>
      </c>
      <c r="I368" s="65">
        <f t="shared" si="247"/>
        <v>0</v>
      </c>
      <c r="J368" s="66">
        <f t="shared" si="247"/>
        <v>0</v>
      </c>
      <c r="K368" s="65">
        <f t="shared" si="247"/>
        <v>0</v>
      </c>
      <c r="L368" s="66">
        <f t="shared" si="247"/>
        <v>0</v>
      </c>
      <c r="M368" s="65">
        <f t="shared" si="247"/>
        <v>0</v>
      </c>
      <c r="N368" s="66">
        <f t="shared" si="247"/>
        <v>0</v>
      </c>
      <c r="O368" s="67">
        <f>SUM(C368:N368)</f>
        <v>0</v>
      </c>
    </row>
    <row r="369" spans="1:35">
      <c r="A369" s="34"/>
      <c r="B369" s="35" t="s">
        <v>58</v>
      </c>
      <c r="C369" s="43">
        <f>'[14]Price Changes'!D72</f>
        <v>0</v>
      </c>
      <c r="D369" s="44">
        <f t="shared" ref="D369:N369" si="248">C369</f>
        <v>0</v>
      </c>
      <c r="E369" s="43">
        <f t="shared" si="248"/>
        <v>0</v>
      </c>
      <c r="F369" s="44">
        <f t="shared" si="248"/>
        <v>0</v>
      </c>
      <c r="G369" s="43">
        <f t="shared" si="248"/>
        <v>0</v>
      </c>
      <c r="H369" s="44">
        <f t="shared" si="248"/>
        <v>0</v>
      </c>
      <c r="I369" s="43">
        <f t="shared" si="248"/>
        <v>0</v>
      </c>
      <c r="J369" s="44">
        <f t="shared" si="248"/>
        <v>0</v>
      </c>
      <c r="K369" s="43">
        <f t="shared" si="248"/>
        <v>0</v>
      </c>
      <c r="L369" s="44">
        <f t="shared" si="248"/>
        <v>0</v>
      </c>
      <c r="M369" s="43">
        <f t="shared" si="248"/>
        <v>0</v>
      </c>
      <c r="N369" s="44">
        <f t="shared" si="248"/>
        <v>0</v>
      </c>
      <c r="O369" s="45">
        <f>IF(O368=0,0,+O370/O368)</f>
        <v>0</v>
      </c>
    </row>
    <row r="370" spans="1:35">
      <c r="A370" s="42"/>
      <c r="B370" s="35" t="s">
        <v>15</v>
      </c>
      <c r="C370" s="48">
        <f t="shared" ref="C370:N370" si="249">C368*C369</f>
        <v>0</v>
      </c>
      <c r="D370" s="49">
        <f t="shared" si="249"/>
        <v>0</v>
      </c>
      <c r="E370" s="48">
        <f t="shared" si="249"/>
        <v>0</v>
      </c>
      <c r="F370" s="49">
        <f t="shared" si="249"/>
        <v>0</v>
      </c>
      <c r="G370" s="48">
        <f t="shared" si="249"/>
        <v>0</v>
      </c>
      <c r="H370" s="49">
        <f t="shared" si="249"/>
        <v>0</v>
      </c>
      <c r="I370" s="48">
        <f t="shared" si="249"/>
        <v>0</v>
      </c>
      <c r="J370" s="49">
        <f t="shared" si="249"/>
        <v>0</v>
      </c>
      <c r="K370" s="48">
        <f t="shared" si="249"/>
        <v>0</v>
      </c>
      <c r="L370" s="49">
        <f t="shared" si="249"/>
        <v>0</v>
      </c>
      <c r="M370" s="48">
        <f t="shared" si="249"/>
        <v>0</v>
      </c>
      <c r="N370" s="49">
        <f t="shared" si="249"/>
        <v>0</v>
      </c>
      <c r="O370" s="50">
        <f>SUM(C370:N370)</f>
        <v>0</v>
      </c>
    </row>
    <row r="371" spans="1:35" ht="13.5" thickBot="1">
      <c r="A371" s="51"/>
      <c r="B371" s="52" t="s">
        <v>59</v>
      </c>
      <c r="C371" s="53">
        <f t="shared" ref="C371:N371" si="250">C370/C$291</f>
        <v>0</v>
      </c>
      <c r="D371" s="54">
        <f t="shared" si="250"/>
        <v>0</v>
      </c>
      <c r="E371" s="53">
        <f t="shared" si="250"/>
        <v>0</v>
      </c>
      <c r="F371" s="54">
        <f t="shared" si="250"/>
        <v>0</v>
      </c>
      <c r="G371" s="53">
        <f t="shared" si="250"/>
        <v>0</v>
      </c>
      <c r="H371" s="54" t="e">
        <f t="shared" si="250"/>
        <v>#DIV/0!</v>
      </c>
      <c r="I371" s="53" t="e">
        <f t="shared" si="250"/>
        <v>#DIV/0!</v>
      </c>
      <c r="J371" s="54" t="e">
        <f t="shared" si="250"/>
        <v>#DIV/0!</v>
      </c>
      <c r="K371" s="53" t="e">
        <f t="shared" si="250"/>
        <v>#DIV/0!</v>
      </c>
      <c r="L371" s="54" t="e">
        <f t="shared" si="250"/>
        <v>#DIV/0!</v>
      </c>
      <c r="M371" s="53" t="e">
        <f t="shared" si="250"/>
        <v>#DIV/0!</v>
      </c>
      <c r="N371" s="54" t="e">
        <f t="shared" si="250"/>
        <v>#DIV/0!</v>
      </c>
      <c r="O371" s="55">
        <f>O370/O$7</f>
        <v>0</v>
      </c>
    </row>
    <row r="372" spans="1:35" ht="13.5" thickBot="1">
      <c r="A372" s="10" t="s">
        <v>1</v>
      </c>
      <c r="B372" s="73" t="s">
        <v>1</v>
      </c>
      <c r="C372" s="74" t="s">
        <v>1</v>
      </c>
      <c r="D372" s="75" t="s">
        <v>1</v>
      </c>
      <c r="E372" s="74" t="s">
        <v>1</v>
      </c>
      <c r="F372" s="75" t="s">
        <v>1</v>
      </c>
      <c r="G372" s="74" t="s">
        <v>1</v>
      </c>
      <c r="H372" s="75" t="s">
        <v>1</v>
      </c>
      <c r="I372" s="74" t="s">
        <v>1</v>
      </c>
      <c r="J372" s="75" t="s">
        <v>1</v>
      </c>
      <c r="K372" s="74" t="s">
        <v>1</v>
      </c>
      <c r="L372" s="75" t="s">
        <v>1</v>
      </c>
      <c r="M372" s="74" t="s">
        <v>1</v>
      </c>
      <c r="N372" s="75" t="s">
        <v>1</v>
      </c>
      <c r="O372" s="6" t="s">
        <v>1</v>
      </c>
      <c r="P372" s="9"/>
      <c r="Q372" s="9"/>
      <c r="R372" s="76"/>
      <c r="S372" s="9"/>
      <c r="T372" s="9"/>
      <c r="U372" s="9"/>
      <c r="V372" s="70"/>
    </row>
    <row r="373" spans="1:35" ht="16.5" thickBot="1">
      <c r="A373" s="104" t="s">
        <v>507</v>
      </c>
      <c r="B373" s="105"/>
      <c r="C373" s="106">
        <v>0</v>
      </c>
      <c r="D373" s="107">
        <v>0</v>
      </c>
      <c r="E373" s="106">
        <v>0</v>
      </c>
      <c r="F373" s="107">
        <v>0</v>
      </c>
      <c r="G373" s="106">
        <v>0</v>
      </c>
      <c r="H373" s="107">
        <v>0</v>
      </c>
      <c r="I373" s="106">
        <v>0</v>
      </c>
      <c r="J373" s="107">
        <v>0</v>
      </c>
      <c r="K373" s="106">
        <v>0</v>
      </c>
      <c r="L373" s="107">
        <v>0</v>
      </c>
      <c r="M373" s="106">
        <v>0</v>
      </c>
      <c r="N373" s="107">
        <v>0</v>
      </c>
      <c r="O373" s="108">
        <f>SUM(C373:N373)</f>
        <v>0</v>
      </c>
      <c r="P373" s="9"/>
      <c r="Q373" s="9"/>
      <c r="R373" s="76"/>
      <c r="S373" s="9"/>
      <c r="T373" s="9"/>
      <c r="U373" s="9"/>
      <c r="V373" s="70"/>
    </row>
    <row r="374" spans="1:35">
      <c r="A374" s="77" t="s">
        <v>82</v>
      </c>
      <c r="B374" s="29" t="s">
        <v>55</v>
      </c>
      <c r="C374" s="78">
        <f t="shared" ref="C374:N374" si="251">C375/C291</f>
        <v>605.92551951169332</v>
      </c>
      <c r="D374" s="79">
        <f t="shared" si="251"/>
        <v>373.18551367331855</v>
      </c>
      <c r="E374" s="78">
        <f t="shared" si="251"/>
        <v>583.57332292022568</v>
      </c>
      <c r="F374" s="79">
        <f t="shared" si="251"/>
        <v>389.23981928520482</v>
      </c>
      <c r="G374" s="78">
        <f t="shared" si="251"/>
        <v>670.20656823742877</v>
      </c>
      <c r="H374" s="79" t="e">
        <f t="shared" si="251"/>
        <v>#DIV/0!</v>
      </c>
      <c r="I374" s="78" t="e">
        <f t="shared" si="251"/>
        <v>#DIV/0!</v>
      </c>
      <c r="J374" s="79" t="e">
        <f t="shared" si="251"/>
        <v>#DIV/0!</v>
      </c>
      <c r="K374" s="78" t="e">
        <f t="shared" si="251"/>
        <v>#DIV/0!</v>
      </c>
      <c r="L374" s="79" t="e">
        <f t="shared" si="251"/>
        <v>#DIV/0!</v>
      </c>
      <c r="M374" s="78" t="e">
        <f t="shared" si="251"/>
        <v>#DIV/0!</v>
      </c>
      <c r="N374" s="79" t="e">
        <f t="shared" si="251"/>
        <v>#DIV/0!</v>
      </c>
      <c r="O374" s="32">
        <f>O375/O$7</f>
        <v>269.43886696170324</v>
      </c>
      <c r="Q374" s="33"/>
      <c r="R374" s="57"/>
      <c r="S374" s="57"/>
      <c r="T374" s="57"/>
      <c r="U374" s="57"/>
      <c r="V374" s="41"/>
    </row>
    <row r="375" spans="1:35" ht="15.75">
      <c r="A375" s="34"/>
      <c r="B375" s="35" t="s">
        <v>57</v>
      </c>
      <c r="C375" s="36">
        <f t="shared" ref="C375:N375" si="252">C293+C298+C303+C318+C323+C328+C333+C338+C343+C348+C358+C368+C353+C313+C308+C363</f>
        <v>106020</v>
      </c>
      <c r="D375" s="37">
        <f t="shared" si="252"/>
        <v>63115</v>
      </c>
      <c r="E375" s="36">
        <f t="shared" si="252"/>
        <v>107601</v>
      </c>
      <c r="F375" s="37">
        <f t="shared" si="252"/>
        <v>75300</v>
      </c>
      <c r="G375" s="36">
        <f t="shared" si="252"/>
        <v>135405.85422041718</v>
      </c>
      <c r="H375" s="37">
        <f t="shared" si="252"/>
        <v>0</v>
      </c>
      <c r="I375" s="36">
        <f t="shared" si="252"/>
        <v>0</v>
      </c>
      <c r="J375" s="37">
        <f t="shared" si="252"/>
        <v>0</v>
      </c>
      <c r="K375" s="36">
        <f t="shared" si="252"/>
        <v>0</v>
      </c>
      <c r="L375" s="37">
        <f t="shared" si="252"/>
        <v>0</v>
      </c>
      <c r="M375" s="36">
        <f t="shared" si="252"/>
        <v>0</v>
      </c>
      <c r="N375" s="37">
        <f t="shared" si="252"/>
        <v>0</v>
      </c>
      <c r="O375" s="38">
        <f>SUM(C375:N375)</f>
        <v>487441.85422041721</v>
      </c>
      <c r="Q375" s="33"/>
      <c r="R375" s="46"/>
      <c r="S375" s="56"/>
      <c r="T375" s="47"/>
      <c r="U375" s="47"/>
      <c r="V375" s="41"/>
    </row>
    <row r="376" spans="1:35">
      <c r="A376" s="42"/>
      <c r="B376" s="35" t="s">
        <v>58</v>
      </c>
      <c r="C376" s="81">
        <f t="shared" ref="C376:N376" si="253">C377/C375</f>
        <v>0.19015959252971135</v>
      </c>
      <c r="D376" s="82">
        <f t="shared" si="253"/>
        <v>0.18638675433732077</v>
      </c>
      <c r="E376" s="81">
        <f t="shared" si="253"/>
        <v>0.16953875893346718</v>
      </c>
      <c r="F376" s="82">
        <f t="shared" si="253"/>
        <v>0.18020703851261621</v>
      </c>
      <c r="G376" s="81">
        <f t="shared" si="253"/>
        <v>0.16088071488117245</v>
      </c>
      <c r="H376" s="82" t="e">
        <f t="shared" si="253"/>
        <v>#DIV/0!</v>
      </c>
      <c r="I376" s="81" t="e">
        <f t="shared" si="253"/>
        <v>#DIV/0!</v>
      </c>
      <c r="J376" s="82" t="e">
        <f t="shared" si="253"/>
        <v>#DIV/0!</v>
      </c>
      <c r="K376" s="81" t="e">
        <f t="shared" si="253"/>
        <v>#DIV/0!</v>
      </c>
      <c r="L376" s="82" t="e">
        <f t="shared" si="253"/>
        <v>#DIV/0!</v>
      </c>
      <c r="M376" s="81" t="e">
        <f t="shared" si="253"/>
        <v>#DIV/0!</v>
      </c>
      <c r="N376" s="82" t="e">
        <f t="shared" si="253"/>
        <v>#DIV/0!</v>
      </c>
      <c r="O376" s="45">
        <f>IF(O375=0,0,+O377/O375)</f>
        <v>0.17544829170004902</v>
      </c>
      <c r="Q376" s="33"/>
      <c r="R376" s="40"/>
      <c r="S376" s="40"/>
      <c r="T376" s="40"/>
      <c r="U376" s="40"/>
      <c r="V376" s="41"/>
    </row>
    <row r="377" spans="1:35" ht="15.75">
      <c r="A377" s="83" t="s">
        <v>470</v>
      </c>
      <c r="B377" s="35" t="s">
        <v>15</v>
      </c>
      <c r="C377" s="48">
        <f t="shared" ref="C377:N377" si="254">C295+C300+C310+C305+C320+C325+C330+C335+C340+C345+C350+C360+C370+C355+C315+C365</f>
        <v>20160.719999999998</v>
      </c>
      <c r="D377" s="49">
        <f t="shared" si="254"/>
        <v>11763.800000000001</v>
      </c>
      <c r="E377" s="48">
        <f t="shared" si="254"/>
        <v>18242.54</v>
      </c>
      <c r="F377" s="49">
        <f t="shared" si="254"/>
        <v>13569.59</v>
      </c>
      <c r="G377" s="48">
        <f t="shared" si="254"/>
        <v>21784.190626076539</v>
      </c>
      <c r="H377" s="49">
        <f t="shared" si="254"/>
        <v>0</v>
      </c>
      <c r="I377" s="48">
        <f t="shared" si="254"/>
        <v>0</v>
      </c>
      <c r="J377" s="49">
        <f t="shared" si="254"/>
        <v>0</v>
      </c>
      <c r="K377" s="48">
        <f t="shared" si="254"/>
        <v>0</v>
      </c>
      <c r="L377" s="49">
        <f t="shared" si="254"/>
        <v>0</v>
      </c>
      <c r="M377" s="48">
        <f t="shared" si="254"/>
        <v>0</v>
      </c>
      <c r="N377" s="49">
        <f t="shared" si="254"/>
        <v>0</v>
      </c>
      <c r="O377" s="50">
        <f>SUM(C377:N377)</f>
        <v>85520.840626076533</v>
      </c>
      <c r="Q377" s="33"/>
      <c r="R377" s="56"/>
      <c r="S377" s="80"/>
      <c r="T377" s="57"/>
      <c r="U377" s="57"/>
      <c r="V377" s="41"/>
    </row>
    <row r="378" spans="1:35" ht="13.5" thickBot="1">
      <c r="A378" s="51"/>
      <c r="B378" s="52" t="s">
        <v>59</v>
      </c>
      <c r="C378" s="53">
        <f t="shared" ref="C378:N378" si="255">C377/C291</f>
        <v>115.22254989369728</v>
      </c>
      <c r="D378" s="54">
        <f t="shared" si="255"/>
        <v>69.556836659275689</v>
      </c>
      <c r="E378" s="53">
        <f t="shared" si="255"/>
        <v>98.938296914574536</v>
      </c>
      <c r="F378" s="54">
        <f t="shared" si="255"/>
        <v>70.143755104572676</v>
      </c>
      <c r="G378" s="53">
        <f t="shared" si="255"/>
        <v>107.82331181609483</v>
      </c>
      <c r="H378" s="54" t="e">
        <f t="shared" si="255"/>
        <v>#DIV/0!</v>
      </c>
      <c r="I378" s="53" t="e">
        <f t="shared" si="255"/>
        <v>#DIV/0!</v>
      </c>
      <c r="J378" s="54" t="e">
        <f t="shared" si="255"/>
        <v>#DIV/0!</v>
      </c>
      <c r="K378" s="53" t="e">
        <f t="shared" si="255"/>
        <v>#DIV/0!</v>
      </c>
      <c r="L378" s="54" t="e">
        <f t="shared" si="255"/>
        <v>#DIV/0!</v>
      </c>
      <c r="M378" s="53" t="e">
        <f t="shared" si="255"/>
        <v>#DIV/0!</v>
      </c>
      <c r="N378" s="54" t="e">
        <f t="shared" si="255"/>
        <v>#DIV/0!</v>
      </c>
      <c r="O378" s="55">
        <f>O377/O$291</f>
        <v>92.558027453355123</v>
      </c>
      <c r="P378" s="109"/>
      <c r="Q378" s="9"/>
      <c r="R378" s="76"/>
      <c r="S378" s="9"/>
      <c r="T378" s="9"/>
      <c r="U378" s="9"/>
      <c r="V378" s="70"/>
    </row>
    <row r="379" spans="1:35" ht="13.5" thickBot="1">
      <c r="A379" s="10" t="s">
        <v>1</v>
      </c>
      <c r="B379" s="73" t="s">
        <v>1</v>
      </c>
      <c r="C379" s="74" t="s">
        <v>1</v>
      </c>
      <c r="D379" s="75" t="s">
        <v>1</v>
      </c>
      <c r="E379" s="74" t="s">
        <v>1</v>
      </c>
      <c r="F379" s="75" t="s">
        <v>1</v>
      </c>
      <c r="G379" s="74" t="s">
        <v>1</v>
      </c>
      <c r="H379" s="75" t="s">
        <v>1</v>
      </c>
      <c r="I379" s="74" t="s">
        <v>1</v>
      </c>
      <c r="J379" s="75" t="s">
        <v>1</v>
      </c>
      <c r="K379" s="74" t="s">
        <v>1</v>
      </c>
      <c r="L379" s="75" t="s">
        <v>1</v>
      </c>
      <c r="M379" s="74" t="s">
        <v>1</v>
      </c>
      <c r="N379" s="75" t="s">
        <v>1</v>
      </c>
      <c r="O379" s="6" t="s">
        <v>1</v>
      </c>
      <c r="Q379" s="33"/>
      <c r="R379" s="57"/>
      <c r="S379" s="39"/>
      <c r="T379" s="39"/>
      <c r="U379" s="39"/>
      <c r="V379" s="41"/>
    </row>
    <row r="380" spans="1:35" ht="54.75" customHeight="1" thickBot="1">
      <c r="A380" s="580" t="s">
        <v>90</v>
      </c>
      <c r="B380" s="581"/>
      <c r="C380" s="581"/>
      <c r="D380" s="581"/>
      <c r="E380" s="581"/>
      <c r="F380" s="581"/>
      <c r="G380" s="581"/>
      <c r="H380" s="581"/>
      <c r="I380" s="581"/>
      <c r="J380" s="581"/>
      <c r="K380" s="581"/>
      <c r="L380" s="581"/>
      <c r="M380" s="581"/>
      <c r="N380" s="581"/>
      <c r="O380" s="582"/>
    </row>
    <row r="381" spans="1:35">
      <c r="A381" s="10" t="s">
        <v>1</v>
      </c>
      <c r="B381" s="3"/>
      <c r="C381" s="96"/>
      <c r="D381" s="97"/>
      <c r="E381" s="96"/>
      <c r="F381" s="97"/>
      <c r="G381" s="96"/>
      <c r="H381" s="97"/>
      <c r="I381" s="96"/>
      <c r="O381" s="2"/>
    </row>
    <row r="382" spans="1:35">
      <c r="A382" s="99" t="str">
        <f>A4</f>
        <v>2012 BUDGET</v>
      </c>
      <c r="B382" s="3"/>
      <c r="O382" s="2"/>
      <c r="V382" s="8"/>
    </row>
    <row r="383" spans="1:35">
      <c r="A383" s="99" t="str">
        <f>A5</f>
        <v>Bid Dollars</v>
      </c>
      <c r="B383" s="3"/>
      <c r="O383" s="2"/>
      <c r="P383" s="9"/>
      <c r="Q383" s="9"/>
      <c r="R383" s="9"/>
      <c r="S383" s="9"/>
      <c r="T383" s="9"/>
      <c r="U383" s="9"/>
      <c r="V383" s="9"/>
      <c r="AB383" s="9"/>
      <c r="AC383" s="9"/>
      <c r="AD383" s="9"/>
      <c r="AE383" s="9"/>
      <c r="AF383" s="9"/>
      <c r="AG383" s="9"/>
      <c r="AH383" s="9"/>
      <c r="AI383" s="9"/>
    </row>
    <row r="384" spans="1:35">
      <c r="A384" s="4"/>
      <c r="B384" s="3"/>
      <c r="C384" s="22" t="str">
        <f t="shared" ref="C384:N384" si="256">C6</f>
        <v>JAN</v>
      </c>
      <c r="D384" s="23" t="str">
        <f t="shared" si="256"/>
        <v>FEB</v>
      </c>
      <c r="E384" s="22" t="str">
        <f t="shared" si="256"/>
        <v>MAR</v>
      </c>
      <c r="F384" s="23" t="str">
        <f t="shared" si="256"/>
        <v>APR</v>
      </c>
      <c r="G384" s="22" t="str">
        <f t="shared" si="256"/>
        <v>MAY</v>
      </c>
      <c r="H384" s="23" t="str">
        <f t="shared" si="256"/>
        <v>JUNE</v>
      </c>
      <c r="I384" s="22" t="str">
        <f t="shared" si="256"/>
        <v>JULY</v>
      </c>
      <c r="J384" s="23" t="str">
        <f t="shared" si="256"/>
        <v>AUG</v>
      </c>
      <c r="K384" s="22" t="str">
        <f t="shared" si="256"/>
        <v>SEPT</v>
      </c>
      <c r="L384" s="23" t="str">
        <f t="shared" si="256"/>
        <v>OCT</v>
      </c>
      <c r="M384" s="22" t="str">
        <f t="shared" si="256"/>
        <v>NOV</v>
      </c>
      <c r="N384" s="23" t="str">
        <f t="shared" si="256"/>
        <v>DEC</v>
      </c>
      <c r="O384" s="116" t="s">
        <v>13</v>
      </c>
      <c r="R384" s="15"/>
      <c r="S384" s="15"/>
      <c r="T384" s="15"/>
      <c r="U384" s="15"/>
      <c r="V384" s="15"/>
      <c r="AF384" s="15"/>
      <c r="AG384" s="15"/>
      <c r="AH384" s="15"/>
      <c r="AI384" s="15"/>
    </row>
    <row r="385" spans="1:35" ht="16.5" thickBot="1">
      <c r="A385" s="19" t="s">
        <v>53</v>
      </c>
      <c r="B385" s="3"/>
      <c r="C385" s="100">
        <f>SUM([29]Jan!$C$8:$D$38)</f>
        <v>174.97199999999998</v>
      </c>
      <c r="D385" s="101">
        <f>SUM([29]Feb!$C$8:$D$38)</f>
        <v>169.125</v>
      </c>
      <c r="E385" s="100">
        <f>SUM([29]Mar!$C$8:$D$38)</f>
        <v>184.38300000000004</v>
      </c>
      <c r="F385" s="101">
        <f>SUM([29]Apr!$C$8:$D$38)</f>
        <v>193.45399999999998</v>
      </c>
      <c r="G385" s="117">
        <f t="shared" ref="G385:N385" si="257">G7+G103+G197+G291</f>
        <v>1322.3984760000003</v>
      </c>
      <c r="H385" s="118">
        <f t="shared" si="257"/>
        <v>509.82958600000001</v>
      </c>
      <c r="I385" s="117">
        <f t="shared" si="257"/>
        <v>0</v>
      </c>
      <c r="J385" s="118">
        <f t="shared" si="257"/>
        <v>0</v>
      </c>
      <c r="K385" s="117">
        <f t="shared" si="257"/>
        <v>0</v>
      </c>
      <c r="L385" s="118">
        <f t="shared" si="257"/>
        <v>0</v>
      </c>
      <c r="M385" s="117">
        <f t="shared" si="257"/>
        <v>0</v>
      </c>
      <c r="N385" s="118">
        <f t="shared" si="257"/>
        <v>0</v>
      </c>
      <c r="O385" s="119">
        <f>SUM(C385:N385)</f>
        <v>2554.1620620000003</v>
      </c>
      <c r="P385" s="186"/>
      <c r="R385" s="270"/>
      <c r="S385" s="15"/>
      <c r="T385" s="72"/>
      <c r="U385" s="15"/>
      <c r="V385" s="15"/>
      <c r="AB385" s="15"/>
      <c r="AF385" s="15"/>
      <c r="AG385" s="15"/>
      <c r="AH385" s="72"/>
      <c r="AI385" s="15"/>
    </row>
    <row r="386" spans="1:35">
      <c r="A386" s="28" t="s">
        <v>54</v>
      </c>
      <c r="B386" s="29" t="s">
        <v>55</v>
      </c>
      <c r="C386" s="120">
        <f t="shared" ref="C386:O386" si="258">C387/C$385</f>
        <v>93.897851090170846</v>
      </c>
      <c r="D386" s="121">
        <f t="shared" si="258"/>
        <v>94.648775220578571</v>
      </c>
      <c r="E386" s="120">
        <f t="shared" si="258"/>
        <v>94.900177844068537</v>
      </c>
      <c r="F386" s="121">
        <f t="shared" si="258"/>
        <v>84.177367435569579</v>
      </c>
      <c r="G386" s="120">
        <f t="shared" si="258"/>
        <v>10.747047606133423</v>
      </c>
      <c r="H386" s="121">
        <f t="shared" si="258"/>
        <v>9.0562332797074756</v>
      </c>
      <c r="I386" s="120" t="e">
        <f t="shared" si="258"/>
        <v>#DIV/0!</v>
      </c>
      <c r="J386" s="121" t="e">
        <f t="shared" si="258"/>
        <v>#DIV/0!</v>
      </c>
      <c r="K386" s="120" t="e">
        <f t="shared" si="258"/>
        <v>#DIV/0!</v>
      </c>
      <c r="L386" s="121" t="e">
        <f t="shared" si="258"/>
        <v>#DIV/0!</v>
      </c>
      <c r="M386" s="120" t="e">
        <f t="shared" si="258"/>
        <v>#DIV/0!</v>
      </c>
      <c r="N386" s="121" t="e">
        <f t="shared" si="258"/>
        <v>#DIV/0!</v>
      </c>
      <c r="O386" s="32">
        <f t="shared" si="258"/>
        <v>37.049493956893734</v>
      </c>
      <c r="Q386" s="33"/>
      <c r="R386" s="57"/>
    </row>
    <row r="387" spans="1:35">
      <c r="A387" s="34" t="s">
        <v>56</v>
      </c>
      <c r="B387" s="35" t="s">
        <v>57</v>
      </c>
      <c r="C387" s="36">
        <f t="shared" ref="C387:N387" si="259">C9+C105+C293+C199</f>
        <v>16429.494800949371</v>
      </c>
      <c r="D387" s="37">
        <f t="shared" si="259"/>
        <v>16007.47410918035</v>
      </c>
      <c r="E387" s="36">
        <f t="shared" si="259"/>
        <v>17497.979491422891</v>
      </c>
      <c r="F387" s="37">
        <f t="shared" si="259"/>
        <v>16284.448439880674</v>
      </c>
      <c r="G387" s="36">
        <f t="shared" si="259"/>
        <v>14211.879375850291</v>
      </c>
      <c r="H387" s="37">
        <f t="shared" si="259"/>
        <v>4617.1356637126846</v>
      </c>
      <c r="I387" s="36">
        <f t="shared" si="259"/>
        <v>1597</v>
      </c>
      <c r="J387" s="37">
        <f t="shared" si="259"/>
        <v>1597</v>
      </c>
      <c r="K387" s="36">
        <f t="shared" si="259"/>
        <v>1597</v>
      </c>
      <c r="L387" s="37">
        <f t="shared" si="259"/>
        <v>1597</v>
      </c>
      <c r="M387" s="36">
        <f t="shared" si="259"/>
        <v>1597</v>
      </c>
      <c r="N387" s="37">
        <f t="shared" si="259"/>
        <v>1597</v>
      </c>
      <c r="O387" s="38">
        <f>SUM(C387:N387)</f>
        <v>94630.411880996253</v>
      </c>
      <c r="Q387" s="33"/>
      <c r="R387" s="57"/>
      <c r="S387" s="57"/>
      <c r="T387" s="57"/>
      <c r="U387" s="57"/>
      <c r="V387" s="41"/>
    </row>
    <row r="388" spans="1:35">
      <c r="A388" s="42"/>
      <c r="B388" s="35" t="s">
        <v>58</v>
      </c>
      <c r="C388" s="81">
        <f t="shared" ref="C388:N388" si="260">IF(C387=0,0,C389/C387)</f>
        <v>0.29509153096844287</v>
      </c>
      <c r="D388" s="82">
        <f t="shared" si="260"/>
        <v>0.30853894591878617</v>
      </c>
      <c r="E388" s="81">
        <f t="shared" si="260"/>
        <v>0.299012348425926</v>
      </c>
      <c r="F388" s="82">
        <f t="shared" si="260"/>
        <v>0.26159744096126564</v>
      </c>
      <c r="G388" s="81">
        <f t="shared" si="260"/>
        <v>0.31225874272035919</v>
      </c>
      <c r="H388" s="82">
        <f t="shared" si="260"/>
        <v>0.50839699436443331</v>
      </c>
      <c r="I388" s="81">
        <f t="shared" si="260"/>
        <v>0.50839699436443331</v>
      </c>
      <c r="J388" s="82">
        <f t="shared" si="260"/>
        <v>0.50839699436443331</v>
      </c>
      <c r="K388" s="81">
        <f t="shared" si="260"/>
        <v>0.50839699436443331</v>
      </c>
      <c r="L388" s="82">
        <f t="shared" si="260"/>
        <v>0.50839699436443331</v>
      </c>
      <c r="M388" s="81">
        <f t="shared" si="260"/>
        <v>0.50839699436443331</v>
      </c>
      <c r="N388" s="82">
        <f t="shared" si="260"/>
        <v>0.50839699436443331</v>
      </c>
      <c r="O388" s="45">
        <f>IF(O387=0,0,+O389/O387)</f>
        <v>0.32691179090080469</v>
      </c>
      <c r="Q388" s="33"/>
      <c r="R388" s="47"/>
      <c r="S388" s="47"/>
      <c r="T388" s="47"/>
      <c r="U388" s="47"/>
      <c r="V388" s="41"/>
    </row>
    <row r="389" spans="1:35">
      <c r="A389" s="42"/>
      <c r="B389" s="35" t="s">
        <v>15</v>
      </c>
      <c r="C389" s="48">
        <f t="shared" ref="C389:N389" si="261">C11+C107+C295+C201</f>
        <v>4848.2047738502224</v>
      </c>
      <c r="D389" s="49">
        <f t="shared" si="261"/>
        <v>4938.9291884687655</v>
      </c>
      <c r="E389" s="48">
        <f t="shared" si="261"/>
        <v>5232.1119404390492</v>
      </c>
      <c r="F389" s="49">
        <f t="shared" si="261"/>
        <v>4259.9700393384592</v>
      </c>
      <c r="G389" s="48">
        <f t="shared" si="261"/>
        <v>4437.7835855964149</v>
      </c>
      <c r="H389" s="49">
        <f t="shared" si="261"/>
        <v>2347.3378940043617</v>
      </c>
      <c r="I389" s="48">
        <f t="shared" si="261"/>
        <v>811.91</v>
      </c>
      <c r="J389" s="49">
        <f t="shared" si="261"/>
        <v>811.91</v>
      </c>
      <c r="K389" s="48">
        <f t="shared" si="261"/>
        <v>811.91</v>
      </c>
      <c r="L389" s="49">
        <f t="shared" si="261"/>
        <v>811.91</v>
      </c>
      <c r="M389" s="48">
        <f t="shared" si="261"/>
        <v>811.91</v>
      </c>
      <c r="N389" s="49">
        <f t="shared" si="261"/>
        <v>811.91</v>
      </c>
      <c r="O389" s="50">
        <f>SUM(C389:N389)</f>
        <v>30935.797421697273</v>
      </c>
      <c r="Q389" s="33"/>
      <c r="R389" s="40"/>
      <c r="S389" s="40"/>
      <c r="T389" s="40"/>
      <c r="U389" s="40"/>
      <c r="V389" s="41"/>
    </row>
    <row r="390" spans="1:35" ht="13.5" thickBot="1">
      <c r="A390" s="51"/>
      <c r="B390" s="52" t="s">
        <v>59</v>
      </c>
      <c r="C390" s="53">
        <f t="shared" ref="C390:O390" si="262">C389/C$385</f>
        <v>27.708460632845387</v>
      </c>
      <c r="D390" s="54">
        <f t="shared" si="262"/>
        <v>29.202833339061435</v>
      </c>
      <c r="E390" s="53">
        <f t="shared" si="262"/>
        <v>28.376325043192963</v>
      </c>
      <c r="F390" s="54">
        <f t="shared" si="262"/>
        <v>22.020583908001175</v>
      </c>
      <c r="G390" s="53">
        <f t="shared" si="262"/>
        <v>3.3558595734470686</v>
      </c>
      <c r="H390" s="54">
        <f t="shared" si="262"/>
        <v>4.6041617796664349</v>
      </c>
      <c r="I390" s="53" t="e">
        <f t="shared" si="262"/>
        <v>#DIV/0!</v>
      </c>
      <c r="J390" s="54" t="e">
        <f t="shared" si="262"/>
        <v>#DIV/0!</v>
      </c>
      <c r="K390" s="53" t="e">
        <f t="shared" si="262"/>
        <v>#DIV/0!</v>
      </c>
      <c r="L390" s="54" t="e">
        <f t="shared" si="262"/>
        <v>#DIV/0!</v>
      </c>
      <c r="M390" s="53" t="e">
        <f t="shared" si="262"/>
        <v>#DIV/0!</v>
      </c>
      <c r="N390" s="54" t="e">
        <f t="shared" si="262"/>
        <v>#DIV/0!</v>
      </c>
      <c r="O390" s="55">
        <f t="shared" si="262"/>
        <v>12.111916421416673</v>
      </c>
      <c r="Q390" s="33"/>
      <c r="R390" s="57"/>
      <c r="S390" s="57"/>
      <c r="T390" s="57"/>
      <c r="U390" s="57"/>
      <c r="V390" s="41"/>
    </row>
    <row r="391" spans="1:35">
      <c r="A391" s="28" t="s">
        <v>60</v>
      </c>
      <c r="B391" s="29" t="s">
        <v>55</v>
      </c>
      <c r="C391" s="120">
        <f t="shared" ref="C391:O391" si="263">C392/C$385</f>
        <v>24.481294395231536</v>
      </c>
      <c r="D391" s="121">
        <f t="shared" si="263"/>
        <v>18.656797246627033</v>
      </c>
      <c r="E391" s="120">
        <f t="shared" si="263"/>
        <v>17.848717072615152</v>
      </c>
      <c r="F391" s="121">
        <f t="shared" si="263"/>
        <v>17.880219587085303</v>
      </c>
      <c r="G391" s="120">
        <f t="shared" si="263"/>
        <v>2.6860285038622496</v>
      </c>
      <c r="H391" s="121">
        <f t="shared" si="263"/>
        <v>8.6389653857747764</v>
      </c>
      <c r="I391" s="120" t="e">
        <f t="shared" si="263"/>
        <v>#DIV/0!</v>
      </c>
      <c r="J391" s="121" t="e">
        <f t="shared" si="263"/>
        <v>#DIV/0!</v>
      </c>
      <c r="K391" s="120" t="e">
        <f t="shared" si="263"/>
        <v>#DIV/0!</v>
      </c>
      <c r="L391" s="121" t="e">
        <f t="shared" si="263"/>
        <v>#DIV/0!</v>
      </c>
      <c r="M391" s="120" t="e">
        <f t="shared" si="263"/>
        <v>#DIV/0!</v>
      </c>
      <c r="N391" s="121" t="e">
        <f t="shared" si="263"/>
        <v>#DIV/0!</v>
      </c>
      <c r="O391" s="32">
        <f t="shared" si="263"/>
        <v>16.536645286432154</v>
      </c>
      <c r="Q391" s="33"/>
      <c r="R391" s="58"/>
      <c r="S391" s="58"/>
      <c r="T391" s="58"/>
      <c r="U391" s="58"/>
      <c r="V391" s="41"/>
    </row>
    <row r="392" spans="1:35">
      <c r="A392" s="34" t="s">
        <v>56</v>
      </c>
      <c r="B392" s="35" t="s">
        <v>57</v>
      </c>
      <c r="C392" s="36">
        <f t="shared" ref="C392:N392" si="264">C14+C110+C298+C204</f>
        <v>4283.5410429224521</v>
      </c>
      <c r="D392" s="37">
        <f t="shared" si="264"/>
        <v>3155.3308343357967</v>
      </c>
      <c r="E392" s="36">
        <f t="shared" si="264"/>
        <v>3291</v>
      </c>
      <c r="F392" s="37">
        <f t="shared" si="264"/>
        <v>3459</v>
      </c>
      <c r="G392" s="36">
        <f t="shared" si="264"/>
        <v>3552</v>
      </c>
      <c r="H392" s="37">
        <f t="shared" si="264"/>
        <v>4404.4001460978843</v>
      </c>
      <c r="I392" s="36">
        <f t="shared" si="264"/>
        <v>3957</v>
      </c>
      <c r="J392" s="37">
        <f t="shared" si="264"/>
        <v>3227</v>
      </c>
      <c r="K392" s="36">
        <f t="shared" si="264"/>
        <v>3227</v>
      </c>
      <c r="L392" s="37">
        <f t="shared" si="264"/>
        <v>3227</v>
      </c>
      <c r="M392" s="36">
        <f t="shared" si="264"/>
        <v>3227</v>
      </c>
      <c r="N392" s="37">
        <f t="shared" si="264"/>
        <v>3227</v>
      </c>
      <c r="O392" s="38">
        <f>SUM(C392:N392)</f>
        <v>42237.272023356134</v>
      </c>
      <c r="Q392" s="33"/>
      <c r="R392" s="57"/>
      <c r="S392" s="57"/>
      <c r="T392" s="57"/>
      <c r="U392" s="57"/>
      <c r="V392" s="41"/>
    </row>
    <row r="393" spans="1:35">
      <c r="A393" s="42"/>
      <c r="B393" s="35" t="s">
        <v>58</v>
      </c>
      <c r="C393" s="81">
        <f t="shared" ref="C393:N393" si="265">IF(C392=0,0,C394/C392)</f>
        <v>0.90527462302682948</v>
      </c>
      <c r="D393" s="122">
        <f t="shared" si="265"/>
        <v>0.9111933926524628</v>
      </c>
      <c r="E393" s="123">
        <f t="shared" si="265"/>
        <v>0.91183834700698885</v>
      </c>
      <c r="F393" s="122">
        <f t="shared" si="265"/>
        <v>0.91159872795605656</v>
      </c>
      <c r="G393" s="123">
        <f t="shared" si="265"/>
        <v>0.91159872795605656</v>
      </c>
      <c r="H393" s="122">
        <f t="shared" si="265"/>
        <v>0.90965870235292501</v>
      </c>
      <c r="I393" s="123">
        <f t="shared" si="265"/>
        <v>0.91159872795605656</v>
      </c>
      <c r="J393" s="122">
        <f t="shared" si="265"/>
        <v>0.91159872795605656</v>
      </c>
      <c r="K393" s="123">
        <f t="shared" si="265"/>
        <v>0.91159872795605656</v>
      </c>
      <c r="L393" s="122">
        <f t="shared" si="265"/>
        <v>0.91159872795605656</v>
      </c>
      <c r="M393" s="123">
        <f t="shared" si="265"/>
        <v>0.91159872795605656</v>
      </c>
      <c r="N393" s="122">
        <f t="shared" si="265"/>
        <v>0.91159872795605656</v>
      </c>
      <c r="O393" s="45">
        <f>IF(O392=0,0,+O394/O392)</f>
        <v>0.91074345035339699</v>
      </c>
      <c r="Q393" s="33"/>
      <c r="R393" s="47"/>
      <c r="S393" s="47"/>
      <c r="T393" s="47"/>
      <c r="U393" s="47"/>
      <c r="V393" s="41"/>
    </row>
    <row r="394" spans="1:35">
      <c r="A394" s="42"/>
      <c r="B394" s="35" t="s">
        <v>15</v>
      </c>
      <c r="C394" s="48">
        <f t="shared" ref="C394:N394" si="266">C16+C112+C300+C206</f>
        <v>3877.7810028515746</v>
      </c>
      <c r="D394" s="49">
        <f t="shared" si="266"/>
        <v>2875.1166078793608</v>
      </c>
      <c r="E394" s="48">
        <f t="shared" si="266"/>
        <v>3000.86</v>
      </c>
      <c r="F394" s="49">
        <f t="shared" si="266"/>
        <v>3153.22</v>
      </c>
      <c r="G394" s="48">
        <f t="shared" si="266"/>
        <v>3237.998681699913</v>
      </c>
      <c r="H394" s="49">
        <f t="shared" si="266"/>
        <v>4006.5009215424348</v>
      </c>
      <c r="I394" s="48">
        <f t="shared" si="266"/>
        <v>3607.1961665221156</v>
      </c>
      <c r="J394" s="49">
        <f t="shared" si="266"/>
        <v>2941.7290951141945</v>
      </c>
      <c r="K394" s="48">
        <f t="shared" si="266"/>
        <v>2941.7290951141945</v>
      </c>
      <c r="L394" s="49">
        <f t="shared" si="266"/>
        <v>2941.7290951141945</v>
      </c>
      <c r="M394" s="48">
        <f t="shared" si="266"/>
        <v>2941.7290951141945</v>
      </c>
      <c r="N394" s="49">
        <f t="shared" si="266"/>
        <v>2941.7290951141945</v>
      </c>
      <c r="O394" s="50">
        <f>SUM(C394:N394)</f>
        <v>38467.318856066369</v>
      </c>
      <c r="Q394" s="33"/>
      <c r="R394" s="40"/>
      <c r="S394" s="40"/>
      <c r="T394" s="40"/>
      <c r="U394" s="40"/>
      <c r="V394" s="41"/>
    </row>
    <row r="395" spans="1:35" ht="13.5" thickBot="1">
      <c r="A395" s="51"/>
      <c r="B395" s="52" t="s">
        <v>59</v>
      </c>
      <c r="C395" s="53">
        <f t="shared" ref="C395:O395" si="267">C394/C$385</f>
        <v>22.162294554852064</v>
      </c>
      <c r="D395" s="54">
        <f t="shared" si="267"/>
        <v>16.999950379183211</v>
      </c>
      <c r="E395" s="53">
        <f t="shared" si="267"/>
        <v>16.275144671688818</v>
      </c>
      <c r="F395" s="54">
        <f t="shared" si="267"/>
        <v>16.29958543116193</v>
      </c>
      <c r="G395" s="53">
        <f t="shared" si="267"/>
        <v>2.4485801673745367</v>
      </c>
      <c r="H395" s="54">
        <f t="shared" si="267"/>
        <v>7.8585100424957188</v>
      </c>
      <c r="I395" s="53" t="e">
        <f t="shared" si="267"/>
        <v>#DIV/0!</v>
      </c>
      <c r="J395" s="54" t="e">
        <f t="shared" si="267"/>
        <v>#DIV/0!</v>
      </c>
      <c r="K395" s="53" t="e">
        <f t="shared" si="267"/>
        <v>#DIV/0!</v>
      </c>
      <c r="L395" s="54" t="e">
        <f t="shared" si="267"/>
        <v>#DIV/0!</v>
      </c>
      <c r="M395" s="53" t="e">
        <f t="shared" si="267"/>
        <v>#DIV/0!</v>
      </c>
      <c r="N395" s="54" t="e">
        <f t="shared" si="267"/>
        <v>#DIV/0!</v>
      </c>
      <c r="O395" s="55">
        <f t="shared" si="267"/>
        <v>15.060641385435458</v>
      </c>
      <c r="Q395" s="33"/>
      <c r="R395" s="57"/>
      <c r="S395" s="57"/>
      <c r="T395" s="57"/>
      <c r="U395" s="57"/>
      <c r="V395" s="41"/>
    </row>
    <row r="396" spans="1:35">
      <c r="A396" s="28" t="s">
        <v>61</v>
      </c>
      <c r="B396" s="29" t="s">
        <v>55</v>
      </c>
      <c r="C396" s="120">
        <f t="shared" ref="C396:O396" si="268">C397/C$385</f>
        <v>317.19722794815249</v>
      </c>
      <c r="D396" s="121">
        <f t="shared" si="268"/>
        <v>303.18999916632259</v>
      </c>
      <c r="E396" s="120">
        <f t="shared" si="268"/>
        <v>319.69200192795591</v>
      </c>
      <c r="F396" s="121">
        <f t="shared" si="268"/>
        <v>312.87310211923324</v>
      </c>
      <c r="G396" s="120">
        <f t="shared" si="268"/>
        <v>51.529437798885091</v>
      </c>
      <c r="H396" s="121">
        <f t="shared" si="268"/>
        <v>77.509384469968253</v>
      </c>
      <c r="I396" s="120" t="e">
        <f t="shared" si="268"/>
        <v>#DIV/0!</v>
      </c>
      <c r="J396" s="121" t="e">
        <f t="shared" si="268"/>
        <v>#DIV/0!</v>
      </c>
      <c r="K396" s="120" t="e">
        <f t="shared" si="268"/>
        <v>#DIV/0!</v>
      </c>
      <c r="L396" s="121" t="e">
        <f t="shared" si="268"/>
        <v>#DIV/0!</v>
      </c>
      <c r="M396" s="120" t="e">
        <f t="shared" si="268"/>
        <v>#DIV/0!</v>
      </c>
      <c r="N396" s="121" t="e">
        <f t="shared" si="268"/>
        <v>#DIV/0!</v>
      </c>
      <c r="O396" s="32">
        <f t="shared" si="268"/>
        <v>177.92647537704914</v>
      </c>
      <c r="Q396" s="33"/>
      <c r="AC396" s="124"/>
      <c r="AG396" s="33"/>
      <c r="AI396" s="58"/>
    </row>
    <row r="397" spans="1:35">
      <c r="A397" s="34" t="s">
        <v>56</v>
      </c>
      <c r="B397" s="35" t="s">
        <v>57</v>
      </c>
      <c r="C397" s="36">
        <f t="shared" ref="C397:N397" si="269">C19+C115+C303+C209</f>
        <v>55500.633368544135</v>
      </c>
      <c r="D397" s="37">
        <f t="shared" si="269"/>
        <v>51277.008609004304</v>
      </c>
      <c r="E397" s="36">
        <f t="shared" si="269"/>
        <v>58945.770391482307</v>
      </c>
      <c r="F397" s="37">
        <f t="shared" si="269"/>
        <v>60526.553097374141</v>
      </c>
      <c r="G397" s="36">
        <f t="shared" si="269"/>
        <v>68142.450014382455</v>
      </c>
      <c r="H397" s="37">
        <f t="shared" si="269"/>
        <v>39516.577395438748</v>
      </c>
      <c r="I397" s="36">
        <f t="shared" si="269"/>
        <v>20353</v>
      </c>
      <c r="J397" s="37">
        <f t="shared" si="269"/>
        <v>20043.490293625135</v>
      </c>
      <c r="K397" s="36">
        <f t="shared" si="269"/>
        <v>20032.277743718452</v>
      </c>
      <c r="L397" s="37">
        <f t="shared" si="269"/>
        <v>20196.05931331604</v>
      </c>
      <c r="M397" s="36">
        <f t="shared" si="269"/>
        <v>20076.785201644972</v>
      </c>
      <c r="N397" s="37">
        <f t="shared" si="269"/>
        <v>19842.447804905343</v>
      </c>
      <c r="O397" s="38">
        <f>SUM(C397:N397)</f>
        <v>454453.05323343613</v>
      </c>
      <c r="Q397" s="33"/>
      <c r="R397" s="57"/>
      <c r="S397" s="57"/>
      <c r="T397" s="57"/>
      <c r="U397" s="57"/>
      <c r="V397" s="41"/>
      <c r="AB397" s="15"/>
      <c r="AC397" s="124"/>
      <c r="AD397" s="15"/>
      <c r="AF397" s="57"/>
      <c r="AG397" s="33"/>
      <c r="AH397" s="57"/>
      <c r="AI397" s="58"/>
    </row>
    <row r="398" spans="1:35">
      <c r="A398" s="42"/>
      <c r="B398" s="35" t="s">
        <v>58</v>
      </c>
      <c r="C398" s="81">
        <f t="shared" ref="C398:N398" si="270">IF(C397=0,0,C399/C397)</f>
        <v>0.20329426511622925</v>
      </c>
      <c r="D398" s="82">
        <f t="shared" si="270"/>
        <v>0.20183858963303497</v>
      </c>
      <c r="E398" s="81">
        <f t="shared" si="270"/>
        <v>0.20306359057336176</v>
      </c>
      <c r="F398" s="82">
        <f t="shared" si="270"/>
        <v>0.20252815545369804</v>
      </c>
      <c r="G398" s="81">
        <f t="shared" si="270"/>
        <v>0.20257920054141246</v>
      </c>
      <c r="H398" s="82">
        <f t="shared" si="270"/>
        <v>0.20527029629135535</v>
      </c>
      <c r="I398" s="81">
        <f t="shared" si="270"/>
        <v>0.21100179236184172</v>
      </c>
      <c r="J398" s="82">
        <f t="shared" si="270"/>
        <v>0.20782081021101531</v>
      </c>
      <c r="K398" s="81">
        <f t="shared" si="270"/>
        <v>0.20770372839563697</v>
      </c>
      <c r="L398" s="82">
        <f t="shared" si="270"/>
        <v>0.20940102131709587</v>
      </c>
      <c r="M398" s="81">
        <f t="shared" si="270"/>
        <v>0.20816770600839349</v>
      </c>
      <c r="N398" s="82">
        <f t="shared" si="270"/>
        <v>0.20570143428566537</v>
      </c>
      <c r="O398" s="45">
        <f>IF(O397=0,0,+O399/O397)</f>
        <v>0.20439365262396514</v>
      </c>
      <c r="Q398" s="33"/>
      <c r="R398" s="47"/>
      <c r="S398" s="47"/>
      <c r="T398" s="47"/>
      <c r="U398" s="47"/>
      <c r="V398" s="41"/>
      <c r="AC398" s="124"/>
      <c r="AD398" s="15"/>
      <c r="AF398" s="47"/>
      <c r="AG398" s="33"/>
      <c r="AH398" s="47"/>
      <c r="AI398" s="58"/>
    </row>
    <row r="399" spans="1:35">
      <c r="A399" s="42"/>
      <c r="B399" s="35" t="s">
        <v>15</v>
      </c>
      <c r="C399" s="48">
        <f t="shared" ref="C399:N399" si="271">C21+C117+C305+C211</f>
        <v>11282.96047414345</v>
      </c>
      <c r="D399" s="49">
        <f t="shared" si="271"/>
        <v>10349.679098242421</v>
      </c>
      <c r="E399" s="48">
        <f t="shared" si="271"/>
        <v>11969.739784807354</v>
      </c>
      <c r="F399" s="49">
        <f t="shared" si="271"/>
        <v>12258.331154781499</v>
      </c>
      <c r="G399" s="48">
        <f t="shared" si="271"/>
        <v>13804.243046846757</v>
      </c>
      <c r="H399" s="49">
        <f t="shared" si="271"/>
        <v>8111.5795503819872</v>
      </c>
      <c r="I399" s="48">
        <f t="shared" si="271"/>
        <v>4294.5194799405645</v>
      </c>
      <c r="J399" s="49">
        <f t="shared" si="271"/>
        <v>4165.4543922777966</v>
      </c>
      <c r="K399" s="48">
        <f t="shared" si="271"/>
        <v>4160.778775627261</v>
      </c>
      <c r="L399" s="49">
        <f t="shared" si="271"/>
        <v>4229.0754467890247</v>
      </c>
      <c r="M399" s="48">
        <f t="shared" si="271"/>
        <v>4179.3383194496955</v>
      </c>
      <c r="N399" s="49">
        <f t="shared" si="271"/>
        <v>4081.6199732074815</v>
      </c>
      <c r="O399" s="50">
        <f>SUM(C399:N399)</f>
        <v>92887.319496495285</v>
      </c>
      <c r="Q399" s="33"/>
      <c r="R399" s="40"/>
      <c r="S399" s="40"/>
      <c r="T399" s="40"/>
      <c r="U399" s="40"/>
      <c r="V399" s="41"/>
      <c r="AC399" s="124"/>
      <c r="AD399" s="15"/>
      <c r="AF399" s="40"/>
      <c r="AG399" s="33"/>
      <c r="AH399" s="40"/>
      <c r="AI399" s="58"/>
    </row>
    <row r="400" spans="1:35" ht="13.5" thickBot="1">
      <c r="A400" s="51"/>
      <c r="B400" s="52" t="s">
        <v>59</v>
      </c>
      <c r="C400" s="53">
        <f t="shared" ref="C400:O400" si="272">C399/C$385</f>
        <v>64.484377352624719</v>
      </c>
      <c r="D400" s="54">
        <f t="shared" si="272"/>
        <v>61.195441822571595</v>
      </c>
      <c r="E400" s="53">
        <f t="shared" si="272"/>
        <v>64.917805789076823</v>
      </c>
      <c r="F400" s="54">
        <f t="shared" si="272"/>
        <v>63.365612263284817</v>
      </c>
      <c r="G400" s="53">
        <f t="shared" si="272"/>
        <v>10.438792313646582</v>
      </c>
      <c r="H400" s="54">
        <f t="shared" si="272"/>
        <v>15.910374315510962</v>
      </c>
      <c r="I400" s="53" t="e">
        <f t="shared" si="272"/>
        <v>#DIV/0!</v>
      </c>
      <c r="J400" s="54" t="e">
        <f t="shared" si="272"/>
        <v>#DIV/0!</v>
      </c>
      <c r="K400" s="53" t="e">
        <f t="shared" si="272"/>
        <v>#DIV/0!</v>
      </c>
      <c r="L400" s="54" t="e">
        <f t="shared" si="272"/>
        <v>#DIV/0!</v>
      </c>
      <c r="M400" s="53" t="e">
        <f t="shared" si="272"/>
        <v>#DIV/0!</v>
      </c>
      <c r="N400" s="54" t="e">
        <f t="shared" si="272"/>
        <v>#DIV/0!</v>
      </c>
      <c r="O400" s="55">
        <f t="shared" si="272"/>
        <v>36.367042200823072</v>
      </c>
      <c r="Q400" s="33"/>
      <c r="R400" s="57"/>
      <c r="S400" s="57"/>
      <c r="T400" s="57"/>
      <c r="U400" s="57"/>
      <c r="V400" s="41"/>
      <c r="AC400" s="124"/>
      <c r="AD400" s="15"/>
      <c r="AF400" s="57"/>
      <c r="AG400" s="33"/>
      <c r="AH400" s="57"/>
      <c r="AI400" s="58"/>
    </row>
    <row r="401" spans="1:35">
      <c r="A401" s="28" t="s">
        <v>62</v>
      </c>
      <c r="B401" s="29" t="s">
        <v>55</v>
      </c>
      <c r="C401" s="120">
        <f t="shared" ref="C401:O401" si="273">C402/C$385</f>
        <v>0</v>
      </c>
      <c r="D401" s="121">
        <f t="shared" si="273"/>
        <v>1.6260162601626016</v>
      </c>
      <c r="E401" s="120">
        <f t="shared" si="273"/>
        <v>1.7897528514017016</v>
      </c>
      <c r="F401" s="121">
        <f t="shared" si="273"/>
        <v>2.8223763788807679</v>
      </c>
      <c r="G401" s="120">
        <f t="shared" si="273"/>
        <v>3.7810085921484368E-2</v>
      </c>
      <c r="H401" s="121">
        <f t="shared" si="273"/>
        <v>9.8071985959637897E-2</v>
      </c>
      <c r="I401" s="120" t="e">
        <f t="shared" si="273"/>
        <v>#DIV/0!</v>
      </c>
      <c r="J401" s="121" t="e">
        <f t="shared" si="273"/>
        <v>#DIV/0!</v>
      </c>
      <c r="K401" s="120" t="e">
        <f t="shared" si="273"/>
        <v>#DIV/0!</v>
      </c>
      <c r="L401" s="121" t="e">
        <f t="shared" si="273"/>
        <v>#DIV/0!</v>
      </c>
      <c r="M401" s="120" t="e">
        <f t="shared" si="273"/>
        <v>#DIV/0!</v>
      </c>
      <c r="N401" s="121" t="e">
        <f t="shared" si="273"/>
        <v>#DIV/0!</v>
      </c>
      <c r="O401" s="32">
        <f t="shared" si="273"/>
        <v>0.60724416162751693</v>
      </c>
      <c r="Q401" s="33"/>
    </row>
    <row r="402" spans="1:35">
      <c r="A402" s="34" t="s">
        <v>56</v>
      </c>
      <c r="B402" s="35" t="s">
        <v>57</v>
      </c>
      <c r="C402" s="36">
        <f t="shared" ref="C402:N402" si="274">C24+C120+C308+C214</f>
        <v>0</v>
      </c>
      <c r="D402" s="66">
        <f t="shared" si="274"/>
        <v>275</v>
      </c>
      <c r="E402" s="65">
        <f t="shared" si="274"/>
        <v>330</v>
      </c>
      <c r="F402" s="66">
        <f t="shared" si="274"/>
        <v>546</v>
      </c>
      <c r="G402" s="65">
        <f t="shared" si="274"/>
        <v>50</v>
      </c>
      <c r="H402" s="66">
        <f t="shared" si="274"/>
        <v>50</v>
      </c>
      <c r="I402" s="65">
        <f t="shared" si="274"/>
        <v>50</v>
      </c>
      <c r="J402" s="66">
        <f t="shared" si="274"/>
        <v>50</v>
      </c>
      <c r="K402" s="65">
        <f t="shared" si="274"/>
        <v>50</v>
      </c>
      <c r="L402" s="66">
        <f t="shared" si="274"/>
        <v>50</v>
      </c>
      <c r="M402" s="65">
        <f t="shared" si="274"/>
        <v>50</v>
      </c>
      <c r="N402" s="66">
        <f t="shared" si="274"/>
        <v>50</v>
      </c>
      <c r="O402" s="67">
        <f>SUM(C402:N402)</f>
        <v>1551</v>
      </c>
      <c r="Q402" s="33"/>
      <c r="R402" s="39"/>
      <c r="S402" s="39"/>
      <c r="T402" s="39"/>
      <c r="U402" s="39"/>
      <c r="V402" s="41"/>
    </row>
    <row r="403" spans="1:35">
      <c r="A403" s="42"/>
      <c r="B403" s="35" t="s">
        <v>58</v>
      </c>
      <c r="C403" s="81">
        <f t="shared" ref="C403:N403" si="275">IF(C402=0,0,C404/C402)</f>
        <v>0</v>
      </c>
      <c r="D403" s="82">
        <f t="shared" si="275"/>
        <v>2.3850181818181819</v>
      </c>
      <c r="E403" s="81">
        <f t="shared" si="275"/>
        <v>2.3650000000000002</v>
      </c>
      <c r="F403" s="82">
        <f t="shared" si="275"/>
        <v>2.3129487179487183</v>
      </c>
      <c r="G403" s="81">
        <f t="shared" si="275"/>
        <v>1.8076470588235294</v>
      </c>
      <c r="H403" s="82">
        <f t="shared" si="275"/>
        <v>1.8076470588235294</v>
      </c>
      <c r="I403" s="81">
        <f t="shared" si="275"/>
        <v>1.8076470588235294</v>
      </c>
      <c r="J403" s="82">
        <f t="shared" si="275"/>
        <v>1.8076470588235294</v>
      </c>
      <c r="K403" s="81">
        <f t="shared" si="275"/>
        <v>1.8076470588235294</v>
      </c>
      <c r="L403" s="82">
        <f t="shared" si="275"/>
        <v>1.8076470588235294</v>
      </c>
      <c r="M403" s="81">
        <f t="shared" si="275"/>
        <v>1.8076470588235294</v>
      </c>
      <c r="N403" s="82">
        <f t="shared" si="275"/>
        <v>1.8076470588235294</v>
      </c>
      <c r="O403" s="45">
        <f>IF(O402=0,0,+O404/O402)</f>
        <v>2.2064853794515877</v>
      </c>
      <c r="Q403" s="33"/>
      <c r="R403" s="47"/>
      <c r="S403" s="47"/>
      <c r="T403" s="68"/>
      <c r="U403" s="47"/>
      <c r="V403" s="41"/>
    </row>
    <row r="404" spans="1:35">
      <c r="A404" s="42"/>
      <c r="B404" s="35" t="s">
        <v>15</v>
      </c>
      <c r="C404" s="48">
        <f t="shared" ref="C404:N404" si="276">C26+C122+C310+C216</f>
        <v>0</v>
      </c>
      <c r="D404" s="49">
        <f t="shared" si="276"/>
        <v>655.88</v>
      </c>
      <c r="E404" s="48">
        <f t="shared" si="276"/>
        <v>780.45</v>
      </c>
      <c r="F404" s="49">
        <f t="shared" si="276"/>
        <v>1262.8700000000001</v>
      </c>
      <c r="G404" s="48">
        <f t="shared" si="276"/>
        <v>90.382352941176464</v>
      </c>
      <c r="H404" s="49">
        <f t="shared" si="276"/>
        <v>90.382352941176464</v>
      </c>
      <c r="I404" s="48">
        <f t="shared" si="276"/>
        <v>90.382352941176464</v>
      </c>
      <c r="J404" s="49">
        <f t="shared" si="276"/>
        <v>90.382352941176464</v>
      </c>
      <c r="K404" s="48">
        <f t="shared" si="276"/>
        <v>90.382352941176464</v>
      </c>
      <c r="L404" s="49">
        <f t="shared" si="276"/>
        <v>90.382352941176464</v>
      </c>
      <c r="M404" s="48">
        <f t="shared" si="276"/>
        <v>90.382352941176464</v>
      </c>
      <c r="N404" s="49">
        <f t="shared" si="276"/>
        <v>90.382352941176464</v>
      </c>
      <c r="O404" s="50">
        <f>SUM(C404:N404)</f>
        <v>3422.2588235294124</v>
      </c>
      <c r="Q404" s="33"/>
      <c r="R404" s="39"/>
      <c r="S404" s="40"/>
      <c r="T404" s="40"/>
      <c r="U404" s="39"/>
      <c r="V404" s="41"/>
    </row>
    <row r="405" spans="1:35" ht="13.5" thickBot="1">
      <c r="A405" s="51"/>
      <c r="B405" s="52" t="s">
        <v>59</v>
      </c>
      <c r="C405" s="53">
        <f t="shared" ref="C405:O405" si="277">C404/C$385</f>
        <v>0</v>
      </c>
      <c r="D405" s="54">
        <f t="shared" si="277"/>
        <v>3.8780783444198077</v>
      </c>
      <c r="E405" s="53">
        <f t="shared" si="277"/>
        <v>4.2327654935650241</v>
      </c>
      <c r="F405" s="54">
        <f t="shared" si="277"/>
        <v>6.5280118271010172</v>
      </c>
      <c r="G405" s="53">
        <f t="shared" si="277"/>
        <v>6.8347290609836159E-2</v>
      </c>
      <c r="H405" s="54">
        <f t="shared" si="277"/>
        <v>0.1772795369729219</v>
      </c>
      <c r="I405" s="53" t="e">
        <f t="shared" si="277"/>
        <v>#DIV/0!</v>
      </c>
      <c r="J405" s="54" t="e">
        <f t="shared" si="277"/>
        <v>#DIV/0!</v>
      </c>
      <c r="K405" s="53" t="e">
        <f t="shared" si="277"/>
        <v>#DIV/0!</v>
      </c>
      <c r="L405" s="54" t="e">
        <f t="shared" si="277"/>
        <v>#DIV/0!</v>
      </c>
      <c r="M405" s="53" t="e">
        <f t="shared" si="277"/>
        <v>#DIV/0!</v>
      </c>
      <c r="N405" s="54" t="e">
        <f t="shared" si="277"/>
        <v>#DIV/0!</v>
      </c>
      <c r="O405" s="55">
        <f t="shared" si="277"/>
        <v>1.3398753643884529</v>
      </c>
      <c r="Q405" s="33"/>
      <c r="R405" s="57"/>
      <c r="S405" s="57"/>
      <c r="T405" s="57"/>
      <c r="U405" s="57"/>
      <c r="V405" s="41"/>
    </row>
    <row r="406" spans="1:35">
      <c r="A406" s="181" t="s">
        <v>63</v>
      </c>
      <c r="B406" s="29" t="s">
        <v>55</v>
      </c>
      <c r="C406" s="120">
        <f t="shared" ref="C406:O406" si="278">C407/C$385</f>
        <v>165.45844186621517</v>
      </c>
      <c r="D406" s="121">
        <f t="shared" si="278"/>
        <v>153.92420754307861</v>
      </c>
      <c r="E406" s="120">
        <f t="shared" si="278"/>
        <v>144.66230757486974</v>
      </c>
      <c r="F406" s="121">
        <f t="shared" si="278"/>
        <v>147.01671640619332</v>
      </c>
      <c r="G406" s="120">
        <f t="shared" si="278"/>
        <v>26.32338098126321</v>
      </c>
      <c r="H406" s="121">
        <f t="shared" si="278"/>
        <v>34.894005258134698</v>
      </c>
      <c r="I406" s="120" t="e">
        <f t="shared" si="278"/>
        <v>#DIV/0!</v>
      </c>
      <c r="J406" s="121" t="e">
        <f t="shared" si="278"/>
        <v>#DIV/0!</v>
      </c>
      <c r="K406" s="120" t="e">
        <f t="shared" si="278"/>
        <v>#DIV/0!</v>
      </c>
      <c r="L406" s="121" t="e">
        <f t="shared" si="278"/>
        <v>#DIV/0!</v>
      </c>
      <c r="M406" s="120" t="e">
        <f t="shared" si="278"/>
        <v>#DIV/0!</v>
      </c>
      <c r="N406" s="121" t="e">
        <f t="shared" si="278"/>
        <v>#DIV/0!</v>
      </c>
      <c r="O406" s="32">
        <f t="shared" si="278"/>
        <v>80.931929272225631</v>
      </c>
    </row>
    <row r="407" spans="1:35">
      <c r="A407" s="34" t="s">
        <v>64</v>
      </c>
      <c r="B407" s="35" t="s">
        <v>57</v>
      </c>
      <c r="C407" s="36">
        <f t="shared" ref="C407:N407" si="279">C29+C125+C313+C219</f>
        <v>28950.594490215397</v>
      </c>
      <c r="D407" s="37">
        <f t="shared" si="279"/>
        <v>26032.431600723168</v>
      </c>
      <c r="E407" s="36">
        <f t="shared" si="279"/>
        <v>26673.270257577213</v>
      </c>
      <c r="F407" s="37">
        <f t="shared" si="279"/>
        <v>28440.971855643718</v>
      </c>
      <c r="G407" s="36">
        <f t="shared" si="279"/>
        <v>34809.998892789859</v>
      </c>
      <c r="H407" s="37">
        <f t="shared" si="279"/>
        <v>17789.996254636637</v>
      </c>
      <c r="I407" s="36">
        <f t="shared" si="279"/>
        <v>7336</v>
      </c>
      <c r="J407" s="37">
        <f t="shared" si="279"/>
        <v>7336</v>
      </c>
      <c r="K407" s="36">
        <f t="shared" si="279"/>
        <v>7336</v>
      </c>
      <c r="L407" s="37">
        <f t="shared" si="279"/>
        <v>7336</v>
      </c>
      <c r="M407" s="36">
        <f t="shared" si="279"/>
        <v>7336</v>
      </c>
      <c r="N407" s="37">
        <f t="shared" si="279"/>
        <v>7336</v>
      </c>
      <c r="O407" s="38">
        <f>SUM(C407:N407)</f>
        <v>206713.26335158601</v>
      </c>
    </row>
    <row r="408" spans="1:35">
      <c r="A408" s="103"/>
      <c r="B408" s="35" t="s">
        <v>58</v>
      </c>
      <c r="C408" s="81">
        <f t="shared" ref="C408:N408" si="280">IF(C407=0,0,C409/C407)</f>
        <v>0.42412294569607012</v>
      </c>
      <c r="D408" s="82">
        <f t="shared" si="280"/>
        <v>0.41937582532343393</v>
      </c>
      <c r="E408" s="81">
        <f t="shared" si="280"/>
        <v>0.41262482685169943</v>
      </c>
      <c r="F408" s="82">
        <f t="shared" si="280"/>
        <v>0.40394723773882374</v>
      </c>
      <c r="G408" s="81">
        <f t="shared" si="280"/>
        <v>0.41892159556665309</v>
      </c>
      <c r="H408" s="82">
        <f t="shared" si="280"/>
        <v>0.42330591818318769</v>
      </c>
      <c r="I408" s="81">
        <f t="shared" si="280"/>
        <v>0.41740049073064345</v>
      </c>
      <c r="J408" s="82">
        <f t="shared" si="280"/>
        <v>0.41740049073064345</v>
      </c>
      <c r="K408" s="81">
        <f t="shared" si="280"/>
        <v>0.41740049073064345</v>
      </c>
      <c r="L408" s="82">
        <f t="shared" si="280"/>
        <v>0.41740049073064345</v>
      </c>
      <c r="M408" s="81">
        <f t="shared" si="280"/>
        <v>0.41740049073064345</v>
      </c>
      <c r="N408" s="82">
        <f t="shared" si="280"/>
        <v>0.41740049073064345</v>
      </c>
      <c r="O408" s="45">
        <f>IF(O407=0,0,+O409/O407)</f>
        <v>0.41688791044908152</v>
      </c>
    </row>
    <row r="409" spans="1:35">
      <c r="A409" s="42"/>
      <c r="B409" s="35" t="s">
        <v>15</v>
      </c>
      <c r="C409" s="48">
        <f t="shared" ref="C409:N409" si="281">C31+C127+C315+C221</f>
        <v>12278.611414842571</v>
      </c>
      <c r="D409" s="49">
        <f t="shared" si="281"/>
        <v>10917.372487729121</v>
      </c>
      <c r="E409" s="48">
        <f t="shared" si="281"/>
        <v>11006.053521601381</v>
      </c>
      <c r="F409" s="49">
        <f t="shared" si="281"/>
        <v>11488.652019694908</v>
      </c>
      <c r="G409" s="48">
        <f t="shared" si="281"/>
        <v>14582.660277840956</v>
      </c>
      <c r="H409" s="49">
        <f t="shared" si="281"/>
        <v>7530.6106990444314</v>
      </c>
      <c r="I409" s="48">
        <f t="shared" si="281"/>
        <v>3062.05</v>
      </c>
      <c r="J409" s="49">
        <f t="shared" si="281"/>
        <v>3062.05</v>
      </c>
      <c r="K409" s="48">
        <f t="shared" si="281"/>
        <v>3062.05</v>
      </c>
      <c r="L409" s="49">
        <f t="shared" si="281"/>
        <v>3062.05</v>
      </c>
      <c r="M409" s="48">
        <f t="shared" si="281"/>
        <v>3062.05</v>
      </c>
      <c r="N409" s="49">
        <f t="shared" si="281"/>
        <v>3062.05</v>
      </c>
      <c r="O409" s="50">
        <f>SUM(C409:N409)</f>
        <v>86176.260420753388</v>
      </c>
    </row>
    <row r="410" spans="1:35" ht="13.5" thickBot="1">
      <c r="A410" s="51"/>
      <c r="B410" s="52" t="s">
        <v>59</v>
      </c>
      <c r="C410" s="53">
        <f t="shared" ref="C410:O410" si="282">C409/C$385</f>
        <v>70.174721754581142</v>
      </c>
      <c r="D410" s="54">
        <f t="shared" si="282"/>
        <v>64.552091575634122</v>
      </c>
      <c r="E410" s="53">
        <f t="shared" si="282"/>
        <v>59.691259615047912</v>
      </c>
      <c r="F410" s="54">
        <f t="shared" si="282"/>
        <v>59.386996493713795</v>
      </c>
      <c r="G410" s="53">
        <f t="shared" si="282"/>
        <v>11.027432761379675</v>
      </c>
      <c r="H410" s="54">
        <f t="shared" si="282"/>
        <v>14.770838934883688</v>
      </c>
      <c r="I410" s="53" t="e">
        <f t="shared" si="282"/>
        <v>#DIV/0!</v>
      </c>
      <c r="J410" s="54" t="e">
        <f t="shared" si="282"/>
        <v>#DIV/0!</v>
      </c>
      <c r="K410" s="53" t="e">
        <f t="shared" si="282"/>
        <v>#DIV/0!</v>
      </c>
      <c r="L410" s="54" t="e">
        <f t="shared" si="282"/>
        <v>#DIV/0!</v>
      </c>
      <c r="M410" s="53" t="e">
        <f t="shared" si="282"/>
        <v>#DIV/0!</v>
      </c>
      <c r="N410" s="54" t="e">
        <f t="shared" si="282"/>
        <v>#DIV/0!</v>
      </c>
      <c r="O410" s="55">
        <f t="shared" si="282"/>
        <v>33.739542882910996</v>
      </c>
    </row>
    <row r="411" spans="1:35">
      <c r="A411" s="28" t="s">
        <v>65</v>
      </c>
      <c r="B411" s="29" t="s">
        <v>55</v>
      </c>
      <c r="C411" s="120">
        <f t="shared" ref="C411:O411" si="283">C412/C$385</f>
        <v>205.09605343947089</v>
      </c>
      <c r="D411" s="121">
        <f t="shared" si="283"/>
        <v>292.74588880568166</v>
      </c>
      <c r="E411" s="120">
        <f t="shared" si="283"/>
        <v>177.59771779393975</v>
      </c>
      <c r="F411" s="121">
        <f t="shared" si="283"/>
        <v>181.95540025018869</v>
      </c>
      <c r="G411" s="120">
        <f t="shared" si="283"/>
        <v>31.565880957739022</v>
      </c>
      <c r="H411" s="121">
        <f t="shared" si="283"/>
        <v>83.413157485192642</v>
      </c>
      <c r="I411" s="120" t="e">
        <f t="shared" si="283"/>
        <v>#DIV/0!</v>
      </c>
      <c r="J411" s="121" t="e">
        <f t="shared" si="283"/>
        <v>#DIV/0!</v>
      </c>
      <c r="K411" s="120" t="e">
        <f t="shared" si="283"/>
        <v>#DIV/0!</v>
      </c>
      <c r="L411" s="121" t="e">
        <f t="shared" si="283"/>
        <v>#DIV/0!</v>
      </c>
      <c r="M411" s="120" t="e">
        <f t="shared" si="283"/>
        <v>#DIV/0!</v>
      </c>
      <c r="N411" s="121" t="e">
        <f t="shared" si="283"/>
        <v>#DIV/0!</v>
      </c>
      <c r="O411" s="32">
        <f t="shared" si="283"/>
        <v>171.12261200221837</v>
      </c>
      <c r="Q411" s="33"/>
      <c r="AC411" s="124"/>
      <c r="AG411" s="33"/>
      <c r="AI411" s="58"/>
    </row>
    <row r="412" spans="1:35">
      <c r="A412" s="34" t="s">
        <v>64</v>
      </c>
      <c r="B412" s="35" t="s">
        <v>57</v>
      </c>
      <c r="C412" s="36">
        <f t="shared" ref="C412:N412" si="284">C34+C130+C318+C224</f>
        <v>35886.066662411096</v>
      </c>
      <c r="D412" s="37">
        <f t="shared" si="284"/>
        <v>49510.648444260907</v>
      </c>
      <c r="E412" s="36">
        <f t="shared" si="284"/>
        <v>32746</v>
      </c>
      <c r="F412" s="37">
        <f t="shared" si="284"/>
        <v>35200</v>
      </c>
      <c r="G412" s="36">
        <f t="shared" si="284"/>
        <v>41742.672872111514</v>
      </c>
      <c r="H412" s="37">
        <f t="shared" si="284"/>
        <v>42526.495547628569</v>
      </c>
      <c r="I412" s="36">
        <f t="shared" si="284"/>
        <v>33733</v>
      </c>
      <c r="J412" s="37">
        <f t="shared" si="284"/>
        <v>33146</v>
      </c>
      <c r="K412" s="36">
        <f t="shared" si="284"/>
        <v>33146</v>
      </c>
      <c r="L412" s="37">
        <f t="shared" si="284"/>
        <v>33146</v>
      </c>
      <c r="M412" s="36">
        <f t="shared" si="284"/>
        <v>33146</v>
      </c>
      <c r="N412" s="37">
        <f t="shared" si="284"/>
        <v>33146</v>
      </c>
      <c r="O412" s="38">
        <f>SUM(C412:N412)</f>
        <v>437074.88352641207</v>
      </c>
      <c r="Q412" s="33"/>
      <c r="R412" s="60"/>
      <c r="S412" s="60"/>
      <c r="T412" s="60"/>
      <c r="U412" s="57"/>
      <c r="V412" s="41"/>
      <c r="AB412" s="15"/>
      <c r="AC412" s="124"/>
      <c r="AD412" s="15"/>
      <c r="AF412" s="60"/>
      <c r="AG412" s="33"/>
      <c r="AH412" s="60"/>
      <c r="AI412" s="58"/>
    </row>
    <row r="413" spans="1:35">
      <c r="A413" s="42"/>
      <c r="B413" s="35" t="s">
        <v>58</v>
      </c>
      <c r="C413" s="81">
        <f t="shared" ref="C413:N413" si="285">IF(C412=0,0,C414/C412)</f>
        <v>0.21581016022495469</v>
      </c>
      <c r="D413" s="82">
        <f t="shared" si="285"/>
        <v>0.18886476368318997</v>
      </c>
      <c r="E413" s="81">
        <f t="shared" si="285"/>
        <v>0.22</v>
      </c>
      <c r="F413" s="82">
        <f t="shared" si="285"/>
        <v>0.22</v>
      </c>
      <c r="G413" s="81">
        <f t="shared" si="285"/>
        <v>0.19854769931650193</v>
      </c>
      <c r="H413" s="82">
        <f t="shared" si="285"/>
        <v>0.19260496056209153</v>
      </c>
      <c r="I413" s="81">
        <f t="shared" si="285"/>
        <v>0.22</v>
      </c>
      <c r="J413" s="82">
        <f t="shared" si="285"/>
        <v>0.22</v>
      </c>
      <c r="K413" s="81">
        <f t="shared" si="285"/>
        <v>0.22</v>
      </c>
      <c r="L413" s="82">
        <f t="shared" si="285"/>
        <v>0.22</v>
      </c>
      <c r="M413" s="81">
        <f t="shared" si="285"/>
        <v>0.22</v>
      </c>
      <c r="N413" s="82">
        <f t="shared" si="285"/>
        <v>0.22</v>
      </c>
      <c r="O413" s="45">
        <f>IF(O412=0,0,+O414/O412)</f>
        <v>0.21141480294823514</v>
      </c>
      <c r="Q413" s="33"/>
      <c r="R413" s="47"/>
      <c r="S413" s="47"/>
      <c r="T413" s="47"/>
      <c r="U413" s="47"/>
      <c r="V413" s="41"/>
      <c r="AC413" s="124"/>
      <c r="AD413" s="15"/>
      <c r="AF413" s="47"/>
      <c r="AG413" s="33"/>
      <c r="AH413" s="47"/>
      <c r="AI413" s="58"/>
    </row>
    <row r="414" spans="1:35">
      <c r="A414" s="42"/>
      <c r="B414" s="35" t="s">
        <v>15</v>
      </c>
      <c r="C414" s="48">
        <f t="shared" ref="C414:N414" si="286">C36+C132+C320+C226</f>
        <v>7744.5777962583443</v>
      </c>
      <c r="D414" s="49">
        <f t="shared" si="286"/>
        <v>9350.8169182268339</v>
      </c>
      <c r="E414" s="48">
        <f t="shared" si="286"/>
        <v>7204.12</v>
      </c>
      <c r="F414" s="49">
        <f t="shared" si="286"/>
        <v>7744</v>
      </c>
      <c r="G414" s="48">
        <f t="shared" si="286"/>
        <v>8287.9116620790992</v>
      </c>
      <c r="H414" s="49">
        <f t="shared" si="286"/>
        <v>8190.8139977949613</v>
      </c>
      <c r="I414" s="48">
        <f t="shared" si="286"/>
        <v>7421.26</v>
      </c>
      <c r="J414" s="49">
        <f t="shared" si="286"/>
        <v>7292.12</v>
      </c>
      <c r="K414" s="48">
        <f t="shared" si="286"/>
        <v>7292.12</v>
      </c>
      <c r="L414" s="49">
        <f t="shared" si="286"/>
        <v>7292.12</v>
      </c>
      <c r="M414" s="48">
        <f t="shared" si="286"/>
        <v>7292.12</v>
      </c>
      <c r="N414" s="49">
        <f t="shared" si="286"/>
        <v>7292.12</v>
      </c>
      <c r="O414" s="50">
        <f>SUM(C414:N414)</f>
        <v>92404.10037435923</v>
      </c>
      <c r="Q414" s="33"/>
      <c r="R414" s="40"/>
      <c r="S414" s="40"/>
      <c r="T414" s="40"/>
      <c r="U414" s="40"/>
      <c r="V414" s="41"/>
      <c r="AC414" s="124"/>
      <c r="AD414" s="15"/>
      <c r="AF414" s="40"/>
      <c r="AG414" s="33"/>
      <c r="AH414" s="40"/>
      <c r="AI414" s="58"/>
    </row>
    <row r="415" spans="1:35" ht="13.5" thickBot="1">
      <c r="A415" s="51"/>
      <c r="B415" s="52" t="s">
        <v>59</v>
      </c>
      <c r="C415" s="53">
        <f t="shared" ref="C415:O415" si="287">C414/C$385</f>
        <v>44.261812154278083</v>
      </c>
      <c r="D415" s="54">
        <f t="shared" si="287"/>
        <v>55.289383108510471</v>
      </c>
      <c r="E415" s="53">
        <f t="shared" si="287"/>
        <v>39.071497914666743</v>
      </c>
      <c r="F415" s="54">
        <f t="shared" si="287"/>
        <v>40.030188055041513</v>
      </c>
      <c r="G415" s="53">
        <f t="shared" si="287"/>
        <v>6.267333041057662</v>
      </c>
      <c r="H415" s="54">
        <f t="shared" si="287"/>
        <v>16.065787907795059</v>
      </c>
      <c r="I415" s="53" t="e">
        <f t="shared" si="287"/>
        <v>#DIV/0!</v>
      </c>
      <c r="J415" s="54" t="e">
        <f t="shared" si="287"/>
        <v>#DIV/0!</v>
      </c>
      <c r="K415" s="53" t="e">
        <f t="shared" si="287"/>
        <v>#DIV/0!</v>
      </c>
      <c r="L415" s="54" t="e">
        <f t="shared" si="287"/>
        <v>#DIV/0!</v>
      </c>
      <c r="M415" s="53" t="e">
        <f t="shared" si="287"/>
        <v>#DIV/0!</v>
      </c>
      <c r="N415" s="54" t="e">
        <f t="shared" si="287"/>
        <v>#DIV/0!</v>
      </c>
      <c r="O415" s="55">
        <f t="shared" si="287"/>
        <v>36.17785329643629</v>
      </c>
      <c r="Q415" s="33"/>
      <c r="R415" s="57"/>
      <c r="S415" s="57"/>
      <c r="T415" s="57"/>
      <c r="U415" s="57"/>
      <c r="V415" s="41"/>
      <c r="AC415" s="124"/>
      <c r="AD415" s="15"/>
      <c r="AF415" s="57"/>
      <c r="AG415" s="33"/>
      <c r="AH415" s="57"/>
      <c r="AI415" s="58"/>
    </row>
    <row r="416" spans="1:35">
      <c r="A416" s="28" t="s">
        <v>66</v>
      </c>
      <c r="B416" s="29" t="s">
        <v>55</v>
      </c>
      <c r="C416" s="120">
        <f t="shared" ref="C416:O416" si="288">C417/C$385</f>
        <v>233.60964013022328</v>
      </c>
      <c r="D416" s="121">
        <f t="shared" si="288"/>
        <v>229.62662448829337</v>
      </c>
      <c r="E416" s="120">
        <f t="shared" si="288"/>
        <v>220.07867772801939</v>
      </c>
      <c r="F416" s="121">
        <f t="shared" si="288"/>
        <v>226.24774451640391</v>
      </c>
      <c r="G416" s="120">
        <f t="shared" si="288"/>
        <v>37.576677779883632</v>
      </c>
      <c r="H416" s="121">
        <f t="shared" si="288"/>
        <v>52.24613073391054</v>
      </c>
      <c r="I416" s="120" t="e">
        <f t="shared" si="288"/>
        <v>#DIV/0!</v>
      </c>
      <c r="J416" s="121" t="e">
        <f t="shared" si="288"/>
        <v>#DIV/0!</v>
      </c>
      <c r="K416" s="120" t="e">
        <f t="shared" si="288"/>
        <v>#DIV/0!</v>
      </c>
      <c r="L416" s="121" t="e">
        <f t="shared" si="288"/>
        <v>#DIV/0!</v>
      </c>
      <c r="M416" s="120" t="e">
        <f t="shared" si="288"/>
        <v>#DIV/0!</v>
      </c>
      <c r="N416" s="121" t="e">
        <f t="shared" si="288"/>
        <v>#DIV/0!</v>
      </c>
      <c r="O416" s="32">
        <f t="shared" si="288"/>
        <v>121.68377854063084</v>
      </c>
      <c r="Q416" s="33"/>
      <c r="AC416" s="124"/>
      <c r="AG416" s="33"/>
      <c r="AI416" s="58"/>
    </row>
    <row r="417" spans="1:35">
      <c r="A417" s="34" t="s">
        <v>64</v>
      </c>
      <c r="B417" s="35" t="s">
        <v>57</v>
      </c>
      <c r="C417" s="36">
        <f t="shared" ref="C417:N417" si="289">C39+C135+C323+C229</f>
        <v>40875.145952865423</v>
      </c>
      <c r="D417" s="37">
        <f t="shared" si="289"/>
        <v>38835.602866582616</v>
      </c>
      <c r="E417" s="36">
        <f t="shared" si="289"/>
        <v>40578.766835525406</v>
      </c>
      <c r="F417" s="37">
        <f t="shared" si="289"/>
        <v>43768.531167676396</v>
      </c>
      <c r="G417" s="36">
        <f t="shared" si="289"/>
        <v>49691.341429261185</v>
      </c>
      <c r="H417" s="37">
        <f t="shared" si="289"/>
        <v>26636.623202171486</v>
      </c>
      <c r="I417" s="36">
        <f t="shared" si="289"/>
        <v>11671</v>
      </c>
      <c r="J417" s="37">
        <f t="shared" si="289"/>
        <v>11831.069711490427</v>
      </c>
      <c r="K417" s="36">
        <f t="shared" si="289"/>
        <v>11848.696427500929</v>
      </c>
      <c r="L417" s="37">
        <f t="shared" si="289"/>
        <v>11750.280596442288</v>
      </c>
      <c r="M417" s="36">
        <f t="shared" si="289"/>
        <v>11611.715023359724</v>
      </c>
      <c r="N417" s="37">
        <f t="shared" si="289"/>
        <v>11701.317496413114</v>
      </c>
      <c r="O417" s="38">
        <f>SUM(C417:N417)</f>
        <v>310800.09070928907</v>
      </c>
      <c r="Q417" s="33"/>
      <c r="R417" s="57"/>
      <c r="S417" s="57"/>
      <c r="T417" s="57"/>
      <c r="U417" s="57"/>
      <c r="V417" s="41"/>
      <c r="AB417" s="15"/>
      <c r="AC417" s="124"/>
      <c r="AD417" s="15"/>
      <c r="AF417" s="57"/>
      <c r="AG417" s="33"/>
      <c r="AH417" s="57"/>
      <c r="AI417" s="58"/>
    </row>
    <row r="418" spans="1:35">
      <c r="A418" s="42"/>
      <c r="B418" s="35" t="s">
        <v>58</v>
      </c>
      <c r="C418" s="81">
        <f t="shared" ref="C418:N418" si="290">IF(C417=0,0,C419/C417)</f>
        <v>0.28232321001692301</v>
      </c>
      <c r="D418" s="82">
        <f t="shared" si="290"/>
        <v>0.28207004676003267</v>
      </c>
      <c r="E418" s="81">
        <f t="shared" si="290"/>
        <v>0.27174304961073953</v>
      </c>
      <c r="F418" s="82">
        <f t="shared" si="290"/>
        <v>0.26304015797427938</v>
      </c>
      <c r="G418" s="81">
        <f t="shared" si="290"/>
        <v>0.27629268261040152</v>
      </c>
      <c r="H418" s="82">
        <f t="shared" si="290"/>
        <v>0.28431156396781282</v>
      </c>
      <c r="I418" s="81">
        <f t="shared" si="290"/>
        <v>0.28606631822465939</v>
      </c>
      <c r="J418" s="82">
        <f t="shared" si="290"/>
        <v>0.28787838816621403</v>
      </c>
      <c r="K418" s="81">
        <f t="shared" si="290"/>
        <v>0.28807493891294755</v>
      </c>
      <c r="L418" s="82">
        <f t="shared" si="290"/>
        <v>0.28696998534032603</v>
      </c>
      <c r="M418" s="81">
        <f t="shared" si="290"/>
        <v>0.28538250406116816</v>
      </c>
      <c r="N418" s="82">
        <f t="shared" si="290"/>
        <v>0.28641333332941693</v>
      </c>
      <c r="O418" s="45">
        <f>IF(O417=0,0,+O419/O417)</f>
        <v>0.27841616471530178</v>
      </c>
      <c r="Q418" s="33"/>
      <c r="R418" s="47"/>
      <c r="S418" s="47"/>
      <c r="T418" s="47"/>
      <c r="U418" s="47"/>
      <c r="V418" s="41"/>
      <c r="AC418" s="124"/>
      <c r="AD418" s="15"/>
      <c r="AF418" s="47"/>
      <c r="AG418" s="33"/>
      <c r="AH418" s="47"/>
      <c r="AI418" s="58"/>
    </row>
    <row r="419" spans="1:35">
      <c r="A419" s="42"/>
      <c r="B419" s="35" t="s">
        <v>15</v>
      </c>
      <c r="C419" s="48">
        <f t="shared" ref="C419:N419" si="291">C41+C137+C325+C231</f>
        <v>11540.002415323204</v>
      </c>
      <c r="D419" s="49">
        <f t="shared" si="291"/>
        <v>10954.360316531018</v>
      </c>
      <c r="E419" s="48">
        <f t="shared" si="291"/>
        <v>11026.997849328813</v>
      </c>
      <c r="F419" s="49">
        <f t="shared" si="291"/>
        <v>11512.88135264777</v>
      </c>
      <c r="G419" s="48">
        <f t="shared" si="291"/>
        <v>13729.354025999955</v>
      </c>
      <c r="H419" s="49">
        <f t="shared" si="291"/>
        <v>7573.1000014307056</v>
      </c>
      <c r="I419" s="48">
        <f t="shared" si="291"/>
        <v>3338.68</v>
      </c>
      <c r="J419" s="49">
        <f t="shared" si="291"/>
        <v>3405.9092788259786</v>
      </c>
      <c r="K419" s="48">
        <f t="shared" si="291"/>
        <v>3413.3124995503899</v>
      </c>
      <c r="L419" s="49">
        <f t="shared" si="291"/>
        <v>3371.9778505057607</v>
      </c>
      <c r="M419" s="48">
        <f t="shared" si="291"/>
        <v>3313.780309811084</v>
      </c>
      <c r="N419" s="49">
        <f t="shared" si="291"/>
        <v>3351.4133484935073</v>
      </c>
      <c r="O419" s="50">
        <f>SUM(C419:N419)</f>
        <v>86531.769248448167</v>
      </c>
      <c r="Q419" s="33"/>
      <c r="R419" s="40"/>
      <c r="S419" s="40"/>
      <c r="T419" s="40"/>
      <c r="U419" s="40"/>
      <c r="V419" s="41"/>
      <c r="AC419" s="124"/>
      <c r="AD419" s="15"/>
      <c r="AF419" s="40"/>
      <c r="AG419" s="33"/>
      <c r="AH419" s="40"/>
      <c r="AI419" s="58"/>
    </row>
    <row r="420" spans="1:35" ht="13.5" thickBot="1">
      <c r="A420" s="51"/>
      <c r="B420" s="52" t="s">
        <v>59</v>
      </c>
      <c r="C420" s="53">
        <f t="shared" ref="C420:O420" si="292">C419/C$385</f>
        <v>65.953423492462832</v>
      </c>
      <c r="D420" s="54">
        <f t="shared" si="292"/>
        <v>64.77079270676137</v>
      </c>
      <c r="E420" s="53">
        <f t="shared" si="292"/>
        <v>59.804851040111132</v>
      </c>
      <c r="F420" s="54">
        <f t="shared" si="292"/>
        <v>59.512242458919282</v>
      </c>
      <c r="G420" s="53">
        <f t="shared" si="292"/>
        <v>10.382161107390713</v>
      </c>
      <c r="H420" s="54">
        <f t="shared" si="292"/>
        <v>14.854179140224916</v>
      </c>
      <c r="I420" s="53" t="e">
        <f t="shared" si="292"/>
        <v>#DIV/0!</v>
      </c>
      <c r="J420" s="54" t="e">
        <f t="shared" si="292"/>
        <v>#DIV/0!</v>
      </c>
      <c r="K420" s="53" t="e">
        <f t="shared" si="292"/>
        <v>#DIV/0!</v>
      </c>
      <c r="L420" s="54" t="e">
        <f t="shared" si="292"/>
        <v>#DIV/0!</v>
      </c>
      <c r="M420" s="53" t="e">
        <f t="shared" si="292"/>
        <v>#DIV/0!</v>
      </c>
      <c r="N420" s="54" t="e">
        <f t="shared" si="292"/>
        <v>#DIV/0!</v>
      </c>
      <c r="O420" s="55">
        <f t="shared" si="292"/>
        <v>33.878730929348585</v>
      </c>
      <c r="Q420" s="33"/>
      <c r="R420" s="57"/>
      <c r="S420" s="57"/>
      <c r="T420" s="57"/>
      <c r="U420" s="57"/>
      <c r="V420" s="41"/>
      <c r="AC420" s="124"/>
      <c r="AD420" s="15"/>
      <c r="AF420" s="57"/>
      <c r="AG420" s="33"/>
      <c r="AH420" s="57"/>
      <c r="AI420" s="58"/>
    </row>
    <row r="421" spans="1:35">
      <c r="A421" s="28" t="s">
        <v>67</v>
      </c>
      <c r="B421" s="29" t="s">
        <v>55</v>
      </c>
      <c r="C421" s="120">
        <f t="shared" ref="C421:O421" si="293">C422/C$385</f>
        <v>2264.1071066265267</v>
      </c>
      <c r="D421" s="121">
        <f t="shared" si="293"/>
        <v>1900.5805168988459</v>
      </c>
      <c r="E421" s="120">
        <f t="shared" si="293"/>
        <v>1886.2400430496236</v>
      </c>
      <c r="F421" s="121">
        <f t="shared" si="293"/>
        <v>1667.1721459275198</v>
      </c>
      <c r="G421" s="120">
        <f t="shared" si="293"/>
        <v>339.46145523268819</v>
      </c>
      <c r="H421" s="121">
        <f t="shared" si="293"/>
        <v>481.37846246208994</v>
      </c>
      <c r="I421" s="120" t="e">
        <f t="shared" si="293"/>
        <v>#DIV/0!</v>
      </c>
      <c r="J421" s="121" t="e">
        <f t="shared" si="293"/>
        <v>#DIV/0!</v>
      </c>
      <c r="K421" s="120" t="e">
        <f t="shared" si="293"/>
        <v>#DIV/0!</v>
      </c>
      <c r="L421" s="121" t="e">
        <f t="shared" si="293"/>
        <v>#DIV/0!</v>
      </c>
      <c r="M421" s="120" t="e">
        <f t="shared" si="293"/>
        <v>#DIV/0!</v>
      </c>
      <c r="N421" s="121" t="e">
        <f t="shared" si="293"/>
        <v>#DIV/0!</v>
      </c>
      <c r="O421" s="32">
        <f t="shared" si="293"/>
        <v>1144.8651139051597</v>
      </c>
    </row>
    <row r="422" spans="1:35">
      <c r="A422" s="34" t="s">
        <v>64</v>
      </c>
      <c r="B422" s="35" t="s">
        <v>57</v>
      </c>
      <c r="C422" s="36">
        <f t="shared" ref="C422:N422" si="294">C44+C140+C328+C234</f>
        <v>396155.3486606566</v>
      </c>
      <c r="D422" s="37">
        <f t="shared" si="294"/>
        <v>321435.67992051732</v>
      </c>
      <c r="E422" s="36">
        <f t="shared" si="294"/>
        <v>347790.59785761882</v>
      </c>
      <c r="F422" s="37">
        <f t="shared" si="294"/>
        <v>322521.12031826237</v>
      </c>
      <c r="G422" s="36">
        <f t="shared" si="294"/>
        <v>448903.31106044922</v>
      </c>
      <c r="H422" s="37">
        <f t="shared" si="294"/>
        <v>245420.98222636385</v>
      </c>
      <c r="I422" s="36">
        <f t="shared" si="294"/>
        <v>140324</v>
      </c>
      <c r="J422" s="37">
        <f t="shared" si="294"/>
        <v>140324</v>
      </c>
      <c r="K422" s="36">
        <f t="shared" si="294"/>
        <v>140324</v>
      </c>
      <c r="L422" s="37">
        <f t="shared" si="294"/>
        <v>140324</v>
      </c>
      <c r="M422" s="36">
        <f t="shared" si="294"/>
        <v>140324</v>
      </c>
      <c r="N422" s="37">
        <f t="shared" si="294"/>
        <v>140324</v>
      </c>
      <c r="O422" s="38">
        <f>SUM(C422:N422)</f>
        <v>2924171.0400438681</v>
      </c>
    </row>
    <row r="423" spans="1:35">
      <c r="A423" s="34"/>
      <c r="B423" s="35" t="s">
        <v>58</v>
      </c>
      <c r="C423" s="81">
        <f t="shared" ref="C423:N423" si="295">IF(C422=0,0,C424/C422)</f>
        <v>0.14998134570181879</v>
      </c>
      <c r="D423" s="125">
        <f t="shared" si="295"/>
        <v>0.15150030015373292</v>
      </c>
      <c r="E423" s="126">
        <f t="shared" si="295"/>
        <v>0.15249230429269642</v>
      </c>
      <c r="F423" s="125">
        <f t="shared" si="295"/>
        <v>0.15262041753782207</v>
      </c>
      <c r="G423" s="126">
        <f t="shared" si="295"/>
        <v>0.15085948408121561</v>
      </c>
      <c r="H423" s="125">
        <f t="shared" si="295"/>
        <v>0.15</v>
      </c>
      <c r="I423" s="126">
        <f t="shared" si="295"/>
        <v>0.15</v>
      </c>
      <c r="J423" s="125">
        <f t="shared" si="295"/>
        <v>0.15</v>
      </c>
      <c r="K423" s="126">
        <f t="shared" si="295"/>
        <v>0.15</v>
      </c>
      <c r="L423" s="125">
        <f t="shared" si="295"/>
        <v>0.15</v>
      </c>
      <c r="M423" s="126">
        <f t="shared" si="295"/>
        <v>0.15</v>
      </c>
      <c r="N423" s="125">
        <f t="shared" si="295"/>
        <v>0.15</v>
      </c>
      <c r="O423" s="45">
        <f>IF(O422=0,0,+O424/O422)</f>
        <v>0.1508797793339143</v>
      </c>
    </row>
    <row r="424" spans="1:35">
      <c r="A424" s="34"/>
      <c r="B424" s="35" t="s">
        <v>15</v>
      </c>
      <c r="C424" s="48">
        <f t="shared" ref="C424:N424" si="296">C46+C142+C330+C236</f>
        <v>59415.912299098491</v>
      </c>
      <c r="D424" s="49">
        <f t="shared" si="296"/>
        <v>48697.601988077593</v>
      </c>
      <c r="E424" s="48">
        <f t="shared" si="296"/>
        <v>53035.389678642823</v>
      </c>
      <c r="F424" s="49">
        <f t="shared" si="296"/>
        <v>49223.308047739352</v>
      </c>
      <c r="G424" s="48">
        <f t="shared" si="296"/>
        <v>67721.321908928818</v>
      </c>
      <c r="H424" s="49">
        <f t="shared" si="296"/>
        <v>36813.147333954577</v>
      </c>
      <c r="I424" s="48">
        <f t="shared" si="296"/>
        <v>21048.6</v>
      </c>
      <c r="J424" s="49">
        <f t="shared" si="296"/>
        <v>21048.6</v>
      </c>
      <c r="K424" s="48">
        <f t="shared" si="296"/>
        <v>21048.6</v>
      </c>
      <c r="L424" s="49">
        <f t="shared" si="296"/>
        <v>21048.6</v>
      </c>
      <c r="M424" s="48">
        <f t="shared" si="296"/>
        <v>21048.6</v>
      </c>
      <c r="N424" s="49">
        <f t="shared" si="296"/>
        <v>21048.6</v>
      </c>
      <c r="O424" s="50">
        <f>SUM(C424:N424)</f>
        <v>441198.28125644149</v>
      </c>
    </row>
    <row r="425" spans="1:35" ht="13.5" thickBot="1">
      <c r="A425" s="127"/>
      <c r="B425" s="52" t="s">
        <v>59</v>
      </c>
      <c r="C425" s="53">
        <f t="shared" ref="C425:O425" si="297">C424/C$385</f>
        <v>339.5738306648978</v>
      </c>
      <c r="D425" s="128">
        <f t="shared" si="297"/>
        <v>287.93851877651201</v>
      </c>
      <c r="E425" s="129">
        <f t="shared" si="297"/>
        <v>287.637090613792</v>
      </c>
      <c r="F425" s="128">
        <f t="shared" si="297"/>
        <v>254.4445090188849</v>
      </c>
      <c r="G425" s="129">
        <f t="shared" si="297"/>
        <v>51.210980001862012</v>
      </c>
      <c r="H425" s="128">
        <f t="shared" si="297"/>
        <v>72.206769369313491</v>
      </c>
      <c r="I425" s="129" t="e">
        <f t="shared" si="297"/>
        <v>#DIV/0!</v>
      </c>
      <c r="J425" s="128" t="e">
        <f t="shared" si="297"/>
        <v>#DIV/0!</v>
      </c>
      <c r="K425" s="129" t="e">
        <f t="shared" si="297"/>
        <v>#DIV/0!</v>
      </c>
      <c r="L425" s="128" t="e">
        <f t="shared" si="297"/>
        <v>#DIV/0!</v>
      </c>
      <c r="M425" s="129" t="e">
        <f t="shared" si="297"/>
        <v>#DIV/0!</v>
      </c>
      <c r="N425" s="128" t="e">
        <f t="shared" si="297"/>
        <v>#DIV/0!</v>
      </c>
      <c r="O425" s="55">
        <f t="shared" si="297"/>
        <v>172.73699575310715</v>
      </c>
    </row>
    <row r="426" spans="1:35">
      <c r="A426" s="28" t="s">
        <v>68</v>
      </c>
      <c r="B426" s="29" t="s">
        <v>55</v>
      </c>
      <c r="C426" s="120">
        <f t="shared" ref="C426:O426" si="298">C427/C$385</f>
        <v>125.17655792896556</v>
      </c>
      <c r="D426" s="121">
        <f t="shared" si="298"/>
        <v>57.090433730493679</v>
      </c>
      <c r="E426" s="120">
        <f t="shared" si="298"/>
        <v>62.045733498924939</v>
      </c>
      <c r="F426" s="121">
        <f t="shared" si="298"/>
        <v>60.312179073742982</v>
      </c>
      <c r="G426" s="120">
        <f t="shared" si="298"/>
        <v>19.970319090560785</v>
      </c>
      <c r="H426" s="121">
        <f t="shared" si="298"/>
        <v>34.54294429247598</v>
      </c>
      <c r="I426" s="120" t="e">
        <f t="shared" si="298"/>
        <v>#DIV/0!</v>
      </c>
      <c r="J426" s="121" t="e">
        <f t="shared" si="298"/>
        <v>#DIV/0!</v>
      </c>
      <c r="K426" s="120" t="e">
        <f t="shared" si="298"/>
        <v>#DIV/0!</v>
      </c>
      <c r="L426" s="121" t="e">
        <f t="shared" si="298"/>
        <v>#DIV/0!</v>
      </c>
      <c r="M426" s="120" t="e">
        <f t="shared" si="298"/>
        <v>#DIV/0!</v>
      </c>
      <c r="N426" s="121" t="e">
        <f t="shared" si="298"/>
        <v>#DIV/0!</v>
      </c>
      <c r="O426" s="32">
        <f t="shared" si="298"/>
        <v>64.972384737253748</v>
      </c>
      <c r="Q426" s="33"/>
      <c r="AC426" s="124"/>
      <c r="AG426" s="33"/>
      <c r="AI426" s="58"/>
    </row>
    <row r="427" spans="1:35">
      <c r="A427" s="34" t="s">
        <v>64</v>
      </c>
      <c r="B427" s="35" t="s">
        <v>57</v>
      </c>
      <c r="C427" s="36">
        <f t="shared" ref="C427:N427" si="299">C49+C145+C333+C239</f>
        <v>21902.39269394696</v>
      </c>
      <c r="D427" s="37">
        <f t="shared" si="299"/>
        <v>9655.4196046697434</v>
      </c>
      <c r="E427" s="36">
        <f t="shared" si="299"/>
        <v>11440.17847973228</v>
      </c>
      <c r="F427" s="37">
        <f t="shared" si="299"/>
        <v>11667.632290531874</v>
      </c>
      <c r="G427" s="36">
        <f t="shared" si="299"/>
        <v>26408.719530591294</v>
      </c>
      <c r="H427" s="37">
        <f t="shared" si="299"/>
        <v>17611.014987854091</v>
      </c>
      <c r="I427" s="36">
        <f t="shared" si="299"/>
        <v>11295</v>
      </c>
      <c r="J427" s="37">
        <f t="shared" si="299"/>
        <v>11192.851329046387</v>
      </c>
      <c r="K427" s="36">
        <f t="shared" si="299"/>
        <v>11189.228059644229</v>
      </c>
      <c r="L427" s="37">
        <f t="shared" si="299"/>
        <v>11167.586369431334</v>
      </c>
      <c r="M427" s="36">
        <f t="shared" si="299"/>
        <v>11274.57074299508</v>
      </c>
      <c r="N427" s="37">
        <f t="shared" si="299"/>
        <v>11145.406085118117</v>
      </c>
      <c r="O427" s="38">
        <f>SUM(C427:N427)</f>
        <v>165950.00017356139</v>
      </c>
      <c r="Q427" s="33"/>
      <c r="R427" s="57"/>
      <c r="S427" s="57"/>
      <c r="T427" s="57"/>
      <c r="U427" s="57"/>
      <c r="V427" s="41"/>
      <c r="AB427" s="15"/>
      <c r="AC427" s="124"/>
      <c r="AD427" s="15"/>
      <c r="AF427" s="57"/>
      <c r="AG427" s="33"/>
      <c r="AH427" s="57"/>
      <c r="AI427" s="58"/>
    </row>
    <row r="428" spans="1:35">
      <c r="A428" s="42"/>
      <c r="B428" s="35" t="s">
        <v>58</v>
      </c>
      <c r="C428" s="81">
        <f t="shared" ref="C428:N428" si="300">IF(C427=0,0,C429/C427)</f>
        <v>0.32620507937250548</v>
      </c>
      <c r="D428" s="122">
        <f t="shared" si="300"/>
        <v>0.34209766875817538</v>
      </c>
      <c r="E428" s="123">
        <f t="shared" si="300"/>
        <v>0.33991988649557747</v>
      </c>
      <c r="F428" s="122">
        <f t="shared" si="300"/>
        <v>0.34154326435476817</v>
      </c>
      <c r="G428" s="123">
        <f t="shared" si="300"/>
        <v>0.32190695530747865</v>
      </c>
      <c r="H428" s="122">
        <f t="shared" si="300"/>
        <v>0.33038382258384447</v>
      </c>
      <c r="I428" s="123">
        <f t="shared" si="300"/>
        <v>0.32625940681717575</v>
      </c>
      <c r="J428" s="122">
        <f t="shared" si="300"/>
        <v>0.31782912653152079</v>
      </c>
      <c r="K428" s="123">
        <f t="shared" si="300"/>
        <v>0.31752727316099166</v>
      </c>
      <c r="L428" s="122">
        <f t="shared" si="300"/>
        <v>0.31572023221063356</v>
      </c>
      <c r="M428" s="123">
        <f t="shared" si="300"/>
        <v>0.3245856105889926</v>
      </c>
      <c r="N428" s="122">
        <f t="shared" si="300"/>
        <v>0.31386093783235841</v>
      </c>
      <c r="O428" s="45">
        <f>IF(O427=0,0,+O429/O427)</f>
        <v>0.32612209581233792</v>
      </c>
      <c r="Q428" s="33"/>
      <c r="R428" s="47"/>
      <c r="S428" s="47"/>
      <c r="T428" s="68"/>
      <c r="U428" s="47"/>
      <c r="V428" s="41"/>
      <c r="AC428" s="124"/>
      <c r="AD428" s="15"/>
      <c r="AF428" s="47"/>
      <c r="AG428" s="33"/>
      <c r="AH428" s="68"/>
      <c r="AI428" s="58"/>
    </row>
    <row r="429" spans="1:35">
      <c r="A429" s="42"/>
      <c r="B429" s="35" t="s">
        <v>15</v>
      </c>
      <c r="C429" s="48">
        <f t="shared" ref="C429:N429" si="301">C51+C147+C335+C241</f>
        <v>7144.6717471767524</v>
      </c>
      <c r="D429" s="49">
        <f t="shared" si="301"/>
        <v>3303.0965376395025</v>
      </c>
      <c r="E429" s="48">
        <f t="shared" si="301"/>
        <v>3888.7441703197446</v>
      </c>
      <c r="F429" s="49">
        <f t="shared" si="301"/>
        <v>3985.0012197993574</v>
      </c>
      <c r="G429" s="48">
        <f t="shared" si="301"/>
        <v>8501.1504976617907</v>
      </c>
      <c r="H429" s="49">
        <f t="shared" si="301"/>
        <v>5818.3944512686112</v>
      </c>
      <c r="I429" s="48">
        <f t="shared" si="301"/>
        <v>3685.1</v>
      </c>
      <c r="J429" s="49">
        <f t="shared" si="301"/>
        <v>3557.4141613079846</v>
      </c>
      <c r="K429" s="48">
        <f t="shared" si="301"/>
        <v>3552.8850745552859</v>
      </c>
      <c r="L429" s="49">
        <f t="shared" si="301"/>
        <v>3525.8329617891668</v>
      </c>
      <c r="M429" s="48">
        <f t="shared" si="301"/>
        <v>3659.5634287438502</v>
      </c>
      <c r="N429" s="49">
        <f t="shared" si="301"/>
        <v>3498.1076063976466</v>
      </c>
      <c r="O429" s="50">
        <f>SUM(C429:N429)</f>
        <v>54119.961856659684</v>
      </c>
      <c r="Q429" s="33"/>
      <c r="R429" s="40"/>
      <c r="S429" s="40"/>
      <c r="T429" s="40"/>
      <c r="U429" s="40"/>
      <c r="V429" s="41"/>
      <c r="AC429" s="124"/>
      <c r="AD429" s="15"/>
      <c r="AF429" s="40"/>
      <c r="AG429" s="33"/>
      <c r="AH429" s="40"/>
      <c r="AI429" s="58"/>
    </row>
    <row r="430" spans="1:35" ht="13.5" thickBot="1">
      <c r="A430" s="51"/>
      <c r="B430" s="52" t="s">
        <v>59</v>
      </c>
      <c r="C430" s="53">
        <f t="shared" ref="C430:O430" si="302">C429/C$385</f>
        <v>40.833229014795243</v>
      </c>
      <c r="D430" s="54">
        <f t="shared" si="302"/>
        <v>19.53050428759499</v>
      </c>
      <c r="E430" s="53">
        <f t="shared" si="302"/>
        <v>21.090578688489416</v>
      </c>
      <c r="F430" s="54">
        <f t="shared" si="302"/>
        <v>20.599218521195517</v>
      </c>
      <c r="G430" s="53">
        <f t="shared" si="302"/>
        <v>6.4285846149612382</v>
      </c>
      <c r="H430" s="54">
        <f t="shared" si="302"/>
        <v>11.412429978649005</v>
      </c>
      <c r="I430" s="53" t="e">
        <f t="shared" si="302"/>
        <v>#DIV/0!</v>
      </c>
      <c r="J430" s="54" t="e">
        <f t="shared" si="302"/>
        <v>#DIV/0!</v>
      </c>
      <c r="K430" s="53" t="e">
        <f t="shared" si="302"/>
        <v>#DIV/0!</v>
      </c>
      <c r="L430" s="54" t="e">
        <f t="shared" si="302"/>
        <v>#DIV/0!</v>
      </c>
      <c r="M430" s="53" t="e">
        <f t="shared" si="302"/>
        <v>#DIV/0!</v>
      </c>
      <c r="N430" s="54" t="e">
        <f t="shared" si="302"/>
        <v>#DIV/0!</v>
      </c>
      <c r="O430" s="55">
        <f t="shared" si="302"/>
        <v>21.18893028043875</v>
      </c>
      <c r="Q430" s="33"/>
      <c r="R430" s="57"/>
      <c r="S430" s="57"/>
      <c r="T430" s="57"/>
      <c r="U430" s="57"/>
      <c r="V430" s="41"/>
      <c r="AC430" s="124"/>
      <c r="AD430" s="15"/>
      <c r="AF430" s="57"/>
      <c r="AG430" s="33"/>
      <c r="AH430" s="57"/>
      <c r="AI430" s="58"/>
    </row>
    <row r="431" spans="1:35">
      <c r="A431" s="28" t="s">
        <v>69</v>
      </c>
      <c r="B431" s="29" t="s">
        <v>55</v>
      </c>
      <c r="C431" s="120">
        <f t="shared" ref="C431:O431" si="303">C432/C$385</f>
        <v>5.6827331028470258</v>
      </c>
      <c r="D431" s="121">
        <f t="shared" si="303"/>
        <v>20.987040090931682</v>
      </c>
      <c r="E431" s="120">
        <f t="shared" si="303"/>
        <v>19.250748562575893</v>
      </c>
      <c r="F431" s="121">
        <f t="shared" si="303"/>
        <v>9.8203062664688066</v>
      </c>
      <c r="G431" s="120">
        <f t="shared" si="303"/>
        <v>0.61893043442371665</v>
      </c>
      <c r="H431" s="121">
        <f t="shared" si="303"/>
        <v>0.52590174657425948</v>
      </c>
      <c r="I431" s="120" t="e">
        <f t="shared" si="303"/>
        <v>#DIV/0!</v>
      </c>
      <c r="J431" s="121" t="e">
        <f t="shared" si="303"/>
        <v>#DIV/0!</v>
      </c>
      <c r="K431" s="120" t="e">
        <f t="shared" si="303"/>
        <v>#DIV/0!</v>
      </c>
      <c r="L431" s="121" t="e">
        <f t="shared" si="303"/>
        <v>#DIV/0!</v>
      </c>
      <c r="M431" s="120" t="e">
        <f t="shared" si="303"/>
        <v>#DIV/0!</v>
      </c>
      <c r="N431" s="121" t="e">
        <f t="shared" si="303"/>
        <v>#DIV/0!</v>
      </c>
      <c r="O431" s="32">
        <f t="shared" si="303"/>
        <v>4.3378741428904792</v>
      </c>
      <c r="Q431" s="33"/>
    </row>
    <row r="432" spans="1:35">
      <c r="A432" s="34" t="s">
        <v>56</v>
      </c>
      <c r="B432" s="35" t="s">
        <v>57</v>
      </c>
      <c r="C432" s="36">
        <f t="shared" ref="C432:N432" si="304">C54+C150+C338+C244</f>
        <v>994.31917647134969</v>
      </c>
      <c r="D432" s="37">
        <f t="shared" si="304"/>
        <v>3549.4331553788206</v>
      </c>
      <c r="E432" s="36">
        <f t="shared" si="304"/>
        <v>3549.5107722134317</v>
      </c>
      <c r="F432" s="37">
        <f t="shared" si="304"/>
        <v>1899.7775284734562</v>
      </c>
      <c r="G432" s="36">
        <f t="shared" si="304"/>
        <v>818.47266323194106</v>
      </c>
      <c r="H432" s="37">
        <f t="shared" si="304"/>
        <v>268.12026973263164</v>
      </c>
      <c r="I432" s="36">
        <f t="shared" si="304"/>
        <v>0</v>
      </c>
      <c r="J432" s="37">
        <f t="shared" si="304"/>
        <v>0</v>
      </c>
      <c r="K432" s="36">
        <f t="shared" si="304"/>
        <v>0</v>
      </c>
      <c r="L432" s="37">
        <f t="shared" si="304"/>
        <v>0</v>
      </c>
      <c r="M432" s="36">
        <f t="shared" si="304"/>
        <v>0</v>
      </c>
      <c r="N432" s="37">
        <f t="shared" si="304"/>
        <v>0</v>
      </c>
      <c r="O432" s="38">
        <f>SUM(C432:N432)</f>
        <v>11079.63356550163</v>
      </c>
      <c r="Q432" s="33"/>
      <c r="R432" s="57"/>
      <c r="S432" s="57"/>
      <c r="T432" s="57"/>
      <c r="U432" s="57"/>
      <c r="V432" s="41"/>
    </row>
    <row r="433" spans="1:35">
      <c r="A433" s="42"/>
      <c r="B433" s="35" t="s">
        <v>58</v>
      </c>
      <c r="C433" s="81">
        <f t="shared" ref="C433:N433" si="305">IF(C432=0,0,C434/C432)</f>
        <v>1.1536000000000002</v>
      </c>
      <c r="D433" s="122">
        <f t="shared" si="305"/>
        <v>2.3180910663372858</v>
      </c>
      <c r="E433" s="123">
        <f t="shared" si="305"/>
        <v>2.2399846449451291</v>
      </c>
      <c r="F433" s="122">
        <f t="shared" si="305"/>
        <v>2.1684935710115907</v>
      </c>
      <c r="G433" s="123">
        <f t="shared" si="305"/>
        <v>1.1536000000000002</v>
      </c>
      <c r="H433" s="122">
        <f t="shared" si="305"/>
        <v>1.1536000000000002</v>
      </c>
      <c r="I433" s="123">
        <f t="shared" si="305"/>
        <v>0</v>
      </c>
      <c r="J433" s="122">
        <f t="shared" si="305"/>
        <v>0</v>
      </c>
      <c r="K433" s="123">
        <f t="shared" si="305"/>
        <v>0</v>
      </c>
      <c r="L433" s="122">
        <f t="shared" si="305"/>
        <v>0</v>
      </c>
      <c r="M433" s="123">
        <f t="shared" si="305"/>
        <v>0</v>
      </c>
      <c r="N433" s="122">
        <f t="shared" si="305"/>
        <v>0</v>
      </c>
      <c r="O433" s="45">
        <f>IF(O432=0,0,+O434/O432)</f>
        <v>2.0487098555172287</v>
      </c>
      <c r="Q433" s="33"/>
      <c r="R433" s="47"/>
      <c r="S433" s="47"/>
      <c r="T433" s="47"/>
      <c r="U433" s="47"/>
      <c r="V433" s="41"/>
    </row>
    <row r="434" spans="1:35">
      <c r="A434" s="42"/>
      <c r="B434" s="35" t="s">
        <v>15</v>
      </c>
      <c r="C434" s="48">
        <f t="shared" ref="C434:N434" si="306">C56+C152+C340+C246</f>
        <v>1147.0466019773492</v>
      </c>
      <c r="D434" s="49">
        <f t="shared" si="306"/>
        <v>8227.909288045008</v>
      </c>
      <c r="E434" s="48">
        <f t="shared" si="306"/>
        <v>7950.8496268254148</v>
      </c>
      <c r="F434" s="49">
        <f t="shared" si="306"/>
        <v>4119.655356846979</v>
      </c>
      <c r="G434" s="48">
        <f t="shared" si="306"/>
        <v>944.1900643043673</v>
      </c>
      <c r="H434" s="49">
        <f t="shared" si="306"/>
        <v>309.30354316356392</v>
      </c>
      <c r="I434" s="48">
        <f t="shared" si="306"/>
        <v>0</v>
      </c>
      <c r="J434" s="49">
        <f t="shared" si="306"/>
        <v>0</v>
      </c>
      <c r="K434" s="48">
        <f t="shared" si="306"/>
        <v>0</v>
      </c>
      <c r="L434" s="49">
        <f t="shared" si="306"/>
        <v>0</v>
      </c>
      <c r="M434" s="48">
        <f t="shared" si="306"/>
        <v>0</v>
      </c>
      <c r="N434" s="49">
        <f t="shared" si="306"/>
        <v>0</v>
      </c>
      <c r="O434" s="50">
        <f>SUM(C434:N434)</f>
        <v>22698.954481162684</v>
      </c>
      <c r="Q434" s="33"/>
      <c r="R434" s="40"/>
      <c r="S434" s="40"/>
      <c r="T434" s="40"/>
      <c r="U434" s="40"/>
      <c r="V434" s="41"/>
    </row>
    <row r="435" spans="1:35" ht="13.5" thickBot="1">
      <c r="A435" s="51"/>
      <c r="B435" s="52" t="s">
        <v>59</v>
      </c>
      <c r="C435" s="53">
        <f t="shared" ref="C435:O435" si="307">C434/C$385</f>
        <v>6.5556009074443296</v>
      </c>
      <c r="D435" s="54">
        <f t="shared" si="307"/>
        <v>48.649870143651192</v>
      </c>
      <c r="E435" s="53">
        <f t="shared" si="307"/>
        <v>43.121381183869516</v>
      </c>
      <c r="F435" s="54">
        <f t="shared" si="307"/>
        <v>21.295271004202444</v>
      </c>
      <c r="G435" s="53">
        <f t="shared" si="307"/>
        <v>0.71399814915119963</v>
      </c>
      <c r="H435" s="54">
        <f t="shared" si="307"/>
        <v>0.60668025484806587</v>
      </c>
      <c r="I435" s="53" t="e">
        <f t="shared" si="307"/>
        <v>#DIV/0!</v>
      </c>
      <c r="J435" s="54" t="e">
        <f t="shared" si="307"/>
        <v>#DIV/0!</v>
      </c>
      <c r="K435" s="53" t="e">
        <f t="shared" si="307"/>
        <v>#DIV/0!</v>
      </c>
      <c r="L435" s="54" t="e">
        <f t="shared" si="307"/>
        <v>#DIV/0!</v>
      </c>
      <c r="M435" s="53" t="e">
        <f t="shared" si="307"/>
        <v>#DIV/0!</v>
      </c>
      <c r="N435" s="54" t="e">
        <f t="shared" si="307"/>
        <v>#DIV/0!</v>
      </c>
      <c r="O435" s="55">
        <f t="shared" si="307"/>
        <v>8.8870455085330757</v>
      </c>
      <c r="Q435" s="33"/>
      <c r="R435" s="57"/>
      <c r="S435" s="57"/>
      <c r="T435" s="57"/>
      <c r="U435" s="57"/>
      <c r="V435" s="41"/>
    </row>
    <row r="436" spans="1:35">
      <c r="A436" s="181" t="s">
        <v>70</v>
      </c>
      <c r="B436" s="29" t="s">
        <v>55</v>
      </c>
      <c r="C436" s="120">
        <f t="shared" ref="C436:O436" si="308">C437/C$385</f>
        <v>15.065267585670853</v>
      </c>
      <c r="D436" s="121">
        <f t="shared" si="308"/>
        <v>4.1389504804138948</v>
      </c>
      <c r="E436" s="120">
        <f t="shared" si="308"/>
        <v>5.4234934890960655</v>
      </c>
      <c r="F436" s="121">
        <f t="shared" si="308"/>
        <v>3.8768906303307249</v>
      </c>
      <c r="G436" s="120">
        <f t="shared" si="308"/>
        <v>2.3381876292752026</v>
      </c>
      <c r="H436" s="121">
        <f t="shared" si="308"/>
        <v>5.3107742873000072</v>
      </c>
      <c r="I436" s="120" t="e">
        <f t="shared" si="308"/>
        <v>#DIV/0!</v>
      </c>
      <c r="J436" s="121" t="e">
        <f t="shared" si="308"/>
        <v>#DIV/0!</v>
      </c>
      <c r="K436" s="120" t="e">
        <f t="shared" si="308"/>
        <v>#DIV/0!</v>
      </c>
      <c r="L436" s="121" t="e">
        <f t="shared" si="308"/>
        <v>#DIV/0!</v>
      </c>
      <c r="M436" s="120" t="e">
        <f t="shared" si="308"/>
        <v>#DIV/0!</v>
      </c>
      <c r="N436" s="121" t="e">
        <f t="shared" si="308"/>
        <v>#DIV/0!</v>
      </c>
      <c r="O436" s="32">
        <f t="shared" si="308"/>
        <v>8.9131406156596444</v>
      </c>
      <c r="P436" s="9"/>
      <c r="Q436" s="9"/>
      <c r="R436" s="9"/>
      <c r="S436" s="9"/>
      <c r="T436" s="9"/>
      <c r="U436" s="9"/>
      <c r="V436" s="70"/>
    </row>
    <row r="437" spans="1:35">
      <c r="A437" s="34" t="s">
        <v>71</v>
      </c>
      <c r="B437" s="35" t="s">
        <v>57</v>
      </c>
      <c r="C437" s="36">
        <f t="shared" ref="C437:N437" si="309">C59+C155+C343+C249</f>
        <v>2636</v>
      </c>
      <c r="D437" s="37">
        <f t="shared" si="309"/>
        <v>700</v>
      </c>
      <c r="E437" s="36">
        <f t="shared" si="309"/>
        <v>1000</v>
      </c>
      <c r="F437" s="37">
        <f t="shared" si="309"/>
        <v>750</v>
      </c>
      <c r="G437" s="36">
        <f t="shared" si="309"/>
        <v>3092.0157575555818</v>
      </c>
      <c r="H437" s="37">
        <f t="shared" si="309"/>
        <v>2707.5898562336079</v>
      </c>
      <c r="I437" s="36">
        <f t="shared" si="309"/>
        <v>1980</v>
      </c>
      <c r="J437" s="37">
        <f t="shared" si="309"/>
        <v>1980</v>
      </c>
      <c r="K437" s="36">
        <f t="shared" si="309"/>
        <v>1980</v>
      </c>
      <c r="L437" s="37">
        <f t="shared" si="309"/>
        <v>1980</v>
      </c>
      <c r="M437" s="36">
        <f t="shared" si="309"/>
        <v>1980</v>
      </c>
      <c r="N437" s="37">
        <f t="shared" si="309"/>
        <v>1980</v>
      </c>
      <c r="O437" s="38">
        <f>SUM(C437:N437)</f>
        <v>22765.60561378919</v>
      </c>
      <c r="R437" s="15"/>
      <c r="S437" s="15"/>
      <c r="T437" s="15"/>
      <c r="U437" s="15"/>
      <c r="V437" s="71"/>
    </row>
    <row r="438" spans="1:35" ht="15.75">
      <c r="A438" s="34" t="s">
        <v>56</v>
      </c>
      <c r="B438" s="35" t="s">
        <v>58</v>
      </c>
      <c r="C438" s="81">
        <f t="shared" ref="C438:N438" si="310">IF(C437=0,0,C439/C437)</f>
        <v>2.4758763277693476</v>
      </c>
      <c r="D438" s="122">
        <f t="shared" si="310"/>
        <v>0.1424</v>
      </c>
      <c r="E438" s="123">
        <f t="shared" si="310"/>
        <v>0.1424</v>
      </c>
      <c r="F438" s="122">
        <f t="shared" si="310"/>
        <v>0.1424</v>
      </c>
      <c r="G438" s="123">
        <f t="shared" si="310"/>
        <v>1.5855934718378841</v>
      </c>
      <c r="H438" s="122">
        <f t="shared" si="310"/>
        <v>2.2573551846962836</v>
      </c>
      <c r="I438" s="123">
        <f t="shared" si="310"/>
        <v>2.4761010101010101</v>
      </c>
      <c r="J438" s="122">
        <f t="shared" si="310"/>
        <v>2.4761010101010101</v>
      </c>
      <c r="K438" s="123">
        <f t="shared" si="310"/>
        <v>2.4761010101010101</v>
      </c>
      <c r="L438" s="122">
        <f t="shared" si="310"/>
        <v>2.4761010101010101</v>
      </c>
      <c r="M438" s="123">
        <f t="shared" si="310"/>
        <v>2.4761010101010101</v>
      </c>
      <c r="N438" s="122">
        <f t="shared" si="310"/>
        <v>2.4761010101010101</v>
      </c>
      <c r="O438" s="45">
        <f>IF(O437=0,0,+O439/O437)</f>
        <v>2.077961061196044</v>
      </c>
      <c r="R438" s="72"/>
      <c r="S438" s="15"/>
      <c r="T438" s="72"/>
      <c r="U438" s="15"/>
      <c r="V438" s="15"/>
    </row>
    <row r="439" spans="1:35">
      <c r="A439" s="42"/>
      <c r="B439" s="35" t="s">
        <v>15</v>
      </c>
      <c r="C439" s="48">
        <f t="shared" ref="C439:N439" si="311">C61+C157+C345+C251</f>
        <v>6526.41</v>
      </c>
      <c r="D439" s="49">
        <f t="shared" si="311"/>
        <v>99.68</v>
      </c>
      <c r="E439" s="48">
        <f t="shared" si="311"/>
        <v>142.4</v>
      </c>
      <c r="F439" s="49">
        <f t="shared" si="311"/>
        <v>106.8</v>
      </c>
      <c r="G439" s="48">
        <f t="shared" si="311"/>
        <v>4902.68</v>
      </c>
      <c r="H439" s="49">
        <f t="shared" si="311"/>
        <v>6111.9920000000002</v>
      </c>
      <c r="I439" s="48">
        <f t="shared" si="311"/>
        <v>4902.68</v>
      </c>
      <c r="J439" s="49">
        <f t="shared" si="311"/>
        <v>4902.68</v>
      </c>
      <c r="K439" s="48">
        <f t="shared" si="311"/>
        <v>4902.68</v>
      </c>
      <c r="L439" s="49">
        <f t="shared" si="311"/>
        <v>4902.68</v>
      </c>
      <c r="M439" s="48">
        <f t="shared" si="311"/>
        <v>4902.68</v>
      </c>
      <c r="N439" s="49">
        <f t="shared" si="311"/>
        <v>4902.68</v>
      </c>
      <c r="O439" s="50">
        <f>SUM(C439:N439)</f>
        <v>47306.042000000001</v>
      </c>
      <c r="R439" s="15"/>
      <c r="S439" s="15"/>
      <c r="T439" s="15"/>
      <c r="U439" s="15"/>
      <c r="V439" s="15"/>
    </row>
    <row r="440" spans="1:35" ht="13.5" thickBot="1">
      <c r="A440" s="51"/>
      <c r="B440" s="52" t="s">
        <v>59</v>
      </c>
      <c r="C440" s="53">
        <f t="shared" ref="C440:O440" si="312">C439/C$385</f>
        <v>37.299739386873334</v>
      </c>
      <c r="D440" s="54">
        <f t="shared" si="312"/>
        <v>0.58938654841093874</v>
      </c>
      <c r="E440" s="53">
        <f t="shared" si="312"/>
        <v>0.77230547284727968</v>
      </c>
      <c r="F440" s="54">
        <f t="shared" si="312"/>
        <v>0.55206922575909523</v>
      </c>
      <c r="G440" s="53">
        <f t="shared" si="312"/>
        <v>3.7074150409108602</v>
      </c>
      <c r="H440" s="54">
        <f t="shared" si="312"/>
        <v>11.988303872188382</v>
      </c>
      <c r="I440" s="53" t="e">
        <f t="shared" si="312"/>
        <v>#DIV/0!</v>
      </c>
      <c r="J440" s="54" t="e">
        <f t="shared" si="312"/>
        <v>#DIV/0!</v>
      </c>
      <c r="K440" s="53" t="e">
        <f t="shared" si="312"/>
        <v>#DIV/0!</v>
      </c>
      <c r="L440" s="54" t="e">
        <f t="shared" si="312"/>
        <v>#DIV/0!</v>
      </c>
      <c r="M440" s="53" t="e">
        <f t="shared" si="312"/>
        <v>#DIV/0!</v>
      </c>
      <c r="N440" s="54" t="e">
        <f t="shared" si="312"/>
        <v>#DIV/0!</v>
      </c>
      <c r="O440" s="55">
        <f t="shared" si="312"/>
        <v>18.521159132305677</v>
      </c>
      <c r="S440" s="8"/>
      <c r="V440" s="41"/>
    </row>
    <row r="441" spans="1:35">
      <c r="A441" s="28" t="s">
        <v>72</v>
      </c>
      <c r="B441" s="29" t="s">
        <v>55</v>
      </c>
      <c r="C441" s="120">
        <f t="shared" ref="C441:O441" si="313">C442/C$385</f>
        <v>17.355021059099347</v>
      </c>
      <c r="D441" s="121">
        <f t="shared" si="313"/>
        <v>12.585530712809767</v>
      </c>
      <c r="E441" s="120">
        <f t="shared" si="313"/>
        <v>13.357513776792139</v>
      </c>
      <c r="F441" s="121">
        <f t="shared" si="313"/>
        <v>10.408885835161321</v>
      </c>
      <c r="G441" s="120">
        <f t="shared" si="313"/>
        <v>1.9871191376886048</v>
      </c>
      <c r="H441" s="121">
        <f t="shared" si="313"/>
        <v>4.3804327413123278</v>
      </c>
      <c r="I441" s="120" t="e">
        <f t="shared" si="313"/>
        <v>#DIV/0!</v>
      </c>
      <c r="J441" s="121" t="e">
        <f t="shared" si="313"/>
        <v>#DIV/0!</v>
      </c>
      <c r="K441" s="120" t="e">
        <f t="shared" si="313"/>
        <v>#DIV/0!</v>
      </c>
      <c r="L441" s="121" t="e">
        <f t="shared" si="313"/>
        <v>#DIV/0!</v>
      </c>
      <c r="M441" s="120" t="e">
        <f t="shared" si="313"/>
        <v>#DIV/0!</v>
      </c>
      <c r="N441" s="121" t="e">
        <f t="shared" si="313"/>
        <v>#DIV/0!</v>
      </c>
      <c r="O441" s="32">
        <f t="shared" si="313"/>
        <v>7.4399144449950718</v>
      </c>
      <c r="Q441" s="33"/>
    </row>
    <row r="442" spans="1:35">
      <c r="A442" s="34" t="s">
        <v>56</v>
      </c>
      <c r="B442" s="35" t="s">
        <v>57</v>
      </c>
      <c r="C442" s="36">
        <f t="shared" ref="C442:N442" si="314">C64+C160+C348+C254</f>
        <v>3036.6427447527308</v>
      </c>
      <c r="D442" s="37">
        <f t="shared" si="314"/>
        <v>2128.5278818039519</v>
      </c>
      <c r="E442" s="36">
        <f t="shared" si="314"/>
        <v>2462.8984627062655</v>
      </c>
      <c r="F442" s="37">
        <f t="shared" si="314"/>
        <v>2013.6406003552981</v>
      </c>
      <c r="G442" s="36">
        <f t="shared" si="314"/>
        <v>2627.7633193098459</v>
      </c>
      <c r="H442" s="37">
        <f t="shared" si="314"/>
        <v>2233.274211004109</v>
      </c>
      <c r="I442" s="36">
        <f t="shared" si="314"/>
        <v>750</v>
      </c>
      <c r="J442" s="37">
        <f t="shared" si="314"/>
        <v>750</v>
      </c>
      <c r="K442" s="36">
        <f t="shared" si="314"/>
        <v>750</v>
      </c>
      <c r="L442" s="37">
        <f t="shared" si="314"/>
        <v>750</v>
      </c>
      <c r="M442" s="36">
        <f t="shared" si="314"/>
        <v>750</v>
      </c>
      <c r="N442" s="37">
        <f t="shared" si="314"/>
        <v>750</v>
      </c>
      <c r="O442" s="38">
        <f>SUM(C442:N442)</f>
        <v>19002.7472199322</v>
      </c>
      <c r="Q442" s="33"/>
      <c r="R442" s="57"/>
      <c r="S442" s="57"/>
      <c r="T442" s="57"/>
      <c r="U442" s="60"/>
      <c r="V442" s="41"/>
    </row>
    <row r="443" spans="1:35" ht="15.75">
      <c r="A443" s="42"/>
      <c r="B443" s="35" t="s">
        <v>58</v>
      </c>
      <c r="C443" s="81">
        <f t="shared" ref="C443:N443" si="315">IF(C442=0,0,C444/C442)</f>
        <v>0.14244434406982309</v>
      </c>
      <c r="D443" s="44">
        <f t="shared" si="315"/>
        <v>0.14280939616538313</v>
      </c>
      <c r="E443" s="43">
        <f t="shared" si="315"/>
        <v>0.14280000000000001</v>
      </c>
      <c r="F443" s="44">
        <f t="shared" si="315"/>
        <v>0.1428198645180242</v>
      </c>
      <c r="G443" s="43">
        <f t="shared" si="315"/>
        <v>0.14241765339200885</v>
      </c>
      <c r="H443" s="44">
        <f t="shared" si="315"/>
        <v>0.14230744964743697</v>
      </c>
      <c r="I443" s="43">
        <f t="shared" si="315"/>
        <v>0.14133333333333334</v>
      </c>
      <c r="J443" s="44">
        <f t="shared" si="315"/>
        <v>0.14133333333333334</v>
      </c>
      <c r="K443" s="43">
        <f t="shared" si="315"/>
        <v>0.14133333333333334</v>
      </c>
      <c r="L443" s="44">
        <f t="shared" si="315"/>
        <v>0.14133333333333334</v>
      </c>
      <c r="M443" s="43">
        <f t="shared" si="315"/>
        <v>0.14133333333333334</v>
      </c>
      <c r="N443" s="44">
        <f t="shared" si="315"/>
        <v>0.14133333333333334</v>
      </c>
      <c r="O443" s="45">
        <f>IF(O442=0,0,+O444/O442)</f>
        <v>0.14228824681614766</v>
      </c>
      <c r="Q443" s="33"/>
      <c r="R443" s="46"/>
      <c r="S443" s="46"/>
      <c r="T443" s="47"/>
      <c r="U443" s="47"/>
      <c r="V443" s="41"/>
    </row>
    <row r="444" spans="1:35">
      <c r="A444" s="42"/>
      <c r="B444" s="35" t="s">
        <v>15</v>
      </c>
      <c r="C444" s="48">
        <f t="shared" ref="C444:N444" si="316">C66+C162+C350+C256</f>
        <v>432.55258395068995</v>
      </c>
      <c r="D444" s="49">
        <f t="shared" si="316"/>
        <v>303.97378152160434</v>
      </c>
      <c r="E444" s="48">
        <f t="shared" si="316"/>
        <v>351.70190047445476</v>
      </c>
      <c r="F444" s="49">
        <f t="shared" si="316"/>
        <v>287.58787773073658</v>
      </c>
      <c r="G444" s="48">
        <f t="shared" si="316"/>
        <v>374.23988560570427</v>
      </c>
      <c r="H444" s="49">
        <f t="shared" si="316"/>
        <v>317.81155733138678</v>
      </c>
      <c r="I444" s="48">
        <f t="shared" si="316"/>
        <v>106</v>
      </c>
      <c r="J444" s="49">
        <f t="shared" si="316"/>
        <v>106</v>
      </c>
      <c r="K444" s="48">
        <f t="shared" si="316"/>
        <v>106</v>
      </c>
      <c r="L444" s="49">
        <f t="shared" si="316"/>
        <v>106</v>
      </c>
      <c r="M444" s="48">
        <f t="shared" si="316"/>
        <v>106</v>
      </c>
      <c r="N444" s="49">
        <f t="shared" si="316"/>
        <v>106</v>
      </c>
      <c r="O444" s="50">
        <f>SUM(C444:N444)</f>
        <v>2703.8675866145768</v>
      </c>
      <c r="Q444" s="33"/>
      <c r="R444" s="40"/>
      <c r="S444" s="40"/>
      <c r="T444" s="40"/>
      <c r="U444" s="40"/>
      <c r="V444" s="41"/>
    </row>
    <row r="445" spans="1:35" ht="16.5" thickBot="1">
      <c r="A445" s="51"/>
      <c r="B445" s="52" t="s">
        <v>59</v>
      </c>
      <c r="C445" s="53">
        <f t="shared" ref="C445:O445" si="317">C444/C$385</f>
        <v>2.4721245910813732</v>
      </c>
      <c r="D445" s="54">
        <f t="shared" si="317"/>
        <v>1.7973320415172467</v>
      </c>
      <c r="E445" s="53">
        <f t="shared" si="317"/>
        <v>1.9074529673259177</v>
      </c>
      <c r="F445" s="54">
        <f t="shared" si="317"/>
        <v>1.486595664761321</v>
      </c>
      <c r="G445" s="53">
        <f t="shared" si="317"/>
        <v>0.28300084459996322</v>
      </c>
      <c r="H445" s="54">
        <f t="shared" si="317"/>
        <v>0.62336821176828838</v>
      </c>
      <c r="I445" s="53" t="e">
        <f t="shared" si="317"/>
        <v>#DIV/0!</v>
      </c>
      <c r="J445" s="54" t="e">
        <f t="shared" si="317"/>
        <v>#DIV/0!</v>
      </c>
      <c r="K445" s="53" t="e">
        <f t="shared" si="317"/>
        <v>#DIV/0!</v>
      </c>
      <c r="L445" s="54" t="e">
        <f t="shared" si="317"/>
        <v>#DIV/0!</v>
      </c>
      <c r="M445" s="53" t="e">
        <f t="shared" si="317"/>
        <v>#DIV/0!</v>
      </c>
      <c r="N445" s="54" t="e">
        <f t="shared" si="317"/>
        <v>#DIV/0!</v>
      </c>
      <c r="O445" s="55">
        <f t="shared" si="317"/>
        <v>1.058612382840481</v>
      </c>
      <c r="Q445" s="33"/>
      <c r="R445" s="56"/>
      <c r="S445" s="56"/>
      <c r="T445" s="57"/>
      <c r="U445" s="57"/>
      <c r="V445" s="41"/>
    </row>
    <row r="446" spans="1:35">
      <c r="A446" s="181" t="s">
        <v>73</v>
      </c>
      <c r="B446" s="29" t="s">
        <v>55</v>
      </c>
      <c r="C446" s="120">
        <f t="shared" ref="C446:O446" si="318">C447/C$385</f>
        <v>89.922959102027761</v>
      </c>
      <c r="D446" s="121">
        <f t="shared" si="318"/>
        <v>87.592017738359203</v>
      </c>
      <c r="E446" s="120">
        <f t="shared" si="318"/>
        <v>95.084687850832211</v>
      </c>
      <c r="F446" s="121">
        <f t="shared" si="318"/>
        <v>36.737415613013951</v>
      </c>
      <c r="G446" s="120">
        <f t="shared" si="318"/>
        <v>9.7959934104493183</v>
      </c>
      <c r="H446" s="121">
        <f t="shared" si="318"/>
        <v>0.70611829890939282</v>
      </c>
      <c r="I446" s="120" t="e">
        <f t="shared" si="318"/>
        <v>#DIV/0!</v>
      </c>
      <c r="J446" s="121" t="e">
        <f t="shared" si="318"/>
        <v>#DIV/0!</v>
      </c>
      <c r="K446" s="120" t="e">
        <f t="shared" si="318"/>
        <v>#DIV/0!</v>
      </c>
      <c r="L446" s="121" t="e">
        <f t="shared" si="318"/>
        <v>#DIV/0!</v>
      </c>
      <c r="M446" s="120" t="e">
        <f t="shared" si="318"/>
        <v>#DIV/0!</v>
      </c>
      <c r="N446" s="121" t="e">
        <f t="shared" si="318"/>
        <v>#DIV/0!</v>
      </c>
      <c r="O446" s="32">
        <f t="shared" si="318"/>
        <v>39.906333679689354</v>
      </c>
      <c r="Q446" s="33"/>
      <c r="AC446" s="124"/>
      <c r="AG446" s="33"/>
      <c r="AI446" s="58"/>
    </row>
    <row r="447" spans="1:35">
      <c r="A447" s="34" t="s">
        <v>64</v>
      </c>
      <c r="B447" s="35" t="s">
        <v>57</v>
      </c>
      <c r="C447" s="36">
        <f t="shared" ref="C447:N447" si="319">C69+C165+C353+C259</f>
        <v>15734</v>
      </c>
      <c r="D447" s="66">
        <f t="shared" si="319"/>
        <v>14814</v>
      </c>
      <c r="E447" s="65">
        <f t="shared" si="319"/>
        <v>17532</v>
      </c>
      <c r="F447" s="66">
        <f t="shared" si="319"/>
        <v>7107</v>
      </c>
      <c r="G447" s="65">
        <f t="shared" si="319"/>
        <v>12954.206756884223</v>
      </c>
      <c r="H447" s="66">
        <f t="shared" si="319"/>
        <v>360</v>
      </c>
      <c r="I447" s="65">
        <f t="shared" si="319"/>
        <v>0</v>
      </c>
      <c r="J447" s="66">
        <f t="shared" si="319"/>
        <v>0</v>
      </c>
      <c r="K447" s="65">
        <f t="shared" si="319"/>
        <v>0</v>
      </c>
      <c r="L447" s="66">
        <f t="shared" si="319"/>
        <v>3090.0367612911991</v>
      </c>
      <c r="M447" s="65">
        <f t="shared" si="319"/>
        <v>15168</v>
      </c>
      <c r="N447" s="66">
        <f t="shared" si="319"/>
        <v>15168</v>
      </c>
      <c r="O447" s="67">
        <f>SUM(C447:N447)</f>
        <v>101927.24351817541</v>
      </c>
      <c r="Q447" s="33"/>
      <c r="R447" s="57"/>
      <c r="S447" s="57"/>
      <c r="T447" s="57"/>
      <c r="U447" s="60"/>
      <c r="V447" s="41"/>
      <c r="AB447" s="15"/>
      <c r="AC447" s="124"/>
      <c r="AD447" s="15"/>
      <c r="AF447" s="57"/>
      <c r="AG447" s="33"/>
      <c r="AH447" s="57"/>
      <c r="AI447" s="58"/>
    </row>
    <row r="448" spans="1:35">
      <c r="A448" s="42"/>
      <c r="B448" s="35" t="s">
        <v>58</v>
      </c>
      <c r="C448" s="81">
        <f t="shared" ref="C448:N448" si="320">IF(C447=0,0,C449/C447)</f>
        <v>0.19212024914198553</v>
      </c>
      <c r="D448" s="82">
        <f t="shared" si="320"/>
        <v>0.2</v>
      </c>
      <c r="E448" s="81">
        <f t="shared" si="320"/>
        <v>0.18916210358202146</v>
      </c>
      <c r="F448" s="82">
        <f t="shared" si="320"/>
        <v>0.19939355564935979</v>
      </c>
      <c r="G448" s="81">
        <f t="shared" si="320"/>
        <v>0.10465536373492386</v>
      </c>
      <c r="H448" s="82">
        <f t="shared" si="320"/>
        <v>0.2</v>
      </c>
      <c r="I448" s="81">
        <f t="shared" si="320"/>
        <v>0</v>
      </c>
      <c r="J448" s="82">
        <f t="shared" si="320"/>
        <v>0</v>
      </c>
      <c r="K448" s="81">
        <f t="shared" si="320"/>
        <v>0</v>
      </c>
      <c r="L448" s="82">
        <f t="shared" si="320"/>
        <v>0.19999999999999998</v>
      </c>
      <c r="M448" s="81">
        <f t="shared" si="320"/>
        <v>0.19999999999999998</v>
      </c>
      <c r="N448" s="82">
        <f t="shared" si="320"/>
        <v>0.19999999999999998</v>
      </c>
      <c r="O448" s="45">
        <f>IF(O447=0,0,+O449/O447)</f>
        <v>0.18475957871792428</v>
      </c>
      <c r="Q448" s="33"/>
      <c r="R448" s="47"/>
      <c r="S448" s="47"/>
      <c r="T448" s="47"/>
      <c r="U448" s="47"/>
      <c r="V448" s="41"/>
      <c r="AC448" s="124"/>
      <c r="AD448" s="15"/>
      <c r="AF448" s="47"/>
      <c r="AG448" s="33"/>
      <c r="AH448" s="47"/>
      <c r="AI448" s="58"/>
    </row>
    <row r="449" spans="1:35">
      <c r="A449" s="42"/>
      <c r="B449" s="35" t="s">
        <v>15</v>
      </c>
      <c r="C449" s="48">
        <f t="shared" ref="C449:N449" si="321">C71+C167+C355+C261</f>
        <v>3022.82</v>
      </c>
      <c r="D449" s="49">
        <f t="shared" si="321"/>
        <v>2962.8</v>
      </c>
      <c r="E449" s="48">
        <f t="shared" si="321"/>
        <v>3316.3900000000003</v>
      </c>
      <c r="F449" s="49">
        <f t="shared" si="321"/>
        <v>1417.09</v>
      </c>
      <c r="G449" s="48">
        <f t="shared" si="321"/>
        <v>1355.7272200391267</v>
      </c>
      <c r="H449" s="49">
        <f t="shared" si="321"/>
        <v>72</v>
      </c>
      <c r="I449" s="48">
        <f t="shared" si="321"/>
        <v>0</v>
      </c>
      <c r="J449" s="49">
        <f t="shared" si="321"/>
        <v>0</v>
      </c>
      <c r="K449" s="48">
        <f t="shared" si="321"/>
        <v>0</v>
      </c>
      <c r="L449" s="49">
        <f t="shared" si="321"/>
        <v>618.00735225823973</v>
      </c>
      <c r="M449" s="48">
        <f t="shared" si="321"/>
        <v>3033.6</v>
      </c>
      <c r="N449" s="49">
        <f t="shared" si="321"/>
        <v>3033.6</v>
      </c>
      <c r="O449" s="50">
        <f>SUM(C449:N449)</f>
        <v>18832.034572297369</v>
      </c>
      <c r="Q449" s="33"/>
      <c r="R449" s="40"/>
      <c r="S449" s="40"/>
      <c r="T449" s="40"/>
      <c r="U449" s="40"/>
      <c r="V449" s="41"/>
      <c r="AC449" s="124"/>
      <c r="AD449" s="15"/>
      <c r="AF449" s="40"/>
      <c r="AG449" s="33"/>
      <c r="AH449" s="40"/>
      <c r="AI449" s="58"/>
    </row>
    <row r="450" spans="1:35" ht="13.5" thickBot="1">
      <c r="A450" s="51"/>
      <c r="B450" s="52" t="s">
        <v>59</v>
      </c>
      <c r="C450" s="53">
        <f t="shared" ref="C450:O450" si="322">C449/C$385</f>
        <v>17.276021306266149</v>
      </c>
      <c r="D450" s="54">
        <f t="shared" si="322"/>
        <v>17.518403547671841</v>
      </c>
      <c r="E450" s="53">
        <f t="shared" si="322"/>
        <v>17.986419572303301</v>
      </c>
      <c r="F450" s="54">
        <f t="shared" si="322"/>
        <v>7.3252039244471554</v>
      </c>
      <c r="G450" s="53">
        <f t="shared" si="322"/>
        <v>1.0252032535154905</v>
      </c>
      <c r="H450" s="54">
        <f t="shared" si="322"/>
        <v>0.14122365978187856</v>
      </c>
      <c r="I450" s="53" t="e">
        <f t="shared" si="322"/>
        <v>#DIV/0!</v>
      </c>
      <c r="J450" s="54" t="e">
        <f t="shared" si="322"/>
        <v>#DIV/0!</v>
      </c>
      <c r="K450" s="53" t="e">
        <f t="shared" si="322"/>
        <v>#DIV/0!</v>
      </c>
      <c r="L450" s="54" t="e">
        <f t="shared" si="322"/>
        <v>#DIV/0!</v>
      </c>
      <c r="M450" s="53" t="e">
        <f t="shared" si="322"/>
        <v>#DIV/0!</v>
      </c>
      <c r="N450" s="54" t="e">
        <f t="shared" si="322"/>
        <v>#DIV/0!</v>
      </c>
      <c r="O450" s="55">
        <f t="shared" si="322"/>
        <v>7.3730773988363181</v>
      </c>
      <c r="Q450" s="33"/>
      <c r="R450" s="57"/>
      <c r="S450" s="57"/>
      <c r="T450" s="57"/>
      <c r="U450" s="57"/>
      <c r="V450" s="41"/>
      <c r="AC450" s="124"/>
      <c r="AD450" s="15"/>
      <c r="AF450" s="57"/>
      <c r="AG450" s="33"/>
      <c r="AH450" s="57"/>
      <c r="AI450" s="58"/>
    </row>
    <row r="451" spans="1:35">
      <c r="A451" s="28" t="s">
        <v>74</v>
      </c>
      <c r="B451" s="29" t="s">
        <v>55</v>
      </c>
      <c r="C451" s="120">
        <f t="shared" ref="C451:O451" si="323">C452/C$385</f>
        <v>50.224380248263387</v>
      </c>
      <c r="D451" s="121">
        <f t="shared" si="323"/>
        <v>81.734555513578869</v>
      </c>
      <c r="E451" s="120">
        <f t="shared" si="323"/>
        <v>47.89380407522583</v>
      </c>
      <c r="F451" s="121">
        <f t="shared" si="323"/>
        <v>104.86762077840307</v>
      </c>
      <c r="G451" s="120">
        <f t="shared" si="323"/>
        <v>25.99517216938434</v>
      </c>
      <c r="H451" s="121">
        <f t="shared" si="323"/>
        <v>35.184200405854355</v>
      </c>
      <c r="I451" s="120" t="e">
        <f t="shared" si="323"/>
        <v>#DIV/0!</v>
      </c>
      <c r="J451" s="121" t="e">
        <f t="shared" si="323"/>
        <v>#DIV/0!</v>
      </c>
      <c r="K451" s="120" t="e">
        <f t="shared" si="323"/>
        <v>#DIV/0!</v>
      </c>
      <c r="L451" s="121" t="e">
        <f t="shared" si="323"/>
        <v>#DIV/0!</v>
      </c>
      <c r="M451" s="120" t="e">
        <f t="shared" si="323"/>
        <v>#DIV/0!</v>
      </c>
      <c r="N451" s="121" t="e">
        <f t="shared" si="323"/>
        <v>#DIV/0!</v>
      </c>
      <c r="O451" s="32">
        <f t="shared" si="323"/>
        <v>49.689956511090649</v>
      </c>
      <c r="Q451" s="33"/>
      <c r="AC451" s="124"/>
      <c r="AG451" s="33"/>
      <c r="AI451" s="58"/>
    </row>
    <row r="452" spans="1:35">
      <c r="A452" s="34" t="s">
        <v>64</v>
      </c>
      <c r="B452" s="35" t="s">
        <v>57</v>
      </c>
      <c r="C452" s="36">
        <f t="shared" ref="C452:N452" si="324">C74+C170+C358+C264</f>
        <v>8787.8602607991397</v>
      </c>
      <c r="D452" s="37">
        <f t="shared" si="324"/>
        <v>13823.356701234026</v>
      </c>
      <c r="E452" s="36">
        <f t="shared" si="324"/>
        <v>8830.8032768023659</v>
      </c>
      <c r="F452" s="37">
        <f t="shared" si="324"/>
        <v>20287.060710065183</v>
      </c>
      <c r="G452" s="36">
        <f t="shared" si="324"/>
        <v>34375.976060151472</v>
      </c>
      <c r="H452" s="37">
        <f t="shared" si="324"/>
        <v>17937.946326657759</v>
      </c>
      <c r="I452" s="36">
        <f t="shared" si="324"/>
        <v>10290</v>
      </c>
      <c r="J452" s="37">
        <f t="shared" si="324"/>
        <v>4322.6093598756279</v>
      </c>
      <c r="K452" s="36">
        <f t="shared" si="324"/>
        <v>5170.5523261808748</v>
      </c>
      <c r="L452" s="37">
        <f t="shared" si="324"/>
        <v>3090.0367612911991</v>
      </c>
      <c r="M452" s="36">
        <f t="shared" si="324"/>
        <v>0</v>
      </c>
      <c r="N452" s="37">
        <f t="shared" si="324"/>
        <v>0</v>
      </c>
      <c r="O452" s="38">
        <f>SUM(C452:N452)</f>
        <v>126916.20178305764</v>
      </c>
      <c r="Q452" s="33"/>
      <c r="R452" s="57"/>
      <c r="S452" s="57"/>
      <c r="T452" s="57"/>
      <c r="U452" s="60"/>
      <c r="V452" s="41"/>
      <c r="AB452" s="15"/>
      <c r="AC452" s="124"/>
      <c r="AD452" s="15"/>
      <c r="AF452" s="57"/>
      <c r="AG452" s="33"/>
      <c r="AH452" s="57"/>
      <c r="AI452" s="58"/>
    </row>
    <row r="453" spans="1:35">
      <c r="A453" s="42"/>
      <c r="B453" s="35" t="s">
        <v>58</v>
      </c>
      <c r="C453" s="81">
        <f t="shared" ref="C453:N453" si="325">IF(C452=0,0,C454/C452)</f>
        <v>0.15840000000000001</v>
      </c>
      <c r="D453" s="82">
        <f t="shared" si="325"/>
        <v>0.19883099024928633</v>
      </c>
      <c r="E453" s="81">
        <f t="shared" si="325"/>
        <v>0.23027414101583601</v>
      </c>
      <c r="F453" s="82">
        <f t="shared" si="325"/>
        <v>0.20650622957892575</v>
      </c>
      <c r="G453" s="81">
        <f t="shared" si="325"/>
        <v>0.17537334205082725</v>
      </c>
      <c r="H453" s="82">
        <f t="shared" si="325"/>
        <v>0.19808400769167836</v>
      </c>
      <c r="I453" s="81">
        <f t="shared" si="325"/>
        <v>0.22000000000000003</v>
      </c>
      <c r="J453" s="82">
        <f t="shared" si="325"/>
        <v>0.22</v>
      </c>
      <c r="K453" s="81">
        <f t="shared" si="325"/>
        <v>0.22</v>
      </c>
      <c r="L453" s="82">
        <f t="shared" si="325"/>
        <v>0.22</v>
      </c>
      <c r="M453" s="81">
        <f t="shared" si="325"/>
        <v>0</v>
      </c>
      <c r="N453" s="82">
        <f t="shared" si="325"/>
        <v>0</v>
      </c>
      <c r="O453" s="45">
        <f>IF(O452=0,0,+O454/O452)</f>
        <v>0.19680208071060662</v>
      </c>
      <c r="Q453" s="33"/>
      <c r="R453" s="47"/>
      <c r="S453" s="47"/>
      <c r="T453" s="47"/>
      <c r="U453" s="47"/>
      <c r="V453" s="41"/>
      <c r="AC453" s="124"/>
      <c r="AD453" s="15"/>
      <c r="AF453" s="47"/>
      <c r="AG453" s="33"/>
      <c r="AH453" s="47"/>
      <c r="AI453" s="58"/>
    </row>
    <row r="454" spans="1:35">
      <c r="A454" s="42"/>
      <c r="B454" s="35" t="s">
        <v>15</v>
      </c>
      <c r="C454" s="48">
        <f t="shared" ref="C454:N454" si="326">C76+C172+C360+C266</f>
        <v>1391.9970653105838</v>
      </c>
      <c r="D454" s="49">
        <f t="shared" si="326"/>
        <v>2748.5117014754696</v>
      </c>
      <c r="E454" s="48">
        <f t="shared" si="326"/>
        <v>2033.5056390454947</v>
      </c>
      <c r="F454" s="49">
        <f t="shared" si="326"/>
        <v>4189.4044164743254</v>
      </c>
      <c r="G454" s="48">
        <f t="shared" si="326"/>
        <v>6028.6298079279932</v>
      </c>
      <c r="H454" s="49">
        <f t="shared" si="326"/>
        <v>3553.2202981425889</v>
      </c>
      <c r="I454" s="48">
        <f t="shared" si="326"/>
        <v>2263.8000000000002</v>
      </c>
      <c r="J454" s="49">
        <f t="shared" si="326"/>
        <v>950.97405917263814</v>
      </c>
      <c r="K454" s="48">
        <f t="shared" si="326"/>
        <v>1137.5215117597925</v>
      </c>
      <c r="L454" s="49">
        <f t="shared" si="326"/>
        <v>679.80808748406378</v>
      </c>
      <c r="M454" s="48">
        <f t="shared" si="326"/>
        <v>0</v>
      </c>
      <c r="N454" s="49">
        <f t="shared" si="326"/>
        <v>0</v>
      </c>
      <c r="O454" s="50">
        <f>SUM(C454:N454)</f>
        <v>24977.372586792946</v>
      </c>
      <c r="Q454" s="33"/>
      <c r="R454" s="40"/>
      <c r="S454" s="40"/>
      <c r="T454" s="40"/>
      <c r="U454" s="40"/>
      <c r="V454" s="41"/>
      <c r="AC454" s="124"/>
      <c r="AD454" s="15"/>
      <c r="AF454" s="40"/>
      <c r="AG454" s="33"/>
      <c r="AH454" s="40"/>
      <c r="AI454" s="58"/>
    </row>
    <row r="455" spans="1:35" ht="13.5" thickBot="1">
      <c r="A455" s="51"/>
      <c r="B455" s="52" t="s">
        <v>59</v>
      </c>
      <c r="C455" s="53">
        <f t="shared" ref="C455:O455" si="327">C454/C$385</f>
        <v>7.9555418313249202</v>
      </c>
      <c r="D455" s="54">
        <f t="shared" si="327"/>
        <v>16.251362610350153</v>
      </c>
      <c r="E455" s="53">
        <f t="shared" si="327"/>
        <v>11.028704593403374</v>
      </c>
      <c r="F455" s="54">
        <f t="shared" si="327"/>
        <v>21.655816971860627</v>
      </c>
      <c r="G455" s="53">
        <f t="shared" si="327"/>
        <v>4.5588602205315851</v>
      </c>
      <c r="H455" s="54">
        <f t="shared" si="327"/>
        <v>6.9694274238188072</v>
      </c>
      <c r="I455" s="53" t="e">
        <f t="shared" si="327"/>
        <v>#DIV/0!</v>
      </c>
      <c r="J455" s="54" t="e">
        <f t="shared" si="327"/>
        <v>#DIV/0!</v>
      </c>
      <c r="K455" s="53" t="e">
        <f t="shared" si="327"/>
        <v>#DIV/0!</v>
      </c>
      <c r="L455" s="54" t="e">
        <f t="shared" si="327"/>
        <v>#DIV/0!</v>
      </c>
      <c r="M455" s="53" t="e">
        <f t="shared" si="327"/>
        <v>#DIV/0!</v>
      </c>
      <c r="N455" s="54" t="e">
        <f t="shared" si="327"/>
        <v>#DIV/0!</v>
      </c>
      <c r="O455" s="55">
        <f t="shared" si="327"/>
        <v>9.7790868318021946</v>
      </c>
      <c r="Q455" s="33"/>
      <c r="R455" s="57"/>
      <c r="S455" s="57"/>
      <c r="T455" s="57"/>
      <c r="U455" s="57"/>
      <c r="V455" s="41"/>
      <c r="AC455" s="124"/>
      <c r="AD455" s="15"/>
      <c r="AF455" s="57"/>
      <c r="AG455" s="33"/>
      <c r="AH455" s="57"/>
      <c r="AI455" s="58"/>
    </row>
    <row r="456" spans="1:35">
      <c r="A456" s="181" t="s">
        <v>75</v>
      </c>
      <c r="B456" s="29" t="s">
        <v>55</v>
      </c>
      <c r="C456" s="120">
        <f t="shared" ref="C456:O456" si="328">C457/C$385</f>
        <v>11.641862698031687</v>
      </c>
      <c r="D456" s="121">
        <f t="shared" si="328"/>
        <v>12.328159645232816</v>
      </c>
      <c r="E456" s="120">
        <f t="shared" si="328"/>
        <v>7.1047764707158452</v>
      </c>
      <c r="F456" s="121">
        <f t="shared" si="328"/>
        <v>9.5268125755993687</v>
      </c>
      <c r="G456" s="120">
        <f t="shared" si="328"/>
        <v>1.1093479209363515</v>
      </c>
      <c r="H456" s="121">
        <f t="shared" si="328"/>
        <v>5.3370774759234942</v>
      </c>
      <c r="I456" s="120" t="e">
        <f t="shared" si="328"/>
        <v>#DIV/0!</v>
      </c>
      <c r="J456" s="121" t="e">
        <f t="shared" si="328"/>
        <v>#DIV/0!</v>
      </c>
      <c r="K456" s="120" t="e">
        <f t="shared" si="328"/>
        <v>#DIV/0!</v>
      </c>
      <c r="L456" s="121" t="e">
        <f t="shared" si="328"/>
        <v>#DIV/0!</v>
      </c>
      <c r="M456" s="120" t="e">
        <f t="shared" si="328"/>
        <v>#DIV/0!</v>
      </c>
      <c r="N456" s="121" t="e">
        <f t="shared" si="328"/>
        <v>#DIV/0!</v>
      </c>
      <c r="O456" s="32">
        <f t="shared" si="328"/>
        <v>10.032252996481942</v>
      </c>
      <c r="P456" s="9"/>
      <c r="Q456" s="9"/>
      <c r="R456" s="9"/>
      <c r="S456" s="9"/>
      <c r="T456" s="9"/>
      <c r="U456" s="9"/>
      <c r="V456" s="70"/>
    </row>
    <row r="457" spans="1:35">
      <c r="A457" s="34" t="s">
        <v>71</v>
      </c>
      <c r="B457" s="35" t="s">
        <v>57</v>
      </c>
      <c r="C457" s="36">
        <f t="shared" ref="C457:N457" si="329">C79+C175+C363+C269</f>
        <v>2037</v>
      </c>
      <c r="D457" s="66">
        <f t="shared" si="329"/>
        <v>2085</v>
      </c>
      <c r="E457" s="65">
        <f t="shared" si="329"/>
        <v>1310</v>
      </c>
      <c r="F457" s="66">
        <f t="shared" si="329"/>
        <v>1843</v>
      </c>
      <c r="G457" s="65">
        <f t="shared" si="329"/>
        <v>1467</v>
      </c>
      <c r="H457" s="66">
        <f t="shared" si="329"/>
        <v>2721</v>
      </c>
      <c r="I457" s="65">
        <f t="shared" si="329"/>
        <v>2716</v>
      </c>
      <c r="J457" s="66">
        <f t="shared" si="329"/>
        <v>2289</v>
      </c>
      <c r="K457" s="65">
        <f t="shared" si="329"/>
        <v>2289</v>
      </c>
      <c r="L457" s="66">
        <f t="shared" si="329"/>
        <v>2289</v>
      </c>
      <c r="M457" s="65">
        <f t="shared" si="329"/>
        <v>2289</v>
      </c>
      <c r="N457" s="66">
        <f t="shared" si="329"/>
        <v>2289</v>
      </c>
      <c r="O457" s="67">
        <f>SUM(C457:N457)</f>
        <v>25624</v>
      </c>
      <c r="R457" s="15"/>
      <c r="S457" s="15"/>
      <c r="T457" s="15"/>
      <c r="U457" s="15"/>
      <c r="V457" s="71"/>
    </row>
    <row r="458" spans="1:35" ht="15.75">
      <c r="A458" s="182" t="s">
        <v>64</v>
      </c>
      <c r="B458" s="35" t="s">
        <v>58</v>
      </c>
      <c r="C458" s="81">
        <f t="shared" ref="C458:N458" si="330">IF(C457=0,0,C459/C457)</f>
        <v>1.2367992145311733</v>
      </c>
      <c r="D458" s="122">
        <f t="shared" si="330"/>
        <v>1.232</v>
      </c>
      <c r="E458" s="123">
        <f t="shared" si="330"/>
        <v>1.232</v>
      </c>
      <c r="F458" s="122">
        <f t="shared" si="330"/>
        <v>1.230602278893109</v>
      </c>
      <c r="G458" s="123">
        <f t="shared" si="330"/>
        <v>1.230602278893109</v>
      </c>
      <c r="H458" s="122">
        <f t="shared" si="330"/>
        <v>1.230602278893109</v>
      </c>
      <c r="I458" s="123">
        <f t="shared" si="330"/>
        <v>1.230602278893109</v>
      </c>
      <c r="J458" s="122">
        <f t="shared" si="330"/>
        <v>1.230602278893109</v>
      </c>
      <c r="K458" s="123">
        <f t="shared" si="330"/>
        <v>1.230602278893109</v>
      </c>
      <c r="L458" s="122">
        <f t="shared" si="330"/>
        <v>1.230602278893109</v>
      </c>
      <c r="M458" s="123">
        <f t="shared" si="330"/>
        <v>1.230602278893109</v>
      </c>
      <c r="N458" s="122">
        <f t="shared" si="330"/>
        <v>1.230602278893109</v>
      </c>
      <c r="O458" s="45">
        <f>IF(O457=0,0,+O459/O457)</f>
        <v>1.2312800973856408</v>
      </c>
      <c r="R458" s="72"/>
      <c r="S458" s="15"/>
      <c r="T458" s="72"/>
      <c r="U458" s="15"/>
      <c r="V458" s="15"/>
    </row>
    <row r="459" spans="1:35">
      <c r="A459" s="42"/>
      <c r="B459" s="35" t="s">
        <v>15</v>
      </c>
      <c r="C459" s="48">
        <f t="shared" ref="C459:N459" si="331">C81+C177+C365+C271</f>
        <v>2519.36</v>
      </c>
      <c r="D459" s="49">
        <f t="shared" si="331"/>
        <v>2568.7199999999998</v>
      </c>
      <c r="E459" s="48">
        <f t="shared" si="331"/>
        <v>1613.92</v>
      </c>
      <c r="F459" s="49">
        <f t="shared" si="331"/>
        <v>2268</v>
      </c>
      <c r="G459" s="48">
        <f t="shared" si="331"/>
        <v>1805.2935431361909</v>
      </c>
      <c r="H459" s="49">
        <f t="shared" si="331"/>
        <v>3348.4688008681496</v>
      </c>
      <c r="I459" s="48">
        <f t="shared" si="331"/>
        <v>3342.3157894736842</v>
      </c>
      <c r="J459" s="49">
        <f t="shared" si="331"/>
        <v>2816.8486163863267</v>
      </c>
      <c r="K459" s="48">
        <f t="shared" si="331"/>
        <v>2816.8486163863267</v>
      </c>
      <c r="L459" s="49">
        <f t="shared" si="331"/>
        <v>2816.8486163863267</v>
      </c>
      <c r="M459" s="48">
        <f t="shared" si="331"/>
        <v>2816.8486163863267</v>
      </c>
      <c r="N459" s="49">
        <f t="shared" si="331"/>
        <v>2816.8486163863267</v>
      </c>
      <c r="O459" s="50">
        <f>SUM(C459:N459)</f>
        <v>31550.321215409662</v>
      </c>
      <c r="R459" s="15"/>
      <c r="S459" s="15"/>
      <c r="T459" s="15"/>
      <c r="U459" s="15"/>
      <c r="V459" s="15"/>
    </row>
    <row r="460" spans="1:35" ht="13.5" thickBot="1">
      <c r="A460" s="51"/>
      <c r="B460" s="52" t="s">
        <v>59</v>
      </c>
      <c r="C460" s="53">
        <f t="shared" ref="C460:O460" si="332">C459/C$385</f>
        <v>14.398646640605357</v>
      </c>
      <c r="D460" s="54">
        <f t="shared" si="332"/>
        <v>15.188292682926829</v>
      </c>
      <c r="E460" s="53">
        <f t="shared" si="332"/>
        <v>8.7530846119219223</v>
      </c>
      <c r="F460" s="54">
        <f t="shared" si="332"/>
        <v>11.723717266120113</v>
      </c>
      <c r="G460" s="53">
        <f t="shared" si="332"/>
        <v>1.3651660795896066</v>
      </c>
      <c r="H460" s="54">
        <f t="shared" si="332"/>
        <v>6.5678197045005344</v>
      </c>
      <c r="I460" s="53" t="e">
        <f t="shared" si="332"/>
        <v>#DIV/0!</v>
      </c>
      <c r="J460" s="54" t="e">
        <f t="shared" si="332"/>
        <v>#DIV/0!</v>
      </c>
      <c r="K460" s="53" t="e">
        <f t="shared" si="332"/>
        <v>#DIV/0!</v>
      </c>
      <c r="L460" s="54" t="e">
        <f t="shared" si="332"/>
        <v>#DIV/0!</v>
      </c>
      <c r="M460" s="53" t="e">
        <f t="shared" si="332"/>
        <v>#DIV/0!</v>
      </c>
      <c r="N460" s="54" t="e">
        <f t="shared" si="332"/>
        <v>#DIV/0!</v>
      </c>
      <c r="O460" s="55">
        <f t="shared" si="332"/>
        <v>12.352513446505673</v>
      </c>
      <c r="S460" s="8"/>
      <c r="V460" s="41"/>
    </row>
    <row r="461" spans="1:35">
      <c r="A461" s="181" t="s">
        <v>76</v>
      </c>
      <c r="B461" s="29" t="s">
        <v>55</v>
      </c>
      <c r="C461" s="120">
        <f t="shared" ref="C461:O461" si="333">C462/C$385</f>
        <v>25.569805454587023</v>
      </c>
      <c r="D461" s="121">
        <f t="shared" si="333"/>
        <v>67.470805617147079</v>
      </c>
      <c r="E461" s="120">
        <f t="shared" si="333"/>
        <v>26.450377746321511</v>
      </c>
      <c r="F461" s="121">
        <f t="shared" si="333"/>
        <v>50.838959132403573</v>
      </c>
      <c r="G461" s="120">
        <f t="shared" si="333"/>
        <v>3.9193935066210699</v>
      </c>
      <c r="H461" s="121">
        <f t="shared" si="333"/>
        <v>11.566610024079694</v>
      </c>
      <c r="I461" s="120" t="e">
        <f t="shared" si="333"/>
        <v>#DIV/0!</v>
      </c>
      <c r="J461" s="121" t="e">
        <f t="shared" si="333"/>
        <v>#DIV/0!</v>
      </c>
      <c r="K461" s="120" t="e">
        <f t="shared" si="333"/>
        <v>#DIV/0!</v>
      </c>
      <c r="L461" s="121" t="e">
        <f t="shared" si="333"/>
        <v>#DIV/0!</v>
      </c>
      <c r="M461" s="120" t="e">
        <f t="shared" si="333"/>
        <v>#DIV/0!</v>
      </c>
      <c r="N461" s="121" t="e">
        <f t="shared" si="333"/>
        <v>#DIV/0!</v>
      </c>
      <c r="O461" s="32">
        <f t="shared" si="333"/>
        <v>31.634249526332518</v>
      </c>
    </row>
    <row r="462" spans="1:35">
      <c r="A462" s="34" t="s">
        <v>64</v>
      </c>
      <c r="B462" s="35" t="s">
        <v>57</v>
      </c>
      <c r="C462" s="36">
        <f t="shared" ref="C462:N462" si="334">C84+C180+C368+C274</f>
        <v>4474</v>
      </c>
      <c r="D462" s="66">
        <f t="shared" si="334"/>
        <v>11411</v>
      </c>
      <c r="E462" s="65">
        <f t="shared" si="334"/>
        <v>4877</v>
      </c>
      <c r="F462" s="66">
        <f t="shared" si="334"/>
        <v>9835</v>
      </c>
      <c r="G462" s="65">
        <f t="shared" si="334"/>
        <v>5183</v>
      </c>
      <c r="H462" s="66">
        <f t="shared" si="334"/>
        <v>5897</v>
      </c>
      <c r="I462" s="65">
        <f t="shared" si="334"/>
        <v>7567</v>
      </c>
      <c r="J462" s="66">
        <f t="shared" si="334"/>
        <v>6311</v>
      </c>
      <c r="K462" s="65">
        <f t="shared" si="334"/>
        <v>6311</v>
      </c>
      <c r="L462" s="66">
        <f t="shared" si="334"/>
        <v>6311</v>
      </c>
      <c r="M462" s="65">
        <f t="shared" si="334"/>
        <v>6311</v>
      </c>
      <c r="N462" s="66">
        <f t="shared" si="334"/>
        <v>6311</v>
      </c>
      <c r="O462" s="67">
        <f>SUM(C462:N462)</f>
        <v>80799</v>
      </c>
    </row>
    <row r="463" spans="1:35">
      <c r="A463" s="103"/>
      <c r="B463" s="35" t="s">
        <v>58</v>
      </c>
      <c r="C463" s="81">
        <f t="shared" ref="C463:N463" si="335">IF(C462=0,0,C464/C462)</f>
        <v>0.27989941886455072</v>
      </c>
      <c r="D463" s="82">
        <f t="shared" si="335"/>
        <v>0.27999999999999997</v>
      </c>
      <c r="E463" s="81">
        <f t="shared" si="335"/>
        <v>0.27999999999999997</v>
      </c>
      <c r="F463" s="82">
        <f t="shared" si="335"/>
        <v>0.28000000000000003</v>
      </c>
      <c r="G463" s="81">
        <f t="shared" si="335"/>
        <v>0.28000000000000003</v>
      </c>
      <c r="H463" s="82">
        <f t="shared" si="335"/>
        <v>0.28000000000000003</v>
      </c>
      <c r="I463" s="81">
        <f t="shared" si="335"/>
        <v>0.28000000000000003</v>
      </c>
      <c r="J463" s="82">
        <f t="shared" si="335"/>
        <v>0.28000000000000003</v>
      </c>
      <c r="K463" s="81">
        <f t="shared" si="335"/>
        <v>0.28000000000000003</v>
      </c>
      <c r="L463" s="82">
        <f t="shared" si="335"/>
        <v>0.28000000000000003</v>
      </c>
      <c r="M463" s="81">
        <f t="shared" si="335"/>
        <v>0.28000000000000003</v>
      </c>
      <c r="N463" s="82">
        <f t="shared" si="335"/>
        <v>0.28000000000000003</v>
      </c>
      <c r="O463" s="45">
        <f>IF(O462=0,0,+O464/O462)</f>
        <v>0.27999443062414142</v>
      </c>
    </row>
    <row r="464" spans="1:35">
      <c r="A464" s="42"/>
      <c r="B464" s="35" t="s">
        <v>15</v>
      </c>
      <c r="C464" s="48">
        <f t="shared" ref="C464:N464" si="336">C86+C182+C370+C276</f>
        <v>1252.27</v>
      </c>
      <c r="D464" s="49">
        <f t="shared" si="336"/>
        <v>3195.08</v>
      </c>
      <c r="E464" s="48">
        <f t="shared" si="336"/>
        <v>1365.56</v>
      </c>
      <c r="F464" s="49">
        <f t="shared" si="336"/>
        <v>2753.8</v>
      </c>
      <c r="G464" s="48">
        <f t="shared" si="336"/>
        <v>1451.2400000000002</v>
      </c>
      <c r="H464" s="49">
        <f t="shared" si="336"/>
        <v>1651.16</v>
      </c>
      <c r="I464" s="48">
        <f t="shared" si="336"/>
        <v>2118.7600000000002</v>
      </c>
      <c r="J464" s="49">
        <f t="shared" si="336"/>
        <v>1767.0800000000002</v>
      </c>
      <c r="K464" s="48">
        <f t="shared" si="336"/>
        <v>1767.0800000000002</v>
      </c>
      <c r="L464" s="49">
        <f t="shared" si="336"/>
        <v>1767.0800000000002</v>
      </c>
      <c r="M464" s="48">
        <f t="shared" si="336"/>
        <v>1767.0800000000002</v>
      </c>
      <c r="N464" s="49">
        <f t="shared" si="336"/>
        <v>1767.0800000000002</v>
      </c>
      <c r="O464" s="50">
        <f>SUM(C464:N464)</f>
        <v>22623.270000000004</v>
      </c>
    </row>
    <row r="465" spans="1:22" ht="13.5" thickBot="1">
      <c r="A465" s="51"/>
      <c r="B465" s="52" t="s">
        <v>59</v>
      </c>
      <c r="C465" s="53">
        <f t="shared" ref="C465:O465" si="337">C464/C$385</f>
        <v>7.1569736872185272</v>
      </c>
      <c r="D465" s="54">
        <f t="shared" si="337"/>
        <v>18.891825572801181</v>
      </c>
      <c r="E465" s="53">
        <f t="shared" si="337"/>
        <v>7.4061057689700229</v>
      </c>
      <c r="F465" s="54">
        <f t="shared" si="337"/>
        <v>14.234908557073002</v>
      </c>
      <c r="G465" s="53">
        <f t="shared" si="337"/>
        <v>1.0974301818538998</v>
      </c>
      <c r="H465" s="54">
        <f t="shared" si="337"/>
        <v>3.2386508067423141</v>
      </c>
      <c r="I465" s="53" t="e">
        <f t="shared" si="337"/>
        <v>#DIV/0!</v>
      </c>
      <c r="J465" s="54" t="e">
        <f t="shared" si="337"/>
        <v>#DIV/0!</v>
      </c>
      <c r="K465" s="53" t="e">
        <f t="shared" si="337"/>
        <v>#DIV/0!</v>
      </c>
      <c r="L465" s="54" t="e">
        <f t="shared" si="337"/>
        <v>#DIV/0!</v>
      </c>
      <c r="M465" s="53" t="e">
        <f t="shared" si="337"/>
        <v>#DIV/0!</v>
      </c>
      <c r="N465" s="54" t="e">
        <f t="shared" si="337"/>
        <v>#DIV/0!</v>
      </c>
      <c r="O465" s="55">
        <f t="shared" si="337"/>
        <v>8.85741368434749</v>
      </c>
    </row>
    <row r="466" spans="1:22">
      <c r="A466" s="34" t="s">
        <v>91</v>
      </c>
      <c r="B466" s="35" t="s">
        <v>15</v>
      </c>
      <c r="C466" s="48">
        <f t="shared" ref="C466:N466" si="338">C95</f>
        <v>0</v>
      </c>
      <c r="D466" s="49">
        <f t="shared" si="338"/>
        <v>0</v>
      </c>
      <c r="E466" s="48">
        <f t="shared" si="338"/>
        <v>0</v>
      </c>
      <c r="F466" s="49">
        <f t="shared" si="338"/>
        <v>0</v>
      </c>
      <c r="G466" s="48">
        <f t="shared" si="338"/>
        <v>0</v>
      </c>
      <c r="H466" s="49">
        <f t="shared" si="338"/>
        <v>0</v>
      </c>
      <c r="I466" s="48">
        <f t="shared" si="338"/>
        <v>0</v>
      </c>
      <c r="J466" s="49">
        <f t="shared" si="338"/>
        <v>0</v>
      </c>
      <c r="K466" s="48">
        <f t="shared" si="338"/>
        <v>0</v>
      </c>
      <c r="L466" s="49">
        <f t="shared" si="338"/>
        <v>0</v>
      </c>
      <c r="M466" s="48">
        <f t="shared" si="338"/>
        <v>0</v>
      </c>
      <c r="N466" s="49">
        <f t="shared" si="338"/>
        <v>0</v>
      </c>
      <c r="O466" s="50">
        <f>SUM(C466:N466)</f>
        <v>0</v>
      </c>
    </row>
    <row r="467" spans="1:22" ht="13.5" thickBot="1">
      <c r="A467" s="130"/>
      <c r="B467" s="91"/>
      <c r="C467" s="92"/>
      <c r="D467" s="94"/>
      <c r="E467" s="92"/>
      <c r="F467" s="94"/>
      <c r="G467" s="92"/>
      <c r="H467" s="94"/>
      <c r="I467" s="92"/>
      <c r="J467" s="94"/>
      <c r="K467" s="92"/>
      <c r="L467" s="94"/>
      <c r="M467" s="92"/>
      <c r="N467" s="94"/>
      <c r="O467" s="95"/>
    </row>
    <row r="468" spans="1:22" ht="13.5" thickBot="1">
      <c r="A468" s="10" t="s">
        <v>1</v>
      </c>
      <c r="B468" s="73" t="s">
        <v>1</v>
      </c>
      <c r="C468" s="74" t="s">
        <v>1</v>
      </c>
      <c r="D468" s="75" t="s">
        <v>1</v>
      </c>
      <c r="E468" s="74" t="s">
        <v>1</v>
      </c>
      <c r="F468" s="75" t="s">
        <v>1</v>
      </c>
      <c r="G468" s="74" t="s">
        <v>1</v>
      </c>
      <c r="H468" s="75" t="s">
        <v>1</v>
      </c>
      <c r="I468" s="74" t="s">
        <v>1</v>
      </c>
      <c r="J468" s="75" t="s">
        <v>1</v>
      </c>
      <c r="K468" s="74" t="s">
        <v>1</v>
      </c>
      <c r="L468" s="75" t="s">
        <v>1</v>
      </c>
      <c r="M468" s="74" t="s">
        <v>1</v>
      </c>
      <c r="N468" s="75" t="s">
        <v>1</v>
      </c>
      <c r="O468" s="6" t="s">
        <v>1</v>
      </c>
    </row>
    <row r="469" spans="1:22" ht="15.75">
      <c r="A469" s="131" t="s">
        <v>92</v>
      </c>
      <c r="B469" s="29" t="s">
        <v>55</v>
      </c>
      <c r="C469" s="78">
        <f t="shared" ref="C469:N469" si="339">C$470/(C$385-C$197-C$291)</f>
        <v>-17929.766100838482</v>
      </c>
      <c r="D469" s="79">
        <f t="shared" si="339"/>
        <v>-18732.08622917008</v>
      </c>
      <c r="E469" s="78">
        <f t="shared" si="339"/>
        <v>-17418.460115861319</v>
      </c>
      <c r="F469" s="79">
        <f t="shared" si="339"/>
        <v>-18333.109188868719</v>
      </c>
      <c r="G469" s="78">
        <f t="shared" si="339"/>
        <v>506.82951148626876</v>
      </c>
      <c r="H469" s="79">
        <f t="shared" si="339"/>
        <v>742.27242939772486</v>
      </c>
      <c r="I469" s="78" t="e">
        <f t="shared" si="339"/>
        <v>#DIV/0!</v>
      </c>
      <c r="J469" s="79" t="e">
        <f t="shared" si="339"/>
        <v>#DIV/0!</v>
      </c>
      <c r="K469" s="78" t="e">
        <f t="shared" si="339"/>
        <v>#DIV/0!</v>
      </c>
      <c r="L469" s="79" t="e">
        <f t="shared" si="339"/>
        <v>#DIV/0!</v>
      </c>
      <c r="M469" s="78" t="e">
        <f t="shared" si="339"/>
        <v>#DIV/0!</v>
      </c>
      <c r="N469" s="79" t="e">
        <f t="shared" si="339"/>
        <v>#DIV/0!</v>
      </c>
      <c r="O469" s="132">
        <f>O470/(O$385-O$197-O$291)</f>
        <v>2556.4978594882691</v>
      </c>
      <c r="Q469" s="33"/>
      <c r="R469" s="57"/>
      <c r="S469" s="57"/>
      <c r="T469" s="57"/>
      <c r="U469" s="57"/>
      <c r="V469" s="41"/>
    </row>
    <row r="470" spans="1:22">
      <c r="A470" s="34" t="s">
        <v>93</v>
      </c>
      <c r="B470" s="35" t="s">
        <v>57</v>
      </c>
      <c r="C470" s="36">
        <f t="shared" ref="C470:N470" si="340">C$387+C$392+C$397+C$402+C$412+C$417+C$422+C$427+C$432+C$437+C442+C$452+C$462+C$407+C$447+C$457-C$281-C$375</f>
        <v>470251.03985453467</v>
      </c>
      <c r="D470" s="37">
        <f t="shared" si="340"/>
        <v>432145.91372769093</v>
      </c>
      <c r="E470" s="36">
        <f t="shared" si="340"/>
        <v>411546.77582508093</v>
      </c>
      <c r="F470" s="37">
        <f t="shared" si="340"/>
        <v>427141.73600826308</v>
      </c>
      <c r="G470" s="36">
        <f t="shared" si="340"/>
        <v>554765.95351215161</v>
      </c>
      <c r="H470" s="37">
        <f t="shared" si="340"/>
        <v>369941.15608753206</v>
      </c>
      <c r="I470" s="36">
        <f t="shared" si="340"/>
        <v>193440</v>
      </c>
      <c r="J470" s="37">
        <f t="shared" si="340"/>
        <v>193440.00000000003</v>
      </c>
      <c r="K470" s="36">
        <f t="shared" si="340"/>
        <v>193440</v>
      </c>
      <c r="L470" s="37">
        <f t="shared" si="340"/>
        <v>193440.00000000003</v>
      </c>
      <c r="M470" s="36">
        <f t="shared" si="340"/>
        <v>193439.99999999997</v>
      </c>
      <c r="N470" s="37">
        <f t="shared" si="340"/>
        <v>193440</v>
      </c>
      <c r="O470" s="38">
        <f>SUM(C470:N470)</f>
        <v>3826432.5750152534</v>
      </c>
      <c r="Q470" s="33"/>
      <c r="R470" s="47"/>
      <c r="S470" s="47"/>
      <c r="T470" s="68"/>
      <c r="U470" s="47"/>
      <c r="V470" s="41"/>
    </row>
    <row r="471" spans="1:22">
      <c r="A471" s="42"/>
      <c r="B471" s="35" t="s">
        <v>58</v>
      </c>
      <c r="C471" s="133">
        <f t="shared" ref="C471:N471" si="341">C472/C470</f>
        <v>0.20388507424553798</v>
      </c>
      <c r="D471" s="134">
        <f t="shared" si="341"/>
        <v>0.20888390945359647</v>
      </c>
      <c r="E471" s="133">
        <f t="shared" si="341"/>
        <v>0.21534632104408152</v>
      </c>
      <c r="F471" s="134">
        <f t="shared" si="341"/>
        <v>0.20402970287915739</v>
      </c>
      <c r="G471" s="133">
        <f t="shared" si="341"/>
        <v>0.20189073752497552</v>
      </c>
      <c r="H471" s="134">
        <f t="shared" si="341"/>
        <v>0.20170446598464298</v>
      </c>
      <c r="I471" s="133">
        <f t="shared" si="341"/>
        <v>0.20843408808933006</v>
      </c>
      <c r="J471" s="134">
        <f t="shared" si="341"/>
        <v>0.20843408808933003</v>
      </c>
      <c r="K471" s="133">
        <f t="shared" si="341"/>
        <v>0.20843408808933006</v>
      </c>
      <c r="L471" s="134">
        <f t="shared" si="341"/>
        <v>0.20843408808933003</v>
      </c>
      <c r="M471" s="133">
        <f t="shared" si="341"/>
        <v>0.20843408808933003</v>
      </c>
      <c r="N471" s="134">
        <f t="shared" si="341"/>
        <v>0.20843408808933006</v>
      </c>
      <c r="O471" s="135">
        <f>IF(O470=0,0,O472/O470)</f>
        <v>0.20657831989230815</v>
      </c>
      <c r="Q471" s="33"/>
      <c r="R471" s="40"/>
      <c r="S471" s="40"/>
      <c r="T471" s="40"/>
      <c r="U471" s="39"/>
      <c r="V471" s="41"/>
    </row>
    <row r="472" spans="1:22" s="140" customFormat="1">
      <c r="A472" s="136" t="s">
        <v>94</v>
      </c>
      <c r="B472" s="137" t="s">
        <v>15</v>
      </c>
      <c r="C472" s="138">
        <f t="shared" ref="C472:N472" si="342">C$389+C$394+C$399+C$404+C$414+C$419+C$424+C$429+C$434+C$439+C444+C$454+C$464+C$449+C$409+C$459-C$283-C$377</f>
        <v>95877.168174783234</v>
      </c>
      <c r="D472" s="138">
        <f t="shared" si="342"/>
        <v>90268.327913836707</v>
      </c>
      <c r="E472" s="138">
        <f t="shared" si="342"/>
        <v>88625.084111484524</v>
      </c>
      <c r="F472" s="138">
        <f t="shared" si="342"/>
        <v>87149.601485053397</v>
      </c>
      <c r="G472" s="138">
        <f t="shared" si="342"/>
        <v>112002.10750831457</v>
      </c>
      <c r="H472" s="138">
        <f t="shared" si="342"/>
        <v>74618.783334377105</v>
      </c>
      <c r="I472" s="138">
        <f t="shared" si="342"/>
        <v>40319.490000000005</v>
      </c>
      <c r="J472" s="138">
        <f t="shared" si="342"/>
        <v>40319.490000000005</v>
      </c>
      <c r="K472" s="138">
        <f t="shared" si="342"/>
        <v>40319.490000000005</v>
      </c>
      <c r="L472" s="138">
        <f t="shared" si="342"/>
        <v>40319.490000000005</v>
      </c>
      <c r="M472" s="138">
        <f t="shared" si="342"/>
        <v>40319.49</v>
      </c>
      <c r="N472" s="138">
        <f t="shared" si="342"/>
        <v>40319.490000000005</v>
      </c>
      <c r="O472" s="139">
        <f>SUM(C472:N472)</f>
        <v>790458.01252784941</v>
      </c>
      <c r="Q472" s="141"/>
      <c r="R472" s="142"/>
      <c r="S472" s="142"/>
      <c r="T472" s="142"/>
      <c r="U472" s="142"/>
      <c r="V472" s="143"/>
    </row>
    <row r="473" spans="1:22" ht="13.5" thickBot="1">
      <c r="A473" s="51"/>
      <c r="B473" s="52" t="s">
        <v>59</v>
      </c>
      <c r="C473" s="53">
        <f t="shared" ref="C473:O473" si="343">C$472/(C$385-C$197-C$291)</f>
        <v>-3655.6116926745835</v>
      </c>
      <c r="D473" s="54">
        <f t="shared" si="343"/>
        <v>-3912.8314037709247</v>
      </c>
      <c r="E473" s="53">
        <f t="shared" si="343"/>
        <v>-3751.0013042038013</v>
      </c>
      <c r="F473" s="54">
        <f t="shared" si="343"/>
        <v>-3740.4988206560352</v>
      </c>
      <c r="G473" s="53">
        <f t="shared" si="343"/>
        <v>102.32418387338585</v>
      </c>
      <c r="H473" s="54">
        <f t="shared" si="343"/>
        <v>149.71966398679169</v>
      </c>
      <c r="I473" s="53" t="e">
        <f t="shared" si="343"/>
        <v>#DIV/0!</v>
      </c>
      <c r="J473" s="54" t="e">
        <f t="shared" si="343"/>
        <v>#DIV/0!</v>
      </c>
      <c r="K473" s="53" t="e">
        <f t="shared" si="343"/>
        <v>#DIV/0!</v>
      </c>
      <c r="L473" s="54" t="e">
        <f t="shared" si="343"/>
        <v>#DIV/0!</v>
      </c>
      <c r="M473" s="53" t="e">
        <f t="shared" si="343"/>
        <v>#DIV/0!</v>
      </c>
      <c r="N473" s="54" t="e">
        <f t="shared" si="343"/>
        <v>#DIV/0!</v>
      </c>
      <c r="O473" s="55">
        <f t="shared" si="343"/>
        <v>528.11703262136871</v>
      </c>
      <c r="P473" s="9"/>
      <c r="Q473" s="9"/>
      <c r="R473" s="9"/>
      <c r="S473" s="9"/>
      <c r="T473" s="9"/>
      <c r="U473" s="9"/>
      <c r="V473" s="70"/>
    </row>
    <row r="474" spans="1:22" ht="31.5">
      <c r="A474" s="131" t="s">
        <v>96</v>
      </c>
      <c r="B474" s="29" t="s">
        <v>55</v>
      </c>
      <c r="C474" s="78">
        <f>C$475/C$385</f>
        <v>3644.4862026754836</v>
      </c>
      <c r="D474" s="79">
        <f t="shared" ref="D474:N474" si="344">D475/D385</f>
        <v>3338.9263191585569</v>
      </c>
      <c r="E474" s="78">
        <f t="shared" si="344"/>
        <v>3139.4205313129778</v>
      </c>
      <c r="F474" s="79">
        <f t="shared" si="344"/>
        <v>2926.5341425261981</v>
      </c>
      <c r="G474" s="78">
        <f t="shared" si="344"/>
        <v>565.66218224571571</v>
      </c>
      <c r="H474" s="79">
        <f t="shared" si="344"/>
        <v>844.78847033316742</v>
      </c>
      <c r="I474" s="78" t="e">
        <f t="shared" si="344"/>
        <v>#DIV/0!</v>
      </c>
      <c r="J474" s="79" t="e">
        <f t="shared" si="344"/>
        <v>#DIV/0!</v>
      </c>
      <c r="K474" s="78" t="e">
        <f t="shared" si="344"/>
        <v>#DIV/0!</v>
      </c>
      <c r="L474" s="79" t="e">
        <f t="shared" si="344"/>
        <v>#DIV/0!</v>
      </c>
      <c r="M474" s="78" t="e">
        <f t="shared" si="344"/>
        <v>#DIV/0!</v>
      </c>
      <c r="N474" s="79" t="e">
        <f t="shared" si="344"/>
        <v>#DIV/0!</v>
      </c>
      <c r="O474" s="132">
        <f>O$475/O$385</f>
        <v>1967.6493991566304</v>
      </c>
      <c r="Q474" s="33"/>
      <c r="R474" s="57"/>
      <c r="S474" s="57"/>
      <c r="T474" s="57"/>
      <c r="U474" s="57"/>
      <c r="V474" s="41"/>
    </row>
    <row r="475" spans="1:22">
      <c r="A475" s="34" t="s">
        <v>95</v>
      </c>
      <c r="B475" s="35" t="s">
        <v>57</v>
      </c>
      <c r="C475" s="36">
        <f t="shared" ref="C475:N475" si="345">C$387+C$392+C$397+C$402+C$412+C$417+C$422+C$427+C$432+C$437+C$442+C$452+C$462+C447+C407+C457</f>
        <v>637683.03985453467</v>
      </c>
      <c r="D475" s="37">
        <f t="shared" si="345"/>
        <v>564695.91372769093</v>
      </c>
      <c r="E475" s="36">
        <f t="shared" si="345"/>
        <v>578855.77582508093</v>
      </c>
      <c r="F475" s="37">
        <f t="shared" si="345"/>
        <v>566149.73600826308</v>
      </c>
      <c r="G475" s="36">
        <f t="shared" si="345"/>
        <v>748030.80773256882</v>
      </c>
      <c r="H475" s="37">
        <f t="shared" si="345"/>
        <v>430698.15608753206</v>
      </c>
      <c r="I475" s="36">
        <f t="shared" si="345"/>
        <v>253619</v>
      </c>
      <c r="J475" s="37">
        <f t="shared" si="345"/>
        <v>244400.02069403761</v>
      </c>
      <c r="K475" s="36">
        <f t="shared" si="345"/>
        <v>245250.75455704451</v>
      </c>
      <c r="L475" s="37">
        <f t="shared" si="345"/>
        <v>246303.99980177209</v>
      </c>
      <c r="M475" s="36">
        <f t="shared" si="345"/>
        <v>255141.07096799975</v>
      </c>
      <c r="N475" s="37">
        <f t="shared" si="345"/>
        <v>254867.17138643659</v>
      </c>
      <c r="O475" s="38">
        <f>SUM(C475:N475)</f>
        <v>5025695.4466429604</v>
      </c>
      <c r="Q475" s="33"/>
      <c r="R475" s="47"/>
      <c r="S475" s="47"/>
      <c r="T475" s="68"/>
      <c r="U475" s="47"/>
      <c r="V475" s="41"/>
    </row>
    <row r="476" spans="1:22">
      <c r="A476" s="42"/>
      <c r="B476" s="35" t="s">
        <v>58</v>
      </c>
      <c r="C476" s="133">
        <f t="shared" ref="C476:N476" si="346">C477/C475</f>
        <v>0.21080249869190137</v>
      </c>
      <c r="D476" s="134">
        <f t="shared" si="346"/>
        <v>0.21631027415711024</v>
      </c>
      <c r="E476" s="133">
        <f t="shared" si="346"/>
        <v>0.21407542135146698</v>
      </c>
      <c r="F476" s="134">
        <f t="shared" si="346"/>
        <v>0.21201205944446741</v>
      </c>
      <c r="G476" s="133">
        <f t="shared" si="346"/>
        <v>0.20220398009955207</v>
      </c>
      <c r="H476" s="134">
        <f t="shared" si="346"/>
        <v>0.22253595017107511</v>
      </c>
      <c r="I476" s="133">
        <f t="shared" si="346"/>
        <v>0.23694302788386337</v>
      </c>
      <c r="J476" s="134">
        <f t="shared" si="346"/>
        <v>0.23289340072226394</v>
      </c>
      <c r="K476" s="133">
        <f t="shared" si="346"/>
        <v>0.23283882664936817</v>
      </c>
      <c r="L476" s="134">
        <f t="shared" si="346"/>
        <v>0.23249359250907284</v>
      </c>
      <c r="M476" s="133">
        <f t="shared" si="346"/>
        <v>0.23134527851005782</v>
      </c>
      <c r="N476" s="134">
        <f t="shared" si="346"/>
        <v>0.23072465815293208</v>
      </c>
      <c r="O476" s="135">
        <f>IF(O475=0,0,O477/O475)</f>
        <v>0.21824540341563795</v>
      </c>
      <c r="Q476" s="33"/>
      <c r="R476" s="40"/>
      <c r="S476" s="40"/>
      <c r="T476" s="40"/>
      <c r="U476" s="39"/>
      <c r="V476" s="41"/>
    </row>
    <row r="477" spans="1:22">
      <c r="A477" s="34" t="s">
        <v>94</v>
      </c>
      <c r="B477" s="35" t="s">
        <v>15</v>
      </c>
      <c r="C477" s="144">
        <f t="shared" ref="C477:N477" si="347">C$389+C$394+C$399+C$404+C$414+C$419+C$424+C$429+C$434+C$439+C444+C$454+C$464+C$466+C449+C409+C459</f>
        <v>134425.17817478324</v>
      </c>
      <c r="D477" s="145">
        <f t="shared" si="347"/>
        <v>122149.5279138367</v>
      </c>
      <c r="E477" s="144">
        <f t="shared" si="347"/>
        <v>123918.79411148452</v>
      </c>
      <c r="F477" s="145">
        <f t="shared" si="347"/>
        <v>120030.5714850534</v>
      </c>
      <c r="G477" s="144">
        <f t="shared" si="347"/>
        <v>151254.80656060821</v>
      </c>
      <c r="H477" s="145">
        <f t="shared" si="347"/>
        <v>95845.823401868969</v>
      </c>
      <c r="I477" s="144">
        <f t="shared" si="347"/>
        <v>60093.253788877548</v>
      </c>
      <c r="J477" s="145">
        <f t="shared" si="347"/>
        <v>56919.1519560261</v>
      </c>
      <c r="K477" s="144">
        <f t="shared" si="347"/>
        <v>57103.897925934427</v>
      </c>
      <c r="L477" s="145">
        <f t="shared" si="347"/>
        <v>57264.101763267958</v>
      </c>
      <c r="M477" s="144">
        <f t="shared" si="347"/>
        <v>59025.682122446327</v>
      </c>
      <c r="N477" s="145">
        <f t="shared" si="347"/>
        <v>58804.140992540335</v>
      </c>
      <c r="O477" s="146">
        <f>SUM(C477:N477)</f>
        <v>1096834.9301967276</v>
      </c>
      <c r="Q477" s="33"/>
      <c r="R477" s="57"/>
      <c r="S477" s="57"/>
      <c r="T477" s="57"/>
      <c r="U477" s="57"/>
      <c r="V477" s="41"/>
    </row>
    <row r="478" spans="1:22" ht="13.5" thickBot="1">
      <c r="A478" s="51"/>
      <c r="B478" s="52" t="s">
        <v>59</v>
      </c>
      <c r="C478" s="53">
        <f t="shared" ref="C478:N478" si="348">C477/C$385</f>
        <v>768.26679797215127</v>
      </c>
      <c r="D478" s="54">
        <f t="shared" si="348"/>
        <v>722.24406748757849</v>
      </c>
      <c r="E478" s="53">
        <f t="shared" si="348"/>
        <v>672.07277304027207</v>
      </c>
      <c r="F478" s="54">
        <f t="shared" si="348"/>
        <v>620.4605305915278</v>
      </c>
      <c r="G478" s="53">
        <f t="shared" si="348"/>
        <v>114.37914464188189</v>
      </c>
      <c r="H478" s="54">
        <f t="shared" si="348"/>
        <v>187.99580493916054</v>
      </c>
      <c r="I478" s="53" t="e">
        <f t="shared" si="348"/>
        <v>#DIV/0!</v>
      </c>
      <c r="J478" s="54" t="e">
        <f t="shared" si="348"/>
        <v>#DIV/0!</v>
      </c>
      <c r="K478" s="53" t="e">
        <f t="shared" si="348"/>
        <v>#DIV/0!</v>
      </c>
      <c r="L478" s="54" t="e">
        <f t="shared" si="348"/>
        <v>#DIV/0!</v>
      </c>
      <c r="M478" s="53" t="e">
        <f t="shared" si="348"/>
        <v>#DIV/0!</v>
      </c>
      <c r="N478" s="54" t="e">
        <f t="shared" si="348"/>
        <v>#DIV/0!</v>
      </c>
      <c r="O478" s="55">
        <f>O$477/O$385</f>
        <v>429.43043689947638</v>
      </c>
      <c r="P478" s="9"/>
      <c r="Q478" s="9"/>
      <c r="R478" s="9"/>
      <c r="S478" s="9"/>
      <c r="T478" s="9"/>
      <c r="U478" s="9"/>
      <c r="V478" s="70"/>
    </row>
    <row r="479" spans="1:22" ht="13.5" thickBot="1">
      <c r="A479" s="148" t="s">
        <v>1</v>
      </c>
      <c r="B479" s="73" t="s">
        <v>1</v>
      </c>
      <c r="C479" s="74" t="s">
        <v>1</v>
      </c>
      <c r="D479" s="75" t="s">
        <v>1</v>
      </c>
      <c r="E479" s="74" t="s">
        <v>1</v>
      </c>
      <c r="F479" s="75" t="s">
        <v>1</v>
      </c>
      <c r="G479" s="74" t="s">
        <v>1</v>
      </c>
      <c r="H479" s="75" t="s">
        <v>1</v>
      </c>
      <c r="I479" s="74" t="s">
        <v>1</v>
      </c>
      <c r="J479" s="75" t="s">
        <v>1</v>
      </c>
      <c r="K479" s="74" t="s">
        <v>1</v>
      </c>
      <c r="L479" s="75" t="s">
        <v>1</v>
      </c>
      <c r="M479" s="74" t="s">
        <v>1</v>
      </c>
      <c r="N479" s="75" t="s">
        <v>1</v>
      </c>
      <c r="O479" s="6" t="s">
        <v>1</v>
      </c>
      <c r="Q479" s="33"/>
      <c r="R479" s="39"/>
      <c r="S479" s="39"/>
      <c r="T479" s="39"/>
      <c r="U479" s="39"/>
      <c r="V479" s="41"/>
    </row>
    <row r="480" spans="1:22" s="3" customFormat="1" ht="15.75">
      <c r="A480" s="149" t="s">
        <v>469</v>
      </c>
      <c r="B480" s="150" t="s">
        <v>97</v>
      </c>
      <c r="C480" s="84">
        <f t="shared" ref="C480:N480" si="349">C95</f>
        <v>0</v>
      </c>
      <c r="D480" s="85">
        <f t="shared" si="349"/>
        <v>0</v>
      </c>
      <c r="E480" s="84">
        <f t="shared" si="349"/>
        <v>0</v>
      </c>
      <c r="F480" s="85">
        <f t="shared" si="349"/>
        <v>0</v>
      </c>
      <c r="G480" s="84">
        <f t="shared" si="349"/>
        <v>0</v>
      </c>
      <c r="H480" s="85">
        <f t="shared" si="349"/>
        <v>0</v>
      </c>
      <c r="I480" s="84">
        <f t="shared" si="349"/>
        <v>0</v>
      </c>
      <c r="J480" s="85">
        <f t="shared" si="349"/>
        <v>0</v>
      </c>
      <c r="K480" s="84">
        <f t="shared" si="349"/>
        <v>0</v>
      </c>
      <c r="L480" s="85">
        <f t="shared" si="349"/>
        <v>0</v>
      </c>
      <c r="M480" s="84">
        <f t="shared" si="349"/>
        <v>0</v>
      </c>
      <c r="N480" s="85">
        <f t="shared" si="349"/>
        <v>0</v>
      </c>
      <c r="O480" s="86">
        <f t="shared" ref="O480:O487" si="350">SUM(C480:N480)</f>
        <v>0</v>
      </c>
      <c r="Q480" s="151"/>
      <c r="R480" s="152"/>
      <c r="S480" s="152"/>
      <c r="T480" s="152"/>
      <c r="U480" s="152"/>
      <c r="V480" s="153"/>
    </row>
    <row r="481" spans="1:22" s="3" customFormat="1" ht="15.75">
      <c r="A481" s="161" t="s">
        <v>467</v>
      </c>
      <c r="B481" s="154" t="s">
        <v>466</v>
      </c>
      <c r="C481" s="155">
        <f t="shared" ref="C481:N481" si="351">C92</f>
        <v>40319.49</v>
      </c>
      <c r="D481" s="156">
        <f t="shared" si="351"/>
        <v>42569.37</v>
      </c>
      <c r="E481" s="155">
        <f t="shared" si="351"/>
        <v>45489.32</v>
      </c>
      <c r="F481" s="156">
        <f t="shared" si="351"/>
        <v>39864.17</v>
      </c>
      <c r="G481" s="155">
        <f t="shared" si="351"/>
        <v>40319.49</v>
      </c>
      <c r="H481" s="156">
        <f t="shared" si="351"/>
        <v>40319.49</v>
      </c>
      <c r="I481" s="155">
        <f t="shared" si="351"/>
        <v>40319.49</v>
      </c>
      <c r="J481" s="156">
        <f t="shared" si="351"/>
        <v>40319.49</v>
      </c>
      <c r="K481" s="155">
        <f t="shared" si="351"/>
        <v>40319.49</v>
      </c>
      <c r="L481" s="156">
        <f t="shared" si="351"/>
        <v>40319.49</v>
      </c>
      <c r="M481" s="155">
        <f t="shared" si="351"/>
        <v>40319.49</v>
      </c>
      <c r="N481" s="156">
        <f t="shared" si="351"/>
        <v>40319.49</v>
      </c>
      <c r="O481" s="157">
        <f t="shared" si="350"/>
        <v>490798.2699999999</v>
      </c>
      <c r="Q481" s="151"/>
      <c r="R481" s="152"/>
      <c r="S481" s="152"/>
      <c r="T481" s="152"/>
      <c r="U481" s="152"/>
      <c r="V481" s="153"/>
    </row>
    <row r="482" spans="1:22" s="3" customFormat="1" ht="15.75">
      <c r="A482" s="161" t="s">
        <v>465</v>
      </c>
      <c r="B482" s="154" t="s">
        <v>468</v>
      </c>
      <c r="C482" s="155">
        <f t="shared" ref="C482:N482" si="352">C189</f>
        <v>55557.678174783236</v>
      </c>
      <c r="D482" s="156">
        <f t="shared" si="352"/>
        <v>47698.957913836697</v>
      </c>
      <c r="E482" s="155">
        <f t="shared" si="352"/>
        <v>43135.764111484525</v>
      </c>
      <c r="F482" s="156">
        <f t="shared" si="352"/>
        <v>47285.431485053385</v>
      </c>
      <c r="G482" s="155">
        <f t="shared" si="352"/>
        <v>71682.617508314623</v>
      </c>
      <c r="H482" s="156">
        <f t="shared" si="352"/>
        <v>34299.293334377064</v>
      </c>
      <c r="I482" s="155">
        <f t="shared" si="352"/>
        <v>0</v>
      </c>
      <c r="J482" s="156">
        <f t="shared" si="352"/>
        <v>0</v>
      </c>
      <c r="K482" s="155">
        <f t="shared" si="352"/>
        <v>0</v>
      </c>
      <c r="L482" s="156">
        <f t="shared" si="352"/>
        <v>0</v>
      </c>
      <c r="M482" s="155">
        <f t="shared" si="352"/>
        <v>0</v>
      </c>
      <c r="N482" s="156">
        <f t="shared" si="352"/>
        <v>0</v>
      </c>
      <c r="O482" s="157">
        <f t="shared" si="350"/>
        <v>299659.74252784951</v>
      </c>
      <c r="Q482" s="151"/>
      <c r="R482" s="152"/>
      <c r="S482" s="152"/>
      <c r="T482" s="152"/>
      <c r="U482" s="152"/>
      <c r="V482" s="153"/>
    </row>
    <row r="483" spans="1:22" ht="15.75">
      <c r="A483" s="83"/>
      <c r="B483" s="154" t="s">
        <v>98</v>
      </c>
      <c r="C483" s="155">
        <f t="shared" ref="C483:N483" si="353">C189+C92</f>
        <v>95877.168174783234</v>
      </c>
      <c r="D483" s="156">
        <f t="shared" si="353"/>
        <v>90268.327913836692</v>
      </c>
      <c r="E483" s="155">
        <f t="shared" si="353"/>
        <v>88625.084111484524</v>
      </c>
      <c r="F483" s="156">
        <f t="shared" si="353"/>
        <v>87149.601485053383</v>
      </c>
      <c r="G483" s="155">
        <f t="shared" si="353"/>
        <v>112002.10750831463</v>
      </c>
      <c r="H483" s="156">
        <f t="shared" si="353"/>
        <v>74618.783334377062</v>
      </c>
      <c r="I483" s="155">
        <f t="shared" si="353"/>
        <v>40319.49</v>
      </c>
      <c r="J483" s="156">
        <f t="shared" si="353"/>
        <v>40319.49</v>
      </c>
      <c r="K483" s="155">
        <f t="shared" si="353"/>
        <v>40319.49</v>
      </c>
      <c r="L483" s="156">
        <f t="shared" si="353"/>
        <v>40319.49</v>
      </c>
      <c r="M483" s="155">
        <f t="shared" si="353"/>
        <v>40319.49</v>
      </c>
      <c r="N483" s="156">
        <f t="shared" si="353"/>
        <v>40319.49</v>
      </c>
      <c r="O483" s="157">
        <f t="shared" si="350"/>
        <v>790458.01252784953</v>
      </c>
      <c r="P483" s="64"/>
      <c r="Q483" s="33"/>
      <c r="R483" s="56"/>
      <c r="S483" s="80"/>
      <c r="T483" s="57"/>
      <c r="U483" s="57"/>
      <c r="V483" s="41"/>
    </row>
    <row r="484" spans="1:22" s="3" customFormat="1" ht="15.75">
      <c r="A484" s="83" t="s">
        <v>89</v>
      </c>
      <c r="B484" s="154" t="s">
        <v>99</v>
      </c>
      <c r="C484" s="155">
        <f t="shared" ref="C484:N484" si="354">C283</f>
        <v>18387.29</v>
      </c>
      <c r="D484" s="156">
        <f t="shared" si="354"/>
        <v>20117.400000000001</v>
      </c>
      <c r="E484" s="155">
        <f t="shared" si="354"/>
        <v>17051.169999999998</v>
      </c>
      <c r="F484" s="156">
        <f t="shared" si="354"/>
        <v>19311.379999999997</v>
      </c>
      <c r="G484" s="155">
        <f t="shared" si="354"/>
        <v>17468.508426217104</v>
      </c>
      <c r="H484" s="156">
        <f t="shared" si="354"/>
        <v>21227.040067491871</v>
      </c>
      <c r="I484" s="155">
        <f t="shared" si="354"/>
        <v>19773.763788877539</v>
      </c>
      <c r="J484" s="156">
        <f t="shared" si="354"/>
        <v>16599.661956026095</v>
      </c>
      <c r="K484" s="155">
        <f t="shared" si="354"/>
        <v>16784.407925934425</v>
      </c>
      <c r="L484" s="156">
        <f t="shared" si="354"/>
        <v>16944.611763267952</v>
      </c>
      <c r="M484" s="155">
        <f t="shared" si="354"/>
        <v>18706.192122446329</v>
      </c>
      <c r="N484" s="156">
        <f t="shared" si="354"/>
        <v>18484.650992540333</v>
      </c>
      <c r="O484" s="157">
        <f t="shared" si="350"/>
        <v>220856.07704280163</v>
      </c>
      <c r="P484" s="183"/>
      <c r="Q484" s="151"/>
      <c r="R484" s="158"/>
      <c r="S484" s="159"/>
      <c r="T484" s="160"/>
      <c r="U484" s="160"/>
      <c r="V484" s="153"/>
    </row>
    <row r="485" spans="1:22" s="3" customFormat="1" ht="15.75">
      <c r="A485" s="161" t="s">
        <v>470</v>
      </c>
      <c r="B485" s="154" t="s">
        <v>100</v>
      </c>
      <c r="C485" s="155">
        <f t="shared" ref="C485:N485" si="355">C377</f>
        <v>20160.719999999998</v>
      </c>
      <c r="D485" s="156">
        <f t="shared" si="355"/>
        <v>11763.800000000001</v>
      </c>
      <c r="E485" s="155">
        <f t="shared" si="355"/>
        <v>18242.54</v>
      </c>
      <c r="F485" s="156">
        <f t="shared" si="355"/>
        <v>13569.59</v>
      </c>
      <c r="G485" s="155">
        <f t="shared" si="355"/>
        <v>21784.190626076539</v>
      </c>
      <c r="H485" s="156">
        <f t="shared" si="355"/>
        <v>0</v>
      </c>
      <c r="I485" s="155">
        <f t="shared" si="355"/>
        <v>0</v>
      </c>
      <c r="J485" s="156">
        <f t="shared" si="355"/>
        <v>0</v>
      </c>
      <c r="K485" s="155">
        <f t="shared" si="355"/>
        <v>0</v>
      </c>
      <c r="L485" s="156">
        <f t="shared" si="355"/>
        <v>0</v>
      </c>
      <c r="M485" s="155">
        <f t="shared" si="355"/>
        <v>0</v>
      </c>
      <c r="N485" s="156">
        <f t="shared" si="355"/>
        <v>0</v>
      </c>
      <c r="O485" s="157">
        <f t="shared" si="350"/>
        <v>85520.840626076533</v>
      </c>
      <c r="P485" s="183"/>
      <c r="Q485" s="151"/>
      <c r="R485" s="158"/>
      <c r="S485" s="159"/>
      <c r="T485" s="160"/>
      <c r="U485" s="160"/>
      <c r="V485" s="153"/>
    </row>
    <row r="486" spans="1:22" s="3" customFormat="1" ht="15.75">
      <c r="A486" s="161" t="s">
        <v>101</v>
      </c>
      <c r="B486" s="154" t="s">
        <v>102</v>
      </c>
      <c r="C486" s="155">
        <v>786.79</v>
      </c>
      <c r="D486" s="156">
        <v>1380.81</v>
      </c>
      <c r="E486" s="155">
        <v>736.77</v>
      </c>
      <c r="F486" s="156">
        <v>615.63</v>
      </c>
      <c r="G486" s="155">
        <f>'[14]ND WWTP 2012-2016'!F69</f>
        <v>1925.6302299999998</v>
      </c>
      <c r="H486" s="156">
        <f>'[14]ND WWTP 2012-2016'!G69</f>
        <v>1651.6733599999998</v>
      </c>
      <c r="I486" s="155">
        <f>'[14]ND WWTP 2012-2016'!H69</f>
        <v>2289.3539899999996</v>
      </c>
      <c r="J486" s="156">
        <f>'[14]ND WWTP 2012-2016'!I69</f>
        <v>2209.6095879999998</v>
      </c>
      <c r="K486" s="155">
        <f>'[14]ND WWTP 2012-2016'!J69</f>
        <v>1774.3273879999999</v>
      </c>
      <c r="L486" s="156">
        <f>'[14]ND WWTP 2012-2016'!K69</f>
        <v>2385.6097879999998</v>
      </c>
      <c r="M486" s="155">
        <f>'[14]ND WWTP 2012-2016'!L69</f>
        <v>2445.9096519999994</v>
      </c>
      <c r="N486" s="156">
        <f>'[14]ND WWTP 2012-2016'!M69</f>
        <v>1678.9802439999999</v>
      </c>
      <c r="O486" s="157">
        <f t="shared" si="350"/>
        <v>19881.094239999995</v>
      </c>
      <c r="Q486" s="151"/>
      <c r="R486" s="158"/>
      <c r="S486" s="159"/>
      <c r="T486" s="160"/>
      <c r="U486" s="160"/>
      <c r="V486" s="153"/>
    </row>
    <row r="487" spans="1:22" s="3" customFormat="1" ht="16.5" thickBot="1">
      <c r="A487" s="161" t="s">
        <v>471</v>
      </c>
      <c r="B487" s="154" t="s">
        <v>103</v>
      </c>
      <c r="C487" s="155">
        <f>'[13]January 2012 Rockwell'!$L$10</f>
        <v>294.67</v>
      </c>
      <c r="D487" s="156">
        <f>'[13]February 2012 Rockwell'!$L$10</f>
        <v>141.25</v>
      </c>
      <c r="E487" s="155">
        <f>'[13]March 2012 Rockwell'!$L$10</f>
        <v>224.03</v>
      </c>
      <c r="F487" s="156">
        <f>'[13]April 2012 Rockwell'!$L$10</f>
        <v>177.31</v>
      </c>
      <c r="G487" s="155">
        <f>'[13]January 2012 Rockwell'!$L$10</f>
        <v>294.67</v>
      </c>
      <c r="H487" s="156">
        <f>'[13]January 2012 Rockwell'!$L$10</f>
        <v>294.67</v>
      </c>
      <c r="I487" s="155">
        <f>'[13]January 2012 Rockwell'!$L$10</f>
        <v>294.67</v>
      </c>
      <c r="J487" s="156">
        <f>'[13]January 2012 Rockwell'!$L$10</f>
        <v>294.67</v>
      </c>
      <c r="K487" s="155">
        <f>'[13]January 2012 Rockwell'!$L$10</f>
        <v>294.67</v>
      </c>
      <c r="L487" s="156">
        <f>'[13]January 2012 Rockwell'!$L$10</f>
        <v>294.67</v>
      </c>
      <c r="M487" s="155">
        <f>'[13]January 2012 Rockwell'!$L$10</f>
        <v>294.67</v>
      </c>
      <c r="N487" s="156">
        <f>'[13]January 2012 Rockwell'!$L$10</f>
        <v>294.67</v>
      </c>
      <c r="O487" s="157">
        <f t="shared" si="350"/>
        <v>3194.6200000000003</v>
      </c>
      <c r="Q487" s="151"/>
      <c r="R487" s="158"/>
      <c r="S487" s="159"/>
      <c r="T487" s="160"/>
      <c r="U487" s="160"/>
      <c r="V487" s="153"/>
    </row>
    <row r="488" spans="1:22" s="169" customFormat="1" ht="16.5" thickBot="1">
      <c r="A488" s="162" t="s">
        <v>104</v>
      </c>
      <c r="B488" s="163" t="s">
        <v>105</v>
      </c>
      <c r="C488" s="84">
        <f t="shared" ref="C488:O488" si="356">SUM(C483:C487)</f>
        <v>135506.63817478326</v>
      </c>
      <c r="D488" s="85">
        <f t="shared" si="356"/>
        <v>123671.58791383669</v>
      </c>
      <c r="E488" s="84">
        <f t="shared" si="356"/>
        <v>124879.59411148452</v>
      </c>
      <c r="F488" s="85">
        <f t="shared" si="356"/>
        <v>120823.51148505337</v>
      </c>
      <c r="G488" s="84">
        <f t="shared" si="356"/>
        <v>153475.10679060829</v>
      </c>
      <c r="H488" s="85">
        <f t="shared" si="356"/>
        <v>97792.166761868924</v>
      </c>
      <c r="I488" s="84">
        <f t="shared" si="356"/>
        <v>62677.277778877542</v>
      </c>
      <c r="J488" s="85">
        <f t="shared" si="356"/>
        <v>59423.431544026091</v>
      </c>
      <c r="K488" s="84">
        <f t="shared" si="356"/>
        <v>59172.895313934416</v>
      </c>
      <c r="L488" s="85">
        <f t="shared" si="356"/>
        <v>59944.38155126795</v>
      </c>
      <c r="M488" s="84">
        <f t="shared" si="356"/>
        <v>61766.261774446328</v>
      </c>
      <c r="N488" s="85">
        <f t="shared" si="356"/>
        <v>60777.791236540324</v>
      </c>
      <c r="O488" s="86">
        <f t="shared" si="356"/>
        <v>1119910.6444367277</v>
      </c>
      <c r="Q488" s="164"/>
      <c r="R488" s="165"/>
      <c r="S488" s="166"/>
      <c r="T488" s="167"/>
      <c r="U488" s="167"/>
      <c r="V488" s="168"/>
    </row>
    <row r="489" spans="1:22" s="178" customFormat="1" ht="16.5" thickBot="1">
      <c r="A489" s="170" t="s">
        <v>104</v>
      </c>
      <c r="B489" s="171" t="s">
        <v>107</v>
      </c>
      <c r="C489" s="172">
        <f t="shared" ref="C489:N489" si="357">SUM(C483:C487)</f>
        <v>135506.63817478326</v>
      </c>
      <c r="D489" s="172">
        <f t="shared" si="357"/>
        <v>123671.58791383669</v>
      </c>
      <c r="E489" s="172">
        <f t="shared" si="357"/>
        <v>124879.59411148452</v>
      </c>
      <c r="F489" s="172">
        <f t="shared" si="357"/>
        <v>120823.51148505337</v>
      </c>
      <c r="G489" s="172">
        <f t="shared" si="357"/>
        <v>153475.10679060829</v>
      </c>
      <c r="H489" s="172">
        <f t="shared" si="357"/>
        <v>97792.166761868924</v>
      </c>
      <c r="I489" s="172">
        <f t="shared" si="357"/>
        <v>62677.277778877542</v>
      </c>
      <c r="J489" s="172">
        <f t="shared" si="357"/>
        <v>59423.431544026091</v>
      </c>
      <c r="K489" s="172">
        <f t="shared" si="357"/>
        <v>59172.895313934416</v>
      </c>
      <c r="L489" s="172">
        <f t="shared" si="357"/>
        <v>59944.38155126795</v>
      </c>
      <c r="M489" s="172">
        <f t="shared" si="357"/>
        <v>61766.261774446328</v>
      </c>
      <c r="N489" s="172">
        <f t="shared" si="357"/>
        <v>60777.791236540324</v>
      </c>
      <c r="O489" s="184">
        <f>SUM(O480:O487)</f>
        <v>1910368.6569645773</v>
      </c>
      <c r="P489" s="174"/>
      <c r="Q489" s="173"/>
      <c r="R489" s="174"/>
      <c r="S489" s="175"/>
      <c r="T489" s="176"/>
      <c r="U489" s="176"/>
      <c r="V489" s="177"/>
    </row>
    <row r="490" spans="1:22" s="3" customFormat="1">
      <c r="A490" s="4"/>
      <c r="C490" s="2"/>
      <c r="D490" s="2"/>
      <c r="E490" s="2"/>
      <c r="F490" s="2"/>
      <c r="G490" s="2"/>
      <c r="H490" s="2"/>
      <c r="I490" s="2"/>
      <c r="J490" s="2"/>
      <c r="K490" s="2"/>
      <c r="L490" s="2"/>
      <c r="M490" s="2"/>
      <c r="N490" s="2"/>
      <c r="O490" s="2"/>
    </row>
    <row r="491" spans="1:22" s="3" customFormat="1">
      <c r="A491" s="4"/>
      <c r="C491" s="179"/>
      <c r="D491" s="179"/>
      <c r="E491" s="179"/>
      <c r="F491" s="179"/>
      <c r="G491" s="179"/>
      <c r="H491" s="179"/>
      <c r="I491" s="179"/>
      <c r="J491" s="179"/>
      <c r="K491" s="179"/>
      <c r="L491" s="179"/>
      <c r="M491" s="179"/>
      <c r="N491" s="179"/>
      <c r="O491" s="179"/>
    </row>
    <row r="492" spans="1:22" s="3" customFormat="1">
      <c r="A492" s="4"/>
      <c r="C492" s="179"/>
      <c r="D492" s="179"/>
      <c r="E492" s="179"/>
      <c r="F492" s="179"/>
      <c r="G492" s="179"/>
      <c r="H492" s="179"/>
      <c r="I492" s="179"/>
      <c r="J492" s="179"/>
      <c r="K492" s="179"/>
      <c r="L492" s="179"/>
      <c r="M492" s="179"/>
      <c r="N492" s="179"/>
      <c r="O492" s="179"/>
    </row>
    <row r="493" spans="1:22" s="3" customFormat="1">
      <c r="A493" s="4"/>
      <c r="C493" s="179"/>
      <c r="D493" s="179"/>
      <c r="E493" s="179"/>
      <c r="F493" s="179"/>
      <c r="G493" s="179"/>
      <c r="H493" s="179"/>
      <c r="I493" s="179"/>
      <c r="J493" s="179"/>
      <c r="K493" s="179"/>
      <c r="L493" s="179"/>
      <c r="M493" s="179"/>
      <c r="N493" s="179"/>
      <c r="O493" s="2"/>
    </row>
    <row r="494" spans="1:22" s="3" customFormat="1">
      <c r="A494" s="4"/>
      <c r="C494" s="179"/>
      <c r="D494" s="179"/>
      <c r="E494" s="179"/>
      <c r="F494" s="179"/>
      <c r="G494" s="179"/>
      <c r="H494" s="179"/>
      <c r="I494" s="179"/>
      <c r="J494" s="179"/>
      <c r="K494" s="179"/>
      <c r="L494" s="179"/>
      <c r="M494" s="179"/>
      <c r="N494" s="179"/>
      <c r="O494" s="179"/>
    </row>
    <row r="495" spans="1:22" s="3" customFormat="1">
      <c r="A495" s="4"/>
      <c r="C495" s="2"/>
      <c r="D495" s="2"/>
      <c r="E495" s="2"/>
      <c r="F495" s="2"/>
      <c r="G495" s="2"/>
      <c r="H495" s="2"/>
      <c r="I495" s="2"/>
      <c r="J495" s="2"/>
      <c r="K495" s="2"/>
      <c r="L495" s="2"/>
      <c r="M495" s="2"/>
      <c r="N495" s="2"/>
      <c r="O495" s="179"/>
    </row>
    <row r="496" spans="1:22" s="3" customFormat="1">
      <c r="A496" s="4"/>
      <c r="C496" s="2"/>
      <c r="D496" s="2"/>
      <c r="E496" s="2"/>
      <c r="F496" s="2"/>
      <c r="G496" s="2"/>
      <c r="H496" s="2"/>
      <c r="I496" s="2"/>
      <c r="J496" s="2"/>
      <c r="K496" s="2"/>
      <c r="L496" s="2"/>
      <c r="M496" s="2"/>
      <c r="N496" s="2"/>
      <c r="O496" s="2"/>
    </row>
    <row r="497" spans="1:15" s="3" customFormat="1">
      <c r="A497" s="4"/>
      <c r="C497" s="2"/>
      <c r="D497" s="2"/>
      <c r="E497" s="2"/>
      <c r="F497" s="2"/>
      <c r="G497" s="2"/>
      <c r="H497" s="2"/>
      <c r="I497" s="2"/>
      <c r="J497" s="2"/>
      <c r="K497" s="2"/>
      <c r="L497" s="2"/>
      <c r="M497" s="2"/>
      <c r="N497" s="2"/>
      <c r="O497" s="2"/>
    </row>
    <row r="498" spans="1:15" s="3" customFormat="1">
      <c r="A498" s="4"/>
      <c r="C498" s="2"/>
      <c r="D498" s="2"/>
      <c r="E498" s="2"/>
      <c r="F498" s="2"/>
      <c r="G498" s="2"/>
      <c r="H498" s="2"/>
      <c r="I498" s="2"/>
      <c r="J498" s="2"/>
      <c r="K498" s="2"/>
      <c r="L498" s="2"/>
      <c r="M498" s="2"/>
      <c r="N498" s="2"/>
      <c r="O498" s="2"/>
    </row>
    <row r="499" spans="1:15" s="3" customFormat="1">
      <c r="A499" s="4"/>
      <c r="C499" s="2"/>
      <c r="D499" s="2"/>
      <c r="E499" s="2"/>
      <c r="F499" s="2"/>
      <c r="G499" s="2"/>
      <c r="H499" s="2"/>
      <c r="I499" s="2"/>
      <c r="J499" s="2"/>
      <c r="K499" s="2"/>
      <c r="L499" s="2"/>
      <c r="M499" s="2"/>
      <c r="N499" s="2"/>
      <c r="O499" s="2"/>
    </row>
    <row r="500" spans="1:15" s="3" customFormat="1">
      <c r="A500" s="4"/>
      <c r="C500" s="2"/>
      <c r="D500" s="2"/>
      <c r="E500" s="2"/>
      <c r="F500" s="2"/>
      <c r="G500" s="2"/>
      <c r="H500" s="2"/>
      <c r="I500" s="2"/>
      <c r="J500" s="2"/>
      <c r="K500" s="2"/>
      <c r="L500" s="2"/>
      <c r="M500" s="2"/>
      <c r="N500" s="2"/>
      <c r="O500" s="2"/>
    </row>
    <row r="501" spans="1:15" s="3" customFormat="1">
      <c r="A501" s="4"/>
      <c r="C501" s="2"/>
      <c r="D501" s="2"/>
      <c r="E501" s="2"/>
      <c r="F501" s="2"/>
      <c r="G501" s="2"/>
      <c r="H501" s="2"/>
      <c r="I501" s="2"/>
      <c r="J501" s="2"/>
      <c r="K501" s="2"/>
      <c r="L501" s="2"/>
      <c r="M501" s="2"/>
      <c r="N501" s="2"/>
      <c r="O501" s="2"/>
    </row>
    <row r="502" spans="1:15" s="3" customFormat="1">
      <c r="A502" s="4"/>
      <c r="C502" s="2"/>
      <c r="D502" s="2"/>
      <c r="E502" s="2"/>
      <c r="F502" s="2"/>
      <c r="G502" s="2"/>
      <c r="H502" s="2"/>
      <c r="I502" s="2"/>
      <c r="J502" s="2"/>
      <c r="K502" s="2"/>
      <c r="L502" s="2"/>
      <c r="M502" s="2"/>
      <c r="N502" s="2"/>
      <c r="O502" s="2"/>
    </row>
    <row r="503" spans="1:15" s="3" customFormat="1">
      <c r="A503" s="4"/>
      <c r="C503" s="2"/>
      <c r="D503" s="2"/>
      <c r="E503" s="2"/>
      <c r="F503" s="2"/>
      <c r="G503" s="2"/>
      <c r="H503" s="2"/>
      <c r="I503" s="2"/>
      <c r="J503" s="2"/>
      <c r="K503" s="2"/>
      <c r="L503" s="2"/>
      <c r="M503" s="2"/>
      <c r="N503" s="2"/>
      <c r="O503" s="2"/>
    </row>
    <row r="504" spans="1:15" s="3" customFormat="1">
      <c r="A504" s="4"/>
      <c r="C504" s="2"/>
      <c r="D504" s="2"/>
      <c r="E504" s="2"/>
      <c r="F504" s="2"/>
      <c r="G504" s="2"/>
      <c r="H504" s="2"/>
      <c r="I504" s="2"/>
      <c r="J504" s="2"/>
      <c r="K504" s="2"/>
      <c r="L504" s="2"/>
      <c r="M504" s="2"/>
      <c r="N504" s="2"/>
      <c r="O504" s="2"/>
    </row>
    <row r="505" spans="1:15" s="3" customFormat="1">
      <c r="A505" s="4"/>
      <c r="C505" s="2"/>
      <c r="D505" s="2"/>
      <c r="E505" s="2"/>
      <c r="F505" s="2"/>
      <c r="G505" s="2"/>
      <c r="H505" s="2"/>
      <c r="I505" s="2"/>
      <c r="J505" s="2"/>
      <c r="K505" s="2"/>
      <c r="L505" s="2"/>
      <c r="M505" s="2"/>
      <c r="N505" s="2"/>
      <c r="O505" s="2"/>
    </row>
    <row r="506" spans="1:15" s="3" customFormat="1">
      <c r="A506" s="4"/>
      <c r="C506" s="2"/>
      <c r="D506" s="2"/>
      <c r="E506" s="2"/>
      <c r="F506" s="2"/>
      <c r="G506" s="2"/>
      <c r="H506" s="2"/>
      <c r="I506" s="2"/>
      <c r="J506" s="2"/>
      <c r="K506" s="2"/>
      <c r="L506" s="2"/>
      <c r="M506" s="2"/>
      <c r="N506" s="2"/>
      <c r="O506" s="2"/>
    </row>
    <row r="507" spans="1:15" s="3" customFormat="1">
      <c r="A507" s="4"/>
      <c r="C507" s="2"/>
      <c r="D507" s="2"/>
      <c r="E507" s="2"/>
      <c r="F507" s="2"/>
      <c r="G507" s="2"/>
      <c r="H507" s="2"/>
      <c r="I507" s="2"/>
      <c r="J507" s="2"/>
      <c r="K507" s="2"/>
      <c r="L507" s="2"/>
      <c r="M507" s="2"/>
      <c r="N507" s="2"/>
      <c r="O507" s="2"/>
    </row>
    <row r="508" spans="1:15" s="3" customFormat="1">
      <c r="A508" s="4"/>
      <c r="C508" s="2"/>
      <c r="D508" s="2"/>
      <c r="E508" s="2"/>
      <c r="F508" s="2"/>
      <c r="G508" s="2"/>
      <c r="H508" s="2"/>
      <c r="I508" s="2"/>
      <c r="J508" s="2"/>
      <c r="K508" s="2"/>
      <c r="L508" s="2"/>
      <c r="M508" s="2"/>
      <c r="N508" s="2"/>
      <c r="O508" s="2"/>
    </row>
    <row r="509" spans="1:15" s="3" customFormat="1">
      <c r="A509" s="4"/>
      <c r="C509" s="2"/>
      <c r="D509" s="2"/>
      <c r="E509" s="2"/>
      <c r="F509" s="2"/>
      <c r="G509" s="2"/>
      <c r="H509" s="2"/>
      <c r="I509" s="2"/>
      <c r="J509" s="2"/>
      <c r="K509" s="2"/>
      <c r="L509" s="2"/>
      <c r="M509" s="2"/>
      <c r="N509" s="2"/>
      <c r="O509" s="2"/>
    </row>
    <row r="510" spans="1:15" s="3" customFormat="1">
      <c r="A510" s="4"/>
      <c r="C510" s="2"/>
      <c r="D510" s="2"/>
      <c r="E510" s="2"/>
      <c r="F510" s="2"/>
      <c r="G510" s="2"/>
      <c r="H510" s="2"/>
      <c r="I510" s="2"/>
      <c r="J510" s="2"/>
      <c r="K510" s="2"/>
      <c r="L510" s="2"/>
      <c r="M510" s="2"/>
      <c r="N510" s="2"/>
      <c r="O510" s="2"/>
    </row>
    <row r="511" spans="1:15" s="3" customFormat="1">
      <c r="A511" s="4"/>
      <c r="C511" s="2"/>
      <c r="D511" s="2"/>
      <c r="E511" s="2"/>
      <c r="F511" s="2"/>
      <c r="G511" s="2"/>
      <c r="H511" s="2"/>
      <c r="I511" s="2"/>
      <c r="J511" s="2"/>
      <c r="K511" s="2"/>
      <c r="L511" s="2"/>
      <c r="M511" s="2"/>
      <c r="N511" s="2"/>
      <c r="O511" s="2"/>
    </row>
    <row r="512" spans="1:15" s="3" customFormat="1">
      <c r="A512" s="4"/>
      <c r="C512" s="2"/>
      <c r="D512" s="2"/>
      <c r="E512" s="2"/>
      <c r="F512" s="2"/>
      <c r="G512" s="2"/>
      <c r="H512" s="2"/>
      <c r="I512" s="2"/>
      <c r="J512" s="2"/>
      <c r="K512" s="2"/>
      <c r="L512" s="2"/>
      <c r="M512" s="2"/>
      <c r="N512" s="2"/>
      <c r="O512" s="2"/>
    </row>
    <row r="513" spans="1:15" s="3" customFormat="1">
      <c r="A513" s="4"/>
      <c r="C513" s="2"/>
      <c r="D513" s="2"/>
      <c r="E513" s="2"/>
      <c r="F513" s="2"/>
      <c r="G513" s="2"/>
      <c r="H513" s="2"/>
      <c r="I513" s="2"/>
      <c r="J513" s="2"/>
      <c r="K513" s="2"/>
      <c r="L513" s="2"/>
      <c r="M513" s="2"/>
      <c r="N513" s="2"/>
      <c r="O513" s="2"/>
    </row>
    <row r="514" spans="1:15" s="3" customFormat="1">
      <c r="A514" s="4"/>
      <c r="C514" s="2"/>
      <c r="D514" s="2"/>
      <c r="E514" s="2"/>
      <c r="F514" s="2"/>
      <c r="G514" s="2"/>
      <c r="H514" s="2"/>
      <c r="I514" s="2"/>
      <c r="J514" s="2"/>
      <c r="K514" s="2"/>
      <c r="L514" s="2"/>
      <c r="M514" s="2"/>
      <c r="N514" s="2"/>
      <c r="O514" s="2"/>
    </row>
    <row r="515" spans="1:15" s="3" customFormat="1">
      <c r="A515" s="4"/>
      <c r="C515" s="2"/>
      <c r="D515" s="2"/>
      <c r="E515" s="2"/>
      <c r="F515" s="2"/>
      <c r="G515" s="2"/>
      <c r="H515" s="2"/>
      <c r="I515" s="2"/>
      <c r="J515" s="2"/>
      <c r="K515" s="2"/>
      <c r="L515" s="2"/>
      <c r="M515" s="2"/>
      <c r="N515" s="2"/>
      <c r="O515" s="2"/>
    </row>
    <row r="516" spans="1:15" s="3" customFormat="1">
      <c r="A516" s="4"/>
      <c r="C516" s="2"/>
      <c r="D516" s="2"/>
      <c r="E516" s="2"/>
      <c r="F516" s="2"/>
      <c r="G516" s="2"/>
      <c r="H516" s="2"/>
      <c r="I516" s="2"/>
      <c r="J516" s="2"/>
      <c r="K516" s="2"/>
      <c r="L516" s="2"/>
      <c r="M516" s="2"/>
      <c r="N516" s="2"/>
      <c r="O516" s="2"/>
    </row>
    <row r="517" spans="1:15" s="3" customFormat="1">
      <c r="A517" s="4"/>
      <c r="C517" s="2"/>
      <c r="D517" s="2"/>
      <c r="E517" s="2"/>
      <c r="F517" s="2"/>
      <c r="G517" s="2"/>
      <c r="H517" s="2"/>
      <c r="I517" s="2"/>
      <c r="J517" s="2"/>
      <c r="K517" s="2"/>
      <c r="L517" s="2"/>
      <c r="M517" s="2"/>
      <c r="N517" s="2"/>
      <c r="O517" s="2"/>
    </row>
    <row r="518" spans="1:15" s="3" customFormat="1">
      <c r="A518" s="4"/>
      <c r="C518" s="2"/>
      <c r="D518" s="2"/>
      <c r="E518" s="2"/>
      <c r="F518" s="2"/>
      <c r="G518" s="2"/>
      <c r="H518" s="2"/>
      <c r="I518" s="2"/>
      <c r="J518" s="2"/>
      <c r="K518" s="2"/>
      <c r="L518" s="2"/>
      <c r="M518" s="2"/>
      <c r="N518" s="2"/>
      <c r="O518" s="2"/>
    </row>
    <row r="519" spans="1:15" s="3" customFormat="1">
      <c r="A519" s="4"/>
      <c r="C519" s="2"/>
      <c r="D519" s="2"/>
      <c r="E519" s="2"/>
      <c r="F519" s="2"/>
      <c r="G519" s="2"/>
      <c r="H519" s="2"/>
      <c r="I519" s="2"/>
      <c r="J519" s="2"/>
      <c r="K519" s="2"/>
      <c r="L519" s="2"/>
      <c r="M519" s="2"/>
      <c r="N519" s="2"/>
      <c r="O519" s="2"/>
    </row>
    <row r="520" spans="1:15" s="3" customFormat="1">
      <c r="A520" s="4"/>
      <c r="C520" s="2"/>
      <c r="D520" s="2"/>
      <c r="E520" s="2"/>
      <c r="F520" s="2"/>
      <c r="G520" s="2"/>
      <c r="H520" s="2"/>
      <c r="I520" s="2"/>
      <c r="J520" s="2"/>
      <c r="K520" s="2"/>
      <c r="L520" s="2"/>
      <c r="M520" s="2"/>
      <c r="N520" s="2"/>
      <c r="O520" s="2"/>
    </row>
    <row r="521" spans="1:15" s="3" customFormat="1">
      <c r="A521" s="4"/>
      <c r="C521" s="2"/>
      <c r="D521" s="2"/>
      <c r="E521" s="2"/>
      <c r="F521" s="2"/>
      <c r="G521" s="2"/>
      <c r="H521" s="2"/>
      <c r="I521" s="2"/>
      <c r="J521" s="2"/>
      <c r="K521" s="2"/>
      <c r="L521" s="2"/>
      <c r="M521" s="2"/>
      <c r="N521" s="2"/>
      <c r="O521" s="2"/>
    </row>
    <row r="522" spans="1:15" s="3" customFormat="1">
      <c r="A522" s="4"/>
      <c r="C522" s="2"/>
      <c r="D522" s="2"/>
      <c r="E522" s="2"/>
      <c r="F522" s="2"/>
      <c r="G522" s="2"/>
      <c r="H522" s="2"/>
      <c r="I522" s="2"/>
      <c r="J522" s="2"/>
      <c r="K522" s="2"/>
      <c r="L522" s="2"/>
      <c r="M522" s="2"/>
      <c r="N522" s="2"/>
      <c r="O522" s="2"/>
    </row>
    <row r="523" spans="1:15" s="3" customFormat="1">
      <c r="A523" s="4"/>
      <c r="C523" s="2"/>
      <c r="D523" s="2"/>
      <c r="E523" s="2"/>
      <c r="F523" s="2"/>
      <c r="G523" s="2"/>
      <c r="H523" s="2"/>
      <c r="I523" s="2"/>
      <c r="J523" s="2"/>
      <c r="K523" s="2"/>
      <c r="L523" s="2"/>
      <c r="M523" s="2"/>
      <c r="N523" s="2"/>
      <c r="O523" s="2"/>
    </row>
    <row r="524" spans="1:15" s="3" customFormat="1">
      <c r="A524" s="4"/>
      <c r="C524" s="2"/>
      <c r="D524" s="2"/>
      <c r="E524" s="2"/>
      <c r="F524" s="2"/>
      <c r="G524" s="2"/>
      <c r="H524" s="2"/>
      <c r="I524" s="2"/>
      <c r="J524" s="2"/>
      <c r="K524" s="2"/>
      <c r="L524" s="2"/>
      <c r="M524" s="2"/>
      <c r="N524" s="2"/>
      <c r="O524" s="2"/>
    </row>
    <row r="525" spans="1:15" s="3" customFormat="1">
      <c r="A525" s="4"/>
      <c r="C525" s="2"/>
      <c r="D525" s="2"/>
      <c r="E525" s="2"/>
      <c r="F525" s="2"/>
      <c r="G525" s="2"/>
      <c r="H525" s="2"/>
      <c r="I525" s="2"/>
      <c r="J525" s="2"/>
      <c r="K525" s="2"/>
      <c r="L525" s="2"/>
      <c r="M525" s="2"/>
      <c r="N525" s="2"/>
      <c r="O525" s="2"/>
    </row>
    <row r="526" spans="1:15" s="3" customFormat="1">
      <c r="A526" s="4"/>
      <c r="C526" s="2"/>
      <c r="D526" s="2"/>
      <c r="E526" s="2"/>
      <c r="F526" s="2"/>
      <c r="G526" s="2"/>
      <c r="H526" s="2"/>
      <c r="I526" s="2"/>
      <c r="J526" s="2"/>
      <c r="K526" s="2"/>
      <c r="L526" s="2"/>
      <c r="M526" s="2"/>
      <c r="N526" s="2"/>
      <c r="O526" s="2"/>
    </row>
    <row r="527" spans="1:15" s="3" customFormat="1">
      <c r="A527" s="4"/>
      <c r="C527" s="2"/>
      <c r="D527" s="2"/>
      <c r="E527" s="2"/>
      <c r="F527" s="2"/>
      <c r="G527" s="2"/>
      <c r="H527" s="2"/>
      <c r="I527" s="2"/>
      <c r="J527" s="2"/>
      <c r="K527" s="2"/>
      <c r="L527" s="2"/>
      <c r="M527" s="2"/>
      <c r="N527" s="2"/>
      <c r="O527" s="2"/>
    </row>
    <row r="528" spans="1:15" s="3" customFormat="1">
      <c r="A528" s="4"/>
      <c r="C528" s="2"/>
      <c r="D528" s="2"/>
      <c r="E528" s="2"/>
      <c r="F528" s="2"/>
      <c r="G528" s="2"/>
      <c r="H528" s="2"/>
      <c r="I528" s="2"/>
      <c r="J528" s="2"/>
      <c r="K528" s="2"/>
      <c r="L528" s="2"/>
      <c r="M528" s="2"/>
      <c r="N528" s="2"/>
      <c r="O528" s="2"/>
    </row>
    <row r="529" spans="1:15" s="3" customFormat="1">
      <c r="A529" s="4"/>
      <c r="C529" s="2"/>
      <c r="D529" s="2"/>
      <c r="E529" s="2"/>
      <c r="F529" s="2"/>
      <c r="G529" s="2"/>
      <c r="H529" s="2"/>
      <c r="I529" s="2"/>
      <c r="J529" s="2"/>
      <c r="K529" s="2"/>
      <c r="L529" s="2"/>
      <c r="M529" s="2"/>
      <c r="N529" s="2"/>
      <c r="O529" s="2"/>
    </row>
    <row r="530" spans="1:15" s="3" customFormat="1">
      <c r="A530" s="4"/>
      <c r="C530" s="2"/>
      <c r="D530" s="2"/>
      <c r="E530" s="2"/>
      <c r="F530" s="2"/>
      <c r="G530" s="2"/>
      <c r="H530" s="2"/>
      <c r="I530" s="2"/>
      <c r="J530" s="2"/>
      <c r="K530" s="2"/>
      <c r="L530" s="2"/>
      <c r="M530" s="2"/>
      <c r="N530" s="2"/>
      <c r="O530" s="2"/>
    </row>
    <row r="531" spans="1:15" s="3" customFormat="1">
      <c r="A531" s="4"/>
      <c r="C531" s="2"/>
      <c r="D531" s="2"/>
      <c r="E531" s="2"/>
      <c r="F531" s="2"/>
      <c r="G531" s="2"/>
      <c r="H531" s="2"/>
      <c r="I531" s="2"/>
      <c r="J531" s="2"/>
      <c r="K531" s="2"/>
      <c r="L531" s="2"/>
      <c r="M531" s="2"/>
      <c r="N531" s="2"/>
      <c r="O531" s="2"/>
    </row>
    <row r="532" spans="1:15" s="3" customFormat="1">
      <c r="A532" s="4"/>
      <c r="C532" s="2"/>
      <c r="D532" s="2"/>
      <c r="E532" s="2"/>
      <c r="F532" s="2"/>
      <c r="G532" s="2"/>
      <c r="H532" s="2"/>
      <c r="I532" s="2"/>
      <c r="J532" s="2"/>
      <c r="K532" s="2"/>
      <c r="L532" s="2"/>
      <c r="M532" s="2"/>
      <c r="N532" s="2"/>
      <c r="O532" s="2"/>
    </row>
    <row r="533" spans="1:15" s="3" customFormat="1">
      <c r="A533" s="4"/>
      <c r="C533" s="2"/>
      <c r="D533" s="2"/>
      <c r="E533" s="2"/>
      <c r="F533" s="2"/>
      <c r="G533" s="2"/>
      <c r="H533" s="2"/>
      <c r="I533" s="2"/>
      <c r="J533" s="2"/>
      <c r="K533" s="2"/>
      <c r="L533" s="2"/>
      <c r="M533" s="2"/>
      <c r="N533" s="2"/>
      <c r="O533" s="2"/>
    </row>
    <row r="534" spans="1:15" s="3" customFormat="1">
      <c r="A534" s="4"/>
      <c r="C534" s="2"/>
      <c r="D534" s="2"/>
      <c r="E534" s="2"/>
      <c r="F534" s="2"/>
      <c r="G534" s="2"/>
      <c r="H534" s="2"/>
      <c r="I534" s="2"/>
      <c r="J534" s="2"/>
      <c r="K534" s="2"/>
      <c r="L534" s="2"/>
      <c r="M534" s="2"/>
      <c r="N534" s="2"/>
      <c r="O534" s="2"/>
    </row>
    <row r="535" spans="1:15" s="3" customFormat="1">
      <c r="A535" s="4"/>
      <c r="C535" s="2"/>
      <c r="D535" s="2"/>
      <c r="E535" s="2"/>
      <c r="F535" s="2"/>
      <c r="G535" s="2"/>
      <c r="H535" s="2"/>
      <c r="I535" s="2"/>
      <c r="J535" s="2"/>
      <c r="K535" s="2"/>
      <c r="L535" s="2"/>
      <c r="M535" s="2"/>
      <c r="N535" s="2"/>
      <c r="O535" s="2"/>
    </row>
    <row r="536" spans="1:15" s="3" customFormat="1">
      <c r="A536" s="4"/>
      <c r="C536" s="2"/>
      <c r="D536" s="2"/>
      <c r="E536" s="2"/>
      <c r="F536" s="2"/>
      <c r="G536" s="2"/>
      <c r="H536" s="2"/>
      <c r="I536" s="2"/>
      <c r="J536" s="2"/>
      <c r="K536" s="2"/>
      <c r="L536" s="2"/>
      <c r="M536" s="2"/>
      <c r="N536" s="2"/>
      <c r="O536" s="2"/>
    </row>
    <row r="537" spans="1:15" s="3" customFormat="1">
      <c r="A537" s="4"/>
      <c r="C537" s="2"/>
      <c r="D537" s="2"/>
      <c r="E537" s="2"/>
      <c r="F537" s="2"/>
      <c r="G537" s="2"/>
      <c r="H537" s="2"/>
      <c r="I537" s="2"/>
      <c r="J537" s="2"/>
      <c r="K537" s="2"/>
      <c r="L537" s="2"/>
      <c r="M537" s="2"/>
      <c r="N537" s="2"/>
      <c r="O537" s="2"/>
    </row>
    <row r="538" spans="1:15" s="3" customFormat="1">
      <c r="A538" s="4"/>
      <c r="C538" s="2"/>
      <c r="D538" s="2"/>
      <c r="E538" s="2"/>
      <c r="F538" s="2"/>
      <c r="G538" s="2"/>
      <c r="H538" s="2"/>
      <c r="I538" s="2"/>
      <c r="J538" s="2"/>
      <c r="K538" s="2"/>
      <c r="L538" s="2"/>
      <c r="M538" s="2"/>
      <c r="N538" s="2"/>
      <c r="O538" s="2"/>
    </row>
    <row r="539" spans="1:15" s="3" customFormat="1">
      <c r="A539" s="4"/>
      <c r="C539" s="2"/>
      <c r="D539" s="2"/>
      <c r="E539" s="2"/>
      <c r="F539" s="2"/>
      <c r="G539" s="2"/>
      <c r="H539" s="2"/>
      <c r="I539" s="2"/>
      <c r="J539" s="2"/>
      <c r="K539" s="2"/>
      <c r="L539" s="2"/>
      <c r="M539" s="2"/>
      <c r="N539" s="2"/>
      <c r="O539" s="2"/>
    </row>
    <row r="540" spans="1:15" s="3" customFormat="1">
      <c r="A540" s="4"/>
      <c r="C540" s="2"/>
      <c r="D540" s="2"/>
      <c r="E540" s="2"/>
      <c r="F540" s="2"/>
      <c r="G540" s="2"/>
      <c r="H540" s="2"/>
      <c r="I540" s="2"/>
      <c r="J540" s="2"/>
      <c r="K540" s="2"/>
      <c r="L540" s="2"/>
      <c r="M540" s="2"/>
      <c r="N540" s="2"/>
      <c r="O540" s="2"/>
    </row>
    <row r="541" spans="1:15" s="3" customFormat="1">
      <c r="A541" s="4"/>
      <c r="C541" s="2"/>
      <c r="D541" s="2"/>
      <c r="E541" s="2"/>
      <c r="F541" s="2"/>
      <c r="G541" s="2"/>
      <c r="H541" s="2"/>
      <c r="I541" s="2"/>
      <c r="J541" s="2"/>
      <c r="K541" s="2"/>
      <c r="L541" s="2"/>
      <c r="M541" s="2"/>
      <c r="N541" s="2"/>
      <c r="O541" s="2"/>
    </row>
    <row r="542" spans="1:15" s="3" customFormat="1">
      <c r="A542" s="4"/>
      <c r="C542" s="2"/>
      <c r="D542" s="2"/>
      <c r="E542" s="2"/>
      <c r="F542" s="2"/>
      <c r="G542" s="2"/>
      <c r="H542" s="2"/>
      <c r="I542" s="2"/>
      <c r="J542" s="2"/>
      <c r="K542" s="2"/>
      <c r="L542" s="2"/>
      <c r="M542" s="2"/>
      <c r="N542" s="2"/>
      <c r="O542" s="2"/>
    </row>
    <row r="543" spans="1:15" s="3" customFormat="1">
      <c r="A543" s="4"/>
      <c r="C543" s="2"/>
      <c r="D543" s="2"/>
      <c r="E543" s="2"/>
      <c r="F543" s="2"/>
      <c r="G543" s="2"/>
      <c r="H543" s="2"/>
      <c r="I543" s="2"/>
      <c r="J543" s="2"/>
      <c r="K543" s="2"/>
      <c r="L543" s="2"/>
      <c r="M543" s="2"/>
      <c r="N543" s="2"/>
      <c r="O543" s="2"/>
    </row>
    <row r="544" spans="1:15" s="3" customFormat="1">
      <c r="A544" s="4"/>
      <c r="C544" s="2"/>
      <c r="D544" s="2"/>
      <c r="E544" s="2"/>
      <c r="F544" s="2"/>
      <c r="G544" s="2"/>
      <c r="H544" s="2"/>
      <c r="I544" s="2"/>
      <c r="J544" s="2"/>
      <c r="K544" s="2"/>
      <c r="L544" s="2"/>
      <c r="M544" s="2"/>
      <c r="N544" s="2"/>
      <c r="O544" s="2"/>
    </row>
    <row r="545" spans="1:15" s="3" customFormat="1">
      <c r="A545" s="4"/>
      <c r="C545" s="2"/>
      <c r="D545" s="2"/>
      <c r="E545" s="2"/>
      <c r="F545" s="2"/>
      <c r="G545" s="2"/>
      <c r="H545" s="2"/>
      <c r="I545" s="2"/>
      <c r="J545" s="2"/>
      <c r="K545" s="2"/>
      <c r="L545" s="2"/>
      <c r="M545" s="2"/>
      <c r="N545" s="2"/>
      <c r="O545" s="2"/>
    </row>
    <row r="546" spans="1:15" s="3" customFormat="1">
      <c r="A546" s="4"/>
      <c r="C546" s="2"/>
      <c r="D546" s="2"/>
      <c r="E546" s="2"/>
      <c r="F546" s="2"/>
      <c r="G546" s="2"/>
      <c r="H546" s="2"/>
      <c r="I546" s="2"/>
      <c r="J546" s="2"/>
      <c r="K546" s="2"/>
      <c r="L546" s="2"/>
      <c r="M546" s="2"/>
      <c r="N546" s="2"/>
      <c r="O546" s="2"/>
    </row>
    <row r="547" spans="1:15" s="3" customFormat="1">
      <c r="A547" s="4"/>
      <c r="C547" s="2"/>
      <c r="D547" s="2"/>
      <c r="E547" s="2"/>
      <c r="F547" s="2"/>
      <c r="G547" s="2"/>
      <c r="H547" s="2"/>
      <c r="I547" s="2"/>
      <c r="J547" s="2"/>
      <c r="K547" s="2"/>
      <c r="L547" s="2"/>
      <c r="M547" s="2"/>
      <c r="N547" s="2"/>
      <c r="O547" s="2"/>
    </row>
    <row r="548" spans="1:15" s="3" customFormat="1">
      <c r="A548" s="4"/>
      <c r="C548" s="2"/>
      <c r="D548" s="2"/>
      <c r="E548" s="2"/>
      <c r="F548" s="2"/>
      <c r="G548" s="2"/>
      <c r="H548" s="2"/>
      <c r="I548" s="2"/>
      <c r="J548" s="2"/>
      <c r="K548" s="2"/>
      <c r="L548" s="2"/>
      <c r="M548" s="2"/>
      <c r="N548" s="2"/>
      <c r="O548" s="2"/>
    </row>
    <row r="549" spans="1:15" s="3" customFormat="1">
      <c r="A549" s="4"/>
      <c r="C549" s="2"/>
      <c r="D549" s="2"/>
      <c r="E549" s="2"/>
      <c r="F549" s="2"/>
      <c r="G549" s="2"/>
      <c r="H549" s="2"/>
      <c r="I549" s="2"/>
      <c r="J549" s="2"/>
      <c r="K549" s="2"/>
      <c r="L549" s="2"/>
      <c r="M549" s="2"/>
      <c r="N549" s="2"/>
      <c r="O549" s="2"/>
    </row>
    <row r="550" spans="1:15" s="3" customFormat="1">
      <c r="A550" s="4"/>
      <c r="C550" s="2"/>
      <c r="D550" s="2"/>
      <c r="E550" s="2"/>
      <c r="F550" s="2"/>
      <c r="G550" s="2"/>
      <c r="H550" s="2"/>
      <c r="I550" s="2"/>
      <c r="J550" s="2"/>
      <c r="K550" s="2"/>
      <c r="L550" s="2"/>
      <c r="M550" s="2"/>
      <c r="N550" s="2"/>
      <c r="O550" s="2"/>
    </row>
    <row r="551" spans="1:15" s="3" customFormat="1">
      <c r="A551" s="4"/>
      <c r="C551" s="2"/>
      <c r="D551" s="2"/>
      <c r="E551" s="2"/>
      <c r="F551" s="2"/>
      <c r="G551" s="2"/>
      <c r="H551" s="2"/>
      <c r="I551" s="2"/>
      <c r="J551" s="2"/>
      <c r="K551" s="2"/>
      <c r="L551" s="2"/>
      <c r="M551" s="2"/>
      <c r="N551" s="2"/>
      <c r="O551" s="2"/>
    </row>
    <row r="552" spans="1:15" s="3" customFormat="1">
      <c r="A552" s="4"/>
      <c r="C552" s="2"/>
      <c r="D552" s="2"/>
      <c r="E552" s="2"/>
      <c r="F552" s="2"/>
      <c r="G552" s="2"/>
      <c r="H552" s="2"/>
      <c r="I552" s="2"/>
      <c r="J552" s="2"/>
      <c r="K552" s="2"/>
      <c r="L552" s="2"/>
      <c r="M552" s="2"/>
      <c r="N552" s="2"/>
      <c r="O552" s="2"/>
    </row>
    <row r="553" spans="1:15" s="3" customFormat="1">
      <c r="A553" s="4"/>
      <c r="C553" s="2"/>
      <c r="D553" s="2"/>
      <c r="E553" s="2"/>
      <c r="F553" s="2"/>
      <c r="G553" s="2"/>
      <c r="H553" s="2"/>
      <c r="I553" s="2"/>
      <c r="J553" s="2"/>
      <c r="K553" s="2"/>
      <c r="L553" s="2"/>
      <c r="M553" s="2"/>
      <c r="N553" s="2"/>
      <c r="O553" s="2"/>
    </row>
    <row r="554" spans="1:15" s="3" customFormat="1">
      <c r="A554" s="4"/>
      <c r="C554" s="2"/>
      <c r="D554" s="2"/>
      <c r="E554" s="2"/>
      <c r="F554" s="2"/>
      <c r="G554" s="2"/>
      <c r="H554" s="2"/>
      <c r="I554" s="2"/>
      <c r="J554" s="2"/>
      <c r="K554" s="2"/>
      <c r="L554" s="2"/>
      <c r="M554" s="2"/>
      <c r="N554" s="2"/>
      <c r="O554" s="2"/>
    </row>
    <row r="555" spans="1:15" s="3" customFormat="1">
      <c r="A555" s="4"/>
      <c r="C555" s="2"/>
      <c r="D555" s="2"/>
      <c r="E555" s="2"/>
      <c r="F555" s="2"/>
      <c r="G555" s="2"/>
      <c r="H555" s="2"/>
      <c r="I555" s="2"/>
      <c r="J555" s="2"/>
      <c r="K555" s="2"/>
      <c r="L555" s="2"/>
      <c r="M555" s="2"/>
      <c r="N555" s="2"/>
      <c r="O555" s="2"/>
    </row>
    <row r="556" spans="1:15" s="3" customFormat="1">
      <c r="A556" s="4"/>
      <c r="C556" s="2"/>
      <c r="D556" s="2"/>
      <c r="E556" s="2"/>
      <c r="F556" s="2"/>
      <c r="G556" s="2"/>
      <c r="H556" s="2"/>
      <c r="I556" s="2"/>
      <c r="J556" s="2"/>
      <c r="K556" s="2"/>
      <c r="L556" s="2"/>
      <c r="M556" s="2"/>
      <c r="N556" s="2"/>
      <c r="O556" s="2"/>
    </row>
    <row r="557" spans="1:15" s="3" customFormat="1">
      <c r="A557" s="4"/>
      <c r="C557" s="2"/>
      <c r="D557" s="2"/>
      <c r="E557" s="2"/>
      <c r="F557" s="2"/>
      <c r="G557" s="2"/>
      <c r="H557" s="2"/>
      <c r="I557" s="2"/>
      <c r="J557" s="2"/>
      <c r="K557" s="2"/>
      <c r="L557" s="2"/>
      <c r="M557" s="2"/>
      <c r="N557" s="2"/>
      <c r="O557" s="2"/>
    </row>
    <row r="558" spans="1:15" s="3" customFormat="1">
      <c r="A558" s="4"/>
      <c r="C558" s="2"/>
      <c r="D558" s="2"/>
      <c r="E558" s="2"/>
      <c r="F558" s="2"/>
      <c r="G558" s="2"/>
      <c r="H558" s="2"/>
      <c r="I558" s="2"/>
      <c r="J558" s="2"/>
      <c r="K558" s="2"/>
      <c r="L558" s="2"/>
      <c r="M558" s="2"/>
      <c r="N558" s="2"/>
      <c r="O558" s="2"/>
    </row>
    <row r="559" spans="1:15" s="3" customFormat="1">
      <c r="A559" s="4"/>
      <c r="C559" s="2"/>
      <c r="D559" s="2"/>
      <c r="E559" s="2"/>
      <c r="F559" s="2"/>
      <c r="G559" s="2"/>
      <c r="H559" s="2"/>
      <c r="I559" s="2"/>
      <c r="J559" s="2"/>
      <c r="K559" s="2"/>
      <c r="L559" s="2"/>
      <c r="M559" s="2"/>
      <c r="N559" s="2"/>
      <c r="O559" s="2"/>
    </row>
    <row r="560" spans="1:15" s="3" customFormat="1">
      <c r="A560" s="4"/>
      <c r="C560" s="2"/>
      <c r="D560" s="2"/>
      <c r="E560" s="2"/>
      <c r="F560" s="2"/>
      <c r="G560" s="2"/>
      <c r="H560" s="2"/>
      <c r="I560" s="2"/>
      <c r="J560" s="2"/>
      <c r="K560" s="2"/>
      <c r="L560" s="2"/>
      <c r="M560" s="2"/>
      <c r="N560" s="2"/>
      <c r="O560" s="2"/>
    </row>
    <row r="561" spans="1:15" s="3" customFormat="1">
      <c r="A561" s="4"/>
      <c r="C561" s="2"/>
      <c r="D561" s="2"/>
      <c r="E561" s="2"/>
      <c r="F561" s="2"/>
      <c r="G561" s="2"/>
      <c r="H561" s="2"/>
      <c r="I561" s="2"/>
      <c r="J561" s="2"/>
      <c r="K561" s="2"/>
      <c r="L561" s="2"/>
      <c r="M561" s="2"/>
      <c r="N561" s="2"/>
      <c r="O561" s="2"/>
    </row>
    <row r="562" spans="1:15" s="3" customFormat="1">
      <c r="A562" s="4"/>
      <c r="C562" s="2"/>
      <c r="D562" s="2"/>
      <c r="E562" s="2"/>
      <c r="F562" s="2"/>
      <c r="G562" s="2"/>
      <c r="H562" s="2"/>
      <c r="I562" s="2"/>
      <c r="J562" s="2"/>
      <c r="K562" s="2"/>
      <c r="L562" s="2"/>
      <c r="M562" s="2"/>
      <c r="N562" s="2"/>
      <c r="O562" s="2"/>
    </row>
    <row r="563" spans="1:15" s="3" customFormat="1">
      <c r="A563" s="4"/>
      <c r="C563" s="2"/>
      <c r="D563" s="2"/>
      <c r="E563" s="2"/>
      <c r="F563" s="2"/>
      <c r="G563" s="2"/>
      <c r="H563" s="2"/>
      <c r="I563" s="2"/>
      <c r="J563" s="2"/>
      <c r="K563" s="2"/>
      <c r="L563" s="2"/>
      <c r="M563" s="2"/>
      <c r="N563" s="2"/>
      <c r="O563" s="2"/>
    </row>
    <row r="564" spans="1:15" s="3" customFormat="1">
      <c r="A564" s="4"/>
      <c r="C564" s="2"/>
      <c r="D564" s="2"/>
      <c r="E564" s="2"/>
      <c r="F564" s="2"/>
      <c r="G564" s="2"/>
      <c r="H564" s="2"/>
      <c r="I564" s="2"/>
      <c r="J564" s="2"/>
      <c r="K564" s="2"/>
      <c r="L564" s="2"/>
      <c r="M564" s="2"/>
      <c r="N564" s="2"/>
      <c r="O564" s="2"/>
    </row>
    <row r="565" spans="1:15" s="3" customFormat="1">
      <c r="A565" s="4"/>
      <c r="C565" s="2"/>
      <c r="D565" s="2"/>
      <c r="E565" s="2"/>
      <c r="F565" s="2"/>
      <c r="G565" s="2"/>
      <c r="H565" s="2"/>
      <c r="I565" s="2"/>
      <c r="J565" s="2"/>
      <c r="K565" s="2"/>
      <c r="L565" s="2"/>
      <c r="M565" s="2"/>
      <c r="N565" s="2"/>
      <c r="O565" s="2"/>
    </row>
    <row r="566" spans="1:15" s="3" customFormat="1">
      <c r="A566" s="4"/>
      <c r="C566" s="2"/>
      <c r="D566" s="2"/>
      <c r="E566" s="2"/>
      <c r="F566" s="2"/>
      <c r="G566" s="2"/>
      <c r="H566" s="2"/>
      <c r="I566" s="2"/>
      <c r="J566" s="2"/>
      <c r="K566" s="2"/>
      <c r="L566" s="2"/>
      <c r="M566" s="2"/>
      <c r="N566" s="2"/>
      <c r="O566" s="2"/>
    </row>
    <row r="567" spans="1:15" s="3" customFormat="1">
      <c r="A567" s="4"/>
      <c r="C567" s="2"/>
      <c r="D567" s="2"/>
      <c r="E567" s="2"/>
      <c r="F567" s="2"/>
      <c r="G567" s="2"/>
      <c r="H567" s="2"/>
      <c r="I567" s="2"/>
      <c r="J567" s="2"/>
      <c r="K567" s="2"/>
      <c r="L567" s="2"/>
      <c r="M567" s="2"/>
      <c r="N567" s="2"/>
      <c r="O567" s="2"/>
    </row>
    <row r="568" spans="1:15" s="3" customFormat="1">
      <c r="A568" s="4"/>
      <c r="C568" s="2"/>
      <c r="D568" s="2"/>
      <c r="E568" s="2"/>
      <c r="F568" s="2"/>
      <c r="G568" s="2"/>
      <c r="H568" s="2"/>
      <c r="I568" s="2"/>
      <c r="J568" s="2"/>
      <c r="K568" s="2"/>
      <c r="L568" s="2"/>
      <c r="M568" s="2"/>
      <c r="N568" s="2"/>
      <c r="O568" s="2"/>
    </row>
    <row r="569" spans="1:15" s="3" customFormat="1">
      <c r="A569" s="4"/>
      <c r="C569" s="2"/>
      <c r="D569" s="2"/>
      <c r="E569" s="2"/>
      <c r="F569" s="2"/>
      <c r="G569" s="2"/>
      <c r="H569" s="2"/>
      <c r="I569" s="2"/>
      <c r="J569" s="2"/>
      <c r="K569" s="2"/>
      <c r="L569" s="2"/>
      <c r="M569" s="2"/>
      <c r="N569" s="2"/>
      <c r="O569" s="2"/>
    </row>
    <row r="570" spans="1:15" s="3" customFormat="1">
      <c r="A570" s="4"/>
      <c r="C570" s="2"/>
      <c r="D570" s="2"/>
      <c r="E570" s="2"/>
      <c r="F570" s="2"/>
      <c r="G570" s="2"/>
      <c r="H570" s="2"/>
      <c r="I570" s="2"/>
      <c r="J570" s="2"/>
      <c r="K570" s="2"/>
      <c r="L570" s="2"/>
      <c r="M570" s="2"/>
      <c r="N570" s="2"/>
      <c r="O570" s="2"/>
    </row>
    <row r="571" spans="1:15" s="3" customFormat="1">
      <c r="A571" s="4"/>
      <c r="C571" s="2"/>
      <c r="D571" s="2"/>
      <c r="E571" s="2"/>
      <c r="F571" s="2"/>
      <c r="G571" s="2"/>
      <c r="H571" s="2"/>
      <c r="I571" s="2"/>
      <c r="J571" s="2"/>
      <c r="K571" s="2"/>
      <c r="L571" s="2"/>
      <c r="M571" s="2"/>
      <c r="N571" s="2"/>
      <c r="O571" s="2"/>
    </row>
    <row r="572" spans="1:15" s="3" customFormat="1">
      <c r="A572" s="4"/>
      <c r="C572" s="2"/>
      <c r="D572" s="2"/>
      <c r="E572" s="2"/>
      <c r="F572" s="2"/>
      <c r="G572" s="2"/>
      <c r="H572" s="2"/>
      <c r="I572" s="2"/>
      <c r="J572" s="2"/>
      <c r="K572" s="2"/>
      <c r="L572" s="2"/>
      <c r="M572" s="2"/>
      <c r="N572" s="2"/>
      <c r="O572" s="2"/>
    </row>
    <row r="573" spans="1:15" s="3" customFormat="1">
      <c r="A573" s="4"/>
      <c r="C573" s="2"/>
      <c r="D573" s="2"/>
      <c r="E573" s="2"/>
      <c r="F573" s="2"/>
      <c r="G573" s="2"/>
      <c r="H573" s="2"/>
      <c r="I573" s="2"/>
      <c r="J573" s="2"/>
      <c r="K573" s="2"/>
      <c r="L573" s="2"/>
      <c r="M573" s="2"/>
      <c r="N573" s="2"/>
      <c r="O573" s="2"/>
    </row>
    <row r="574" spans="1:15" s="3" customFormat="1">
      <c r="A574" s="4"/>
      <c r="C574" s="2"/>
      <c r="D574" s="2"/>
      <c r="E574" s="2"/>
      <c r="F574" s="2"/>
      <c r="G574" s="2"/>
      <c r="H574" s="2"/>
      <c r="I574" s="2"/>
      <c r="J574" s="2"/>
      <c r="K574" s="2"/>
      <c r="L574" s="2"/>
      <c r="M574" s="2"/>
      <c r="N574" s="2"/>
      <c r="O574" s="2"/>
    </row>
    <row r="575" spans="1:15" s="3" customFormat="1">
      <c r="A575" s="4"/>
      <c r="C575" s="2"/>
      <c r="D575" s="2"/>
      <c r="E575" s="2"/>
      <c r="F575" s="2"/>
      <c r="G575" s="2"/>
      <c r="H575" s="2"/>
      <c r="I575" s="2"/>
      <c r="J575" s="2"/>
      <c r="K575" s="2"/>
      <c r="L575" s="2"/>
      <c r="M575" s="2"/>
      <c r="N575" s="2"/>
      <c r="O575" s="2"/>
    </row>
    <row r="576" spans="1:15" s="3" customFormat="1">
      <c r="A576" s="4"/>
      <c r="C576" s="2"/>
      <c r="D576" s="2"/>
      <c r="E576" s="2"/>
      <c r="F576" s="2"/>
      <c r="G576" s="2"/>
      <c r="H576" s="2"/>
      <c r="I576" s="2"/>
      <c r="J576" s="2"/>
      <c r="K576" s="2"/>
      <c r="L576" s="2"/>
      <c r="M576" s="2"/>
      <c r="N576" s="2"/>
      <c r="O576" s="2"/>
    </row>
    <row r="577" spans="1:15" s="3" customFormat="1">
      <c r="A577" s="4"/>
      <c r="C577" s="2"/>
      <c r="D577" s="2"/>
      <c r="E577" s="2"/>
      <c r="F577" s="2"/>
      <c r="G577" s="2"/>
      <c r="H577" s="2"/>
      <c r="I577" s="2"/>
      <c r="J577" s="2"/>
      <c r="K577" s="2"/>
      <c r="L577" s="2"/>
      <c r="M577" s="2"/>
      <c r="N577" s="2"/>
      <c r="O577" s="2"/>
    </row>
    <row r="578" spans="1:15" s="3" customFormat="1">
      <c r="A578" s="4"/>
      <c r="C578" s="2"/>
      <c r="D578" s="2"/>
      <c r="E578" s="2"/>
      <c r="F578" s="2"/>
      <c r="G578" s="2"/>
      <c r="H578" s="2"/>
      <c r="I578" s="2"/>
      <c r="J578" s="2"/>
      <c r="K578" s="2"/>
      <c r="L578" s="2"/>
      <c r="M578" s="2"/>
      <c r="N578" s="2"/>
      <c r="O578" s="2"/>
    </row>
    <row r="579" spans="1:15" s="3" customFormat="1">
      <c r="A579" s="4"/>
      <c r="C579" s="2"/>
      <c r="D579" s="2"/>
      <c r="E579" s="2"/>
      <c r="F579" s="2"/>
      <c r="G579" s="2"/>
      <c r="H579" s="2"/>
      <c r="I579" s="2"/>
      <c r="J579" s="2"/>
      <c r="K579" s="2"/>
      <c r="L579" s="2"/>
      <c r="M579" s="2"/>
      <c r="N579" s="2"/>
      <c r="O579" s="2"/>
    </row>
    <row r="580" spans="1:15" s="3" customFormat="1">
      <c r="A580" s="4"/>
      <c r="C580" s="2"/>
      <c r="D580" s="2"/>
      <c r="E580" s="2"/>
      <c r="F580" s="2"/>
      <c r="G580" s="2"/>
      <c r="H580" s="2"/>
      <c r="I580" s="2"/>
      <c r="J580" s="2"/>
      <c r="K580" s="2"/>
      <c r="L580" s="2"/>
      <c r="M580" s="2"/>
      <c r="N580" s="2"/>
      <c r="O580" s="2"/>
    </row>
    <row r="581" spans="1:15" s="3" customFormat="1">
      <c r="A581" s="4"/>
      <c r="C581" s="2"/>
      <c r="D581" s="2"/>
      <c r="E581" s="2"/>
      <c r="F581" s="2"/>
      <c r="G581" s="2"/>
      <c r="H581" s="2"/>
      <c r="I581" s="2"/>
      <c r="J581" s="2"/>
      <c r="K581" s="2"/>
      <c r="L581" s="2"/>
      <c r="M581" s="2"/>
      <c r="N581" s="2"/>
      <c r="O581" s="2"/>
    </row>
    <row r="582" spans="1:15" s="3" customFormat="1">
      <c r="A582" s="4"/>
      <c r="C582" s="2"/>
      <c r="D582" s="2"/>
      <c r="E582" s="2"/>
      <c r="F582" s="2"/>
      <c r="G582" s="2"/>
      <c r="H582" s="2"/>
      <c r="I582" s="2"/>
      <c r="J582" s="2"/>
      <c r="K582" s="2"/>
      <c r="L582" s="2"/>
      <c r="M582" s="2"/>
      <c r="N582" s="2"/>
      <c r="O582" s="2"/>
    </row>
    <row r="583" spans="1:15" s="3" customFormat="1">
      <c r="A583" s="4"/>
      <c r="C583" s="2"/>
      <c r="D583" s="2"/>
      <c r="E583" s="2"/>
      <c r="F583" s="2"/>
      <c r="G583" s="2"/>
      <c r="H583" s="2"/>
      <c r="I583" s="2"/>
      <c r="J583" s="2"/>
      <c r="K583" s="2"/>
      <c r="L583" s="2"/>
      <c r="M583" s="2"/>
      <c r="N583" s="2"/>
      <c r="O583" s="2"/>
    </row>
    <row r="584" spans="1:15" s="3" customFormat="1">
      <c r="A584" s="4"/>
      <c r="C584" s="2"/>
      <c r="D584" s="2"/>
      <c r="E584" s="2"/>
      <c r="F584" s="2"/>
      <c r="G584" s="2"/>
      <c r="H584" s="2"/>
      <c r="I584" s="2"/>
      <c r="J584" s="2"/>
      <c r="K584" s="2"/>
      <c r="L584" s="2"/>
      <c r="M584" s="2"/>
      <c r="N584" s="2"/>
      <c r="O584" s="2"/>
    </row>
    <row r="585" spans="1:15" s="3" customFormat="1">
      <c r="A585" s="4"/>
      <c r="C585" s="2"/>
      <c r="D585" s="2"/>
      <c r="E585" s="2"/>
      <c r="F585" s="2"/>
      <c r="G585" s="2"/>
      <c r="H585" s="2"/>
      <c r="I585" s="2"/>
      <c r="J585" s="2"/>
      <c r="K585" s="2"/>
      <c r="L585" s="2"/>
      <c r="M585" s="2"/>
      <c r="N585" s="2"/>
      <c r="O585" s="2"/>
    </row>
    <row r="586" spans="1:15" s="3" customFormat="1">
      <c r="A586" s="4"/>
      <c r="C586" s="2"/>
      <c r="D586" s="2"/>
      <c r="E586" s="2"/>
      <c r="F586" s="2"/>
      <c r="G586" s="2"/>
      <c r="H586" s="2"/>
      <c r="I586" s="2"/>
      <c r="J586" s="2"/>
      <c r="K586" s="2"/>
      <c r="L586" s="2"/>
      <c r="M586" s="2"/>
      <c r="N586" s="2"/>
      <c r="O586" s="2"/>
    </row>
    <row r="587" spans="1:15" s="3" customFormat="1">
      <c r="A587" s="4"/>
      <c r="C587" s="2"/>
      <c r="D587" s="2"/>
      <c r="E587" s="2"/>
      <c r="F587" s="2"/>
      <c r="G587" s="2"/>
      <c r="H587" s="2"/>
      <c r="I587" s="2"/>
      <c r="J587" s="2"/>
      <c r="K587" s="2"/>
      <c r="L587" s="2"/>
      <c r="M587" s="2"/>
      <c r="N587" s="2"/>
      <c r="O587" s="2"/>
    </row>
    <row r="588" spans="1:15" s="3" customFormat="1">
      <c r="A588" s="4"/>
      <c r="C588" s="2"/>
      <c r="D588" s="2"/>
      <c r="E588" s="2"/>
      <c r="F588" s="2"/>
      <c r="G588" s="2"/>
      <c r="H588" s="2"/>
      <c r="I588" s="2"/>
      <c r="J588" s="2"/>
      <c r="K588" s="2"/>
      <c r="L588" s="2"/>
      <c r="M588" s="2"/>
      <c r="N588" s="2"/>
      <c r="O588" s="2"/>
    </row>
    <row r="589" spans="1:15" s="3" customFormat="1">
      <c r="A589" s="4"/>
      <c r="C589" s="2"/>
      <c r="D589" s="2"/>
      <c r="E589" s="2"/>
      <c r="F589" s="2"/>
      <c r="G589" s="2"/>
      <c r="H589" s="2"/>
      <c r="I589" s="2"/>
      <c r="J589" s="2"/>
      <c r="K589" s="2"/>
      <c r="L589" s="2"/>
      <c r="M589" s="2"/>
      <c r="N589" s="2"/>
      <c r="O589" s="2"/>
    </row>
    <row r="590" spans="1:15" s="3" customFormat="1">
      <c r="A590" s="4"/>
      <c r="C590" s="2"/>
      <c r="D590" s="2"/>
      <c r="E590" s="2"/>
      <c r="F590" s="2"/>
      <c r="G590" s="2"/>
      <c r="H590" s="2"/>
      <c r="I590" s="2"/>
      <c r="J590" s="2"/>
      <c r="K590" s="2"/>
      <c r="L590" s="2"/>
      <c r="M590" s="2"/>
      <c r="N590" s="2"/>
      <c r="O590" s="2"/>
    </row>
    <row r="591" spans="1:15" s="3" customFormat="1">
      <c r="A591" s="4"/>
      <c r="C591" s="2"/>
      <c r="D591" s="2"/>
      <c r="E591" s="2"/>
      <c r="F591" s="2"/>
      <c r="G591" s="2"/>
      <c r="H591" s="2"/>
      <c r="I591" s="2"/>
      <c r="J591" s="2"/>
      <c r="K591" s="2"/>
      <c r="L591" s="2"/>
      <c r="M591" s="2"/>
      <c r="N591" s="2"/>
      <c r="O591" s="2"/>
    </row>
    <row r="592" spans="1:15" s="3" customFormat="1">
      <c r="A592" s="4"/>
      <c r="C592" s="2"/>
      <c r="D592" s="2"/>
      <c r="E592" s="2"/>
      <c r="F592" s="2"/>
      <c r="G592" s="2"/>
      <c r="H592" s="2"/>
      <c r="I592" s="2"/>
      <c r="J592" s="2"/>
      <c r="K592" s="2"/>
      <c r="L592" s="2"/>
      <c r="M592" s="2"/>
      <c r="N592" s="2"/>
      <c r="O592" s="2"/>
    </row>
    <row r="593" spans="1:15" s="3" customFormat="1">
      <c r="A593" s="4"/>
      <c r="C593" s="2"/>
      <c r="D593" s="2"/>
      <c r="E593" s="2"/>
      <c r="F593" s="2"/>
      <c r="G593" s="2"/>
      <c r="H593" s="2"/>
      <c r="I593" s="2"/>
      <c r="J593" s="2"/>
      <c r="K593" s="2"/>
      <c r="L593" s="2"/>
      <c r="M593" s="2"/>
      <c r="N593" s="2"/>
      <c r="O593" s="2"/>
    </row>
    <row r="594" spans="1:15" s="3" customFormat="1">
      <c r="A594" s="4"/>
      <c r="C594" s="2"/>
      <c r="D594" s="2"/>
      <c r="E594" s="2"/>
      <c r="F594" s="2"/>
      <c r="G594" s="2"/>
      <c r="H594" s="2"/>
      <c r="I594" s="2"/>
      <c r="J594" s="2"/>
      <c r="K594" s="2"/>
      <c r="L594" s="2"/>
      <c r="M594" s="2"/>
      <c r="N594" s="2"/>
      <c r="O594" s="2"/>
    </row>
    <row r="595" spans="1:15" s="3" customFormat="1">
      <c r="A595" s="4"/>
      <c r="C595" s="2"/>
      <c r="D595" s="2"/>
      <c r="E595" s="2"/>
      <c r="F595" s="2"/>
      <c r="G595" s="2"/>
      <c r="H595" s="2"/>
      <c r="I595" s="2"/>
      <c r="J595" s="2"/>
      <c r="K595" s="2"/>
      <c r="L595" s="2"/>
      <c r="M595" s="2"/>
      <c r="N595" s="2"/>
      <c r="O595" s="2"/>
    </row>
    <row r="596" spans="1:15" s="3" customFormat="1">
      <c r="A596" s="4"/>
      <c r="C596" s="2"/>
      <c r="D596" s="2"/>
      <c r="E596" s="2"/>
      <c r="F596" s="2"/>
      <c r="G596" s="2"/>
      <c r="H596" s="2"/>
      <c r="I596" s="2"/>
      <c r="J596" s="2"/>
      <c r="K596" s="2"/>
      <c r="L596" s="2"/>
      <c r="M596" s="2"/>
      <c r="N596" s="2"/>
      <c r="O596" s="2"/>
    </row>
    <row r="597" spans="1:15" s="3" customFormat="1">
      <c r="A597" s="4"/>
      <c r="C597" s="2"/>
      <c r="D597" s="2"/>
      <c r="E597" s="2"/>
      <c r="F597" s="2"/>
      <c r="G597" s="2"/>
      <c r="H597" s="2"/>
      <c r="I597" s="2"/>
      <c r="J597" s="2"/>
      <c r="K597" s="2"/>
      <c r="L597" s="2"/>
      <c r="M597" s="2"/>
      <c r="N597" s="2"/>
      <c r="O597" s="2"/>
    </row>
    <row r="598" spans="1:15" s="3" customFormat="1">
      <c r="A598" s="4"/>
      <c r="C598" s="2"/>
      <c r="D598" s="2"/>
      <c r="E598" s="2"/>
      <c r="F598" s="2"/>
      <c r="G598" s="2"/>
      <c r="H598" s="2"/>
      <c r="I598" s="2"/>
      <c r="J598" s="2"/>
      <c r="K598" s="2"/>
      <c r="L598" s="2"/>
      <c r="M598" s="2"/>
      <c r="N598" s="2"/>
      <c r="O598" s="2"/>
    </row>
    <row r="599" spans="1:15" s="3" customFormat="1">
      <c r="A599" s="4"/>
      <c r="C599" s="2"/>
      <c r="D599" s="2"/>
      <c r="E599" s="2"/>
      <c r="F599" s="2"/>
      <c r="G599" s="2"/>
      <c r="H599" s="2"/>
      <c r="I599" s="2"/>
      <c r="J599" s="2"/>
      <c r="K599" s="2"/>
      <c r="L599" s="2"/>
      <c r="M599" s="2"/>
      <c r="N599" s="2"/>
      <c r="O599" s="2"/>
    </row>
    <row r="600" spans="1:15" s="3" customFormat="1">
      <c r="A600" s="4"/>
      <c r="C600" s="2"/>
      <c r="D600" s="2"/>
      <c r="E600" s="2"/>
      <c r="F600" s="2"/>
      <c r="G600" s="2"/>
      <c r="H600" s="2"/>
      <c r="I600" s="2"/>
      <c r="J600" s="2"/>
      <c r="K600" s="2"/>
      <c r="L600" s="2"/>
      <c r="M600" s="2"/>
      <c r="N600" s="2"/>
      <c r="O600" s="2"/>
    </row>
    <row r="601" spans="1:15" s="3" customFormat="1">
      <c r="A601" s="4"/>
      <c r="C601" s="2"/>
      <c r="D601" s="2"/>
      <c r="E601" s="2"/>
      <c r="F601" s="2"/>
      <c r="G601" s="2"/>
      <c r="H601" s="2"/>
      <c r="I601" s="2"/>
      <c r="J601" s="2"/>
      <c r="K601" s="2"/>
      <c r="L601" s="2"/>
      <c r="M601" s="2"/>
      <c r="N601" s="2"/>
      <c r="O601" s="2"/>
    </row>
    <row r="602" spans="1:15" s="3" customFormat="1">
      <c r="A602" s="4"/>
      <c r="C602" s="2"/>
      <c r="D602" s="2"/>
      <c r="E602" s="2"/>
      <c r="F602" s="2"/>
      <c r="G602" s="2"/>
      <c r="H602" s="2"/>
      <c r="I602" s="2"/>
      <c r="J602" s="2"/>
      <c r="K602" s="2"/>
      <c r="L602" s="2"/>
      <c r="M602" s="2"/>
      <c r="N602" s="2"/>
      <c r="O602" s="2"/>
    </row>
    <row r="603" spans="1:15" s="3" customFormat="1">
      <c r="A603" s="4"/>
      <c r="C603" s="2"/>
      <c r="D603" s="2"/>
      <c r="E603" s="2"/>
      <c r="F603" s="2"/>
      <c r="G603" s="2"/>
      <c r="H603" s="2"/>
      <c r="I603" s="2"/>
      <c r="J603" s="2"/>
      <c r="K603" s="2"/>
      <c r="L603" s="2"/>
      <c r="M603" s="2"/>
      <c r="N603" s="2"/>
      <c r="O603" s="2"/>
    </row>
    <row r="604" spans="1:15" s="3" customFormat="1">
      <c r="A604" s="4"/>
      <c r="C604" s="2"/>
      <c r="D604" s="2"/>
      <c r="E604" s="2"/>
      <c r="F604" s="2"/>
      <c r="G604" s="2"/>
      <c r="H604" s="2"/>
      <c r="I604" s="2"/>
      <c r="J604" s="2"/>
      <c r="K604" s="2"/>
      <c r="L604" s="2"/>
      <c r="M604" s="2"/>
      <c r="N604" s="2"/>
      <c r="O604" s="2"/>
    </row>
    <row r="605" spans="1:15" s="3" customFormat="1">
      <c r="A605" s="4"/>
      <c r="C605" s="2"/>
      <c r="D605" s="2"/>
      <c r="E605" s="2"/>
      <c r="F605" s="2"/>
      <c r="G605" s="2"/>
      <c r="H605" s="2"/>
      <c r="I605" s="2"/>
      <c r="J605" s="2"/>
      <c r="K605" s="2"/>
      <c r="L605" s="2"/>
      <c r="M605" s="2"/>
      <c r="N605" s="2"/>
      <c r="O605" s="2"/>
    </row>
    <row r="606" spans="1:15" s="3" customFormat="1">
      <c r="A606" s="4"/>
      <c r="C606" s="2"/>
      <c r="D606" s="2"/>
      <c r="E606" s="2"/>
      <c r="F606" s="2"/>
      <c r="G606" s="2"/>
      <c r="H606" s="2"/>
      <c r="I606" s="2"/>
      <c r="J606" s="2"/>
      <c r="K606" s="2"/>
      <c r="L606" s="2"/>
      <c r="M606" s="2"/>
      <c r="N606" s="2"/>
      <c r="O606" s="2"/>
    </row>
    <row r="607" spans="1:15" s="3" customFormat="1">
      <c r="A607" s="4"/>
      <c r="C607" s="2"/>
      <c r="D607" s="2"/>
      <c r="E607" s="2"/>
      <c r="F607" s="2"/>
      <c r="G607" s="2"/>
      <c r="H607" s="2"/>
      <c r="I607" s="2"/>
      <c r="J607" s="2"/>
      <c r="K607" s="2"/>
      <c r="L607" s="2"/>
      <c r="M607" s="2"/>
      <c r="N607" s="2"/>
      <c r="O607" s="2"/>
    </row>
    <row r="608" spans="1:15" s="3" customFormat="1">
      <c r="A608" s="4"/>
      <c r="C608" s="2"/>
      <c r="D608" s="2"/>
      <c r="E608" s="2"/>
      <c r="F608" s="2"/>
      <c r="G608" s="2"/>
      <c r="H608" s="2"/>
      <c r="I608" s="2"/>
      <c r="J608" s="2"/>
      <c r="K608" s="2"/>
      <c r="L608" s="2"/>
      <c r="M608" s="2"/>
      <c r="N608" s="2"/>
      <c r="O608" s="2"/>
    </row>
    <row r="609" spans="1:15" s="3" customFormat="1">
      <c r="A609" s="4"/>
      <c r="C609" s="2"/>
      <c r="D609" s="2"/>
      <c r="E609" s="2"/>
      <c r="F609" s="2"/>
      <c r="G609" s="2"/>
      <c r="H609" s="2"/>
      <c r="I609" s="2"/>
      <c r="J609" s="2"/>
      <c r="K609" s="2"/>
      <c r="L609" s="2"/>
      <c r="M609" s="2"/>
      <c r="N609" s="2"/>
      <c r="O609" s="2"/>
    </row>
    <row r="610" spans="1:15" s="3" customFormat="1">
      <c r="A610" s="4"/>
      <c r="C610" s="2"/>
      <c r="D610" s="2"/>
      <c r="E610" s="2"/>
      <c r="F610" s="2"/>
      <c r="G610" s="2"/>
      <c r="H610" s="2"/>
      <c r="I610" s="2"/>
      <c r="J610" s="2"/>
      <c r="K610" s="2"/>
      <c r="L610" s="2"/>
      <c r="M610" s="2"/>
      <c r="N610" s="2"/>
      <c r="O610" s="2"/>
    </row>
    <row r="611" spans="1:15" s="3" customFormat="1">
      <c r="A611" s="4"/>
      <c r="C611" s="2"/>
      <c r="D611" s="2"/>
      <c r="E611" s="2"/>
      <c r="F611" s="2"/>
      <c r="G611" s="2"/>
      <c r="H611" s="2"/>
      <c r="I611" s="2"/>
      <c r="J611" s="2"/>
      <c r="K611" s="2"/>
      <c r="L611" s="2"/>
      <c r="M611" s="2"/>
      <c r="N611" s="2"/>
      <c r="O611" s="2"/>
    </row>
    <row r="612" spans="1:15" s="3" customFormat="1">
      <c r="A612" s="4"/>
      <c r="C612" s="2"/>
      <c r="D612" s="2"/>
      <c r="E612" s="2"/>
      <c r="F612" s="2"/>
      <c r="G612" s="2"/>
      <c r="H612" s="2"/>
      <c r="I612" s="2"/>
      <c r="J612" s="2"/>
      <c r="K612" s="2"/>
      <c r="L612" s="2"/>
      <c r="M612" s="2"/>
      <c r="N612" s="2"/>
      <c r="O612" s="2"/>
    </row>
    <row r="613" spans="1:15" s="3" customFormat="1">
      <c r="A613" s="4"/>
      <c r="C613" s="2"/>
      <c r="D613" s="2"/>
      <c r="E613" s="2"/>
      <c r="F613" s="2"/>
      <c r="G613" s="2"/>
      <c r="H613" s="2"/>
      <c r="I613" s="2"/>
      <c r="J613" s="2"/>
      <c r="K613" s="2"/>
      <c r="L613" s="2"/>
      <c r="M613" s="2"/>
      <c r="N613" s="2"/>
      <c r="O613" s="2"/>
    </row>
    <row r="614" spans="1:15" s="3" customFormat="1">
      <c r="A614" s="4"/>
      <c r="C614" s="2"/>
      <c r="D614" s="2"/>
      <c r="E614" s="2"/>
      <c r="F614" s="2"/>
      <c r="G614" s="2"/>
      <c r="H614" s="2"/>
      <c r="I614" s="2"/>
      <c r="J614" s="2"/>
      <c r="K614" s="2"/>
      <c r="L614" s="2"/>
      <c r="M614" s="2"/>
      <c r="N614" s="2"/>
      <c r="O614" s="2"/>
    </row>
    <row r="615" spans="1:15" s="3" customFormat="1">
      <c r="A615" s="4"/>
      <c r="C615" s="2"/>
      <c r="D615" s="2"/>
      <c r="E615" s="2"/>
      <c r="F615" s="2"/>
      <c r="G615" s="2"/>
      <c r="H615" s="2"/>
      <c r="I615" s="2"/>
      <c r="J615" s="2"/>
      <c r="K615" s="2"/>
      <c r="L615" s="2"/>
      <c r="M615" s="2"/>
      <c r="N615" s="2"/>
      <c r="O615" s="2"/>
    </row>
    <row r="616" spans="1:15" s="3" customFormat="1">
      <c r="A616" s="4"/>
      <c r="C616" s="2"/>
      <c r="D616" s="2"/>
      <c r="E616" s="2"/>
      <c r="F616" s="2"/>
      <c r="G616" s="2"/>
      <c r="H616" s="2"/>
      <c r="I616" s="2"/>
      <c r="J616" s="2"/>
      <c r="K616" s="2"/>
      <c r="L616" s="2"/>
      <c r="M616" s="2"/>
      <c r="N616" s="2"/>
      <c r="O616" s="2"/>
    </row>
    <row r="617" spans="1:15" s="3" customFormat="1">
      <c r="A617" s="4"/>
      <c r="C617" s="2"/>
      <c r="D617" s="2"/>
      <c r="E617" s="2"/>
      <c r="F617" s="2"/>
      <c r="G617" s="2"/>
      <c r="H617" s="2"/>
      <c r="I617" s="2"/>
      <c r="J617" s="2"/>
      <c r="K617" s="2"/>
      <c r="L617" s="2"/>
      <c r="M617" s="2"/>
      <c r="N617" s="2"/>
      <c r="O617" s="2"/>
    </row>
    <row r="618" spans="1:15" s="3" customFormat="1">
      <c r="A618" s="4"/>
      <c r="C618" s="2"/>
      <c r="D618" s="2"/>
      <c r="E618" s="2"/>
      <c r="F618" s="2"/>
      <c r="G618" s="2"/>
      <c r="H618" s="2"/>
      <c r="I618" s="2"/>
      <c r="J618" s="2"/>
      <c r="K618" s="2"/>
      <c r="L618" s="2"/>
      <c r="M618" s="2"/>
      <c r="N618" s="2"/>
      <c r="O618" s="2"/>
    </row>
    <row r="619" spans="1:15" s="3" customFormat="1">
      <c r="A619" s="4"/>
      <c r="C619" s="2"/>
      <c r="D619" s="2"/>
      <c r="E619" s="2"/>
      <c r="F619" s="2"/>
      <c r="G619" s="2"/>
      <c r="H619" s="2"/>
      <c r="I619" s="2"/>
      <c r="J619" s="2"/>
      <c r="K619" s="2"/>
      <c r="L619" s="2"/>
      <c r="M619" s="2"/>
      <c r="N619" s="2"/>
      <c r="O619" s="2"/>
    </row>
    <row r="620" spans="1:15" s="3" customFormat="1">
      <c r="A620" s="4"/>
      <c r="C620" s="2"/>
      <c r="D620" s="2"/>
      <c r="E620" s="2"/>
      <c r="F620" s="2"/>
      <c r="G620" s="2"/>
      <c r="H620" s="2"/>
      <c r="I620" s="2"/>
      <c r="J620" s="2"/>
      <c r="K620" s="2"/>
      <c r="L620" s="2"/>
      <c r="M620" s="2"/>
      <c r="N620" s="2"/>
      <c r="O620" s="2"/>
    </row>
    <row r="621" spans="1:15" s="3" customFormat="1">
      <c r="A621" s="4"/>
      <c r="C621" s="2"/>
      <c r="D621" s="2"/>
      <c r="E621" s="2"/>
      <c r="F621" s="2"/>
      <c r="G621" s="2"/>
      <c r="H621" s="2"/>
      <c r="I621" s="2"/>
      <c r="J621" s="2"/>
      <c r="K621" s="2"/>
      <c r="L621" s="2"/>
      <c r="M621" s="2"/>
      <c r="N621" s="2"/>
      <c r="O621" s="2"/>
    </row>
    <row r="622" spans="1:15" s="3" customFormat="1">
      <c r="A622" s="4"/>
      <c r="C622" s="2"/>
      <c r="D622" s="2"/>
      <c r="E622" s="2"/>
      <c r="F622" s="2"/>
      <c r="G622" s="2"/>
      <c r="H622" s="2"/>
      <c r="I622" s="2"/>
      <c r="J622" s="2"/>
      <c r="K622" s="2"/>
      <c r="L622" s="2"/>
      <c r="M622" s="2"/>
      <c r="N622" s="2"/>
      <c r="O622" s="2"/>
    </row>
    <row r="623" spans="1:15" s="3" customFormat="1">
      <c r="A623" s="4"/>
      <c r="C623" s="2"/>
      <c r="D623" s="2"/>
      <c r="E623" s="2"/>
      <c r="F623" s="2"/>
      <c r="G623" s="2"/>
      <c r="H623" s="2"/>
      <c r="I623" s="2"/>
      <c r="J623" s="2"/>
      <c r="K623" s="2"/>
      <c r="L623" s="2"/>
      <c r="M623" s="2"/>
      <c r="N623" s="2"/>
      <c r="O623" s="2"/>
    </row>
    <row r="624" spans="1:15" s="3" customFormat="1">
      <c r="A624" s="4"/>
      <c r="C624" s="2"/>
      <c r="D624" s="2"/>
      <c r="E624" s="2"/>
      <c r="F624" s="2"/>
      <c r="G624" s="2"/>
      <c r="H624" s="2"/>
      <c r="I624" s="2"/>
      <c r="J624" s="2"/>
      <c r="K624" s="2"/>
      <c r="L624" s="2"/>
      <c r="M624" s="2"/>
      <c r="N624" s="2"/>
      <c r="O624" s="2"/>
    </row>
    <row r="625" spans="1:15" s="3" customFormat="1">
      <c r="A625" s="4"/>
      <c r="C625" s="2"/>
      <c r="D625" s="2"/>
      <c r="E625" s="2"/>
      <c r="F625" s="2"/>
      <c r="G625" s="2"/>
      <c r="H625" s="2"/>
      <c r="I625" s="2"/>
      <c r="J625" s="2"/>
      <c r="K625" s="2"/>
      <c r="L625" s="2"/>
      <c r="M625" s="2"/>
      <c r="N625" s="2"/>
      <c r="O625" s="2"/>
    </row>
    <row r="626" spans="1:15" s="3" customFormat="1">
      <c r="A626" s="4"/>
      <c r="C626" s="2"/>
      <c r="D626" s="2"/>
      <c r="E626" s="2"/>
      <c r="F626" s="2"/>
      <c r="G626" s="2"/>
      <c r="H626" s="2"/>
      <c r="I626" s="2"/>
      <c r="J626" s="2"/>
      <c r="K626" s="2"/>
      <c r="L626" s="2"/>
      <c r="M626" s="2"/>
      <c r="N626" s="2"/>
      <c r="O626" s="2"/>
    </row>
    <row r="627" spans="1:15" s="3" customFormat="1">
      <c r="A627" s="4"/>
      <c r="C627" s="2"/>
      <c r="D627" s="2"/>
      <c r="E627" s="2"/>
      <c r="F627" s="2"/>
      <c r="G627" s="2"/>
      <c r="H627" s="2"/>
      <c r="I627" s="2"/>
      <c r="J627" s="2"/>
      <c r="K627" s="2"/>
      <c r="L627" s="2"/>
      <c r="M627" s="2"/>
      <c r="N627" s="2"/>
      <c r="O627" s="2"/>
    </row>
    <row r="628" spans="1:15" s="3" customFormat="1">
      <c r="A628" s="4"/>
      <c r="C628" s="2"/>
      <c r="D628" s="2"/>
      <c r="E628" s="2"/>
      <c r="F628" s="2"/>
      <c r="G628" s="2"/>
      <c r="H628" s="2"/>
      <c r="I628" s="2"/>
      <c r="J628" s="2"/>
      <c r="K628" s="2"/>
      <c r="L628" s="2"/>
      <c r="M628" s="2"/>
      <c r="N628" s="2"/>
      <c r="O628" s="2"/>
    </row>
    <row r="629" spans="1:15" s="3" customFormat="1">
      <c r="A629" s="4"/>
      <c r="C629" s="2"/>
      <c r="D629" s="2"/>
      <c r="E629" s="2"/>
      <c r="F629" s="2"/>
      <c r="G629" s="2"/>
      <c r="H629" s="2"/>
      <c r="I629" s="2"/>
      <c r="J629" s="2"/>
      <c r="K629" s="2"/>
      <c r="L629" s="2"/>
      <c r="M629" s="2"/>
      <c r="N629" s="2"/>
      <c r="O629" s="2"/>
    </row>
    <row r="630" spans="1:15" s="3" customFormat="1">
      <c r="A630" s="4"/>
      <c r="C630" s="2"/>
      <c r="D630" s="2"/>
      <c r="E630" s="2"/>
      <c r="F630" s="2"/>
      <c r="G630" s="2"/>
      <c r="H630" s="2"/>
      <c r="I630" s="2"/>
      <c r="J630" s="2"/>
      <c r="K630" s="2"/>
      <c r="L630" s="2"/>
      <c r="M630" s="2"/>
      <c r="N630" s="2"/>
      <c r="O630" s="2"/>
    </row>
    <row r="631" spans="1:15" s="3" customFormat="1">
      <c r="A631" s="4"/>
      <c r="C631" s="2"/>
      <c r="D631" s="2"/>
      <c r="E631" s="2"/>
      <c r="F631" s="2"/>
      <c r="G631" s="2"/>
      <c r="H631" s="2"/>
      <c r="I631" s="2"/>
      <c r="J631" s="2"/>
      <c r="K631" s="2"/>
      <c r="L631" s="2"/>
      <c r="M631" s="2"/>
      <c r="N631" s="2"/>
      <c r="O631" s="2"/>
    </row>
    <row r="632" spans="1:15" s="3" customFormat="1">
      <c r="A632" s="4"/>
      <c r="C632" s="2"/>
      <c r="D632" s="2"/>
      <c r="E632" s="2"/>
      <c r="F632" s="2"/>
      <c r="G632" s="2"/>
      <c r="H632" s="2"/>
      <c r="I632" s="2"/>
      <c r="J632" s="2"/>
      <c r="K632" s="2"/>
      <c r="L632" s="2"/>
      <c r="M632" s="2"/>
      <c r="N632" s="2"/>
      <c r="O632" s="2"/>
    </row>
    <row r="633" spans="1:15" s="3" customFormat="1">
      <c r="A633" s="4"/>
      <c r="C633" s="2"/>
      <c r="D633" s="2"/>
      <c r="E633" s="2"/>
      <c r="F633" s="2"/>
      <c r="G633" s="2"/>
      <c r="H633" s="2"/>
      <c r="I633" s="2"/>
      <c r="J633" s="2"/>
      <c r="K633" s="2"/>
      <c r="L633" s="2"/>
      <c r="M633" s="2"/>
      <c r="N633" s="2"/>
      <c r="O633" s="2"/>
    </row>
    <row r="634" spans="1:15" s="3" customFormat="1">
      <c r="A634" s="4"/>
      <c r="C634" s="2"/>
      <c r="D634" s="2"/>
      <c r="E634" s="2"/>
      <c r="F634" s="2"/>
      <c r="G634" s="2"/>
      <c r="H634" s="2"/>
      <c r="I634" s="2"/>
      <c r="J634" s="2"/>
      <c r="K634" s="2"/>
      <c r="L634" s="2"/>
      <c r="M634" s="2"/>
      <c r="N634" s="2"/>
      <c r="O634" s="2"/>
    </row>
    <row r="635" spans="1:15" s="3" customFormat="1">
      <c r="A635" s="4"/>
      <c r="C635" s="2"/>
      <c r="D635" s="2"/>
      <c r="E635" s="2"/>
      <c r="F635" s="2"/>
      <c r="G635" s="2"/>
      <c r="H635" s="2"/>
      <c r="I635" s="2"/>
      <c r="J635" s="2"/>
      <c r="K635" s="2"/>
      <c r="L635" s="2"/>
      <c r="M635" s="2"/>
      <c r="N635" s="2"/>
      <c r="O635" s="2"/>
    </row>
    <row r="636" spans="1:15" s="3" customFormat="1">
      <c r="A636" s="4"/>
      <c r="C636" s="2"/>
      <c r="D636" s="2"/>
      <c r="E636" s="2"/>
      <c r="F636" s="2"/>
      <c r="G636" s="2"/>
      <c r="H636" s="2"/>
      <c r="I636" s="2"/>
      <c r="J636" s="2"/>
      <c r="K636" s="2"/>
      <c r="L636" s="2"/>
      <c r="M636" s="2"/>
      <c r="N636" s="2"/>
      <c r="O636" s="2"/>
    </row>
    <row r="637" spans="1:15" s="3" customFormat="1">
      <c r="A637" s="4"/>
      <c r="C637" s="2"/>
      <c r="D637" s="2"/>
      <c r="E637" s="2"/>
      <c r="F637" s="2"/>
      <c r="G637" s="2"/>
      <c r="H637" s="2"/>
      <c r="I637" s="2"/>
      <c r="J637" s="2"/>
      <c r="K637" s="2"/>
      <c r="L637" s="2"/>
      <c r="M637" s="2"/>
      <c r="N637" s="2"/>
      <c r="O637" s="2"/>
    </row>
    <row r="638" spans="1:15" s="3" customFormat="1">
      <c r="A638" s="4"/>
      <c r="C638" s="2"/>
      <c r="D638" s="2"/>
      <c r="E638" s="2"/>
      <c r="F638" s="2"/>
      <c r="G638" s="2"/>
      <c r="H638" s="2"/>
      <c r="I638" s="2"/>
      <c r="J638" s="2"/>
      <c r="K638" s="2"/>
      <c r="L638" s="2"/>
      <c r="M638" s="2"/>
      <c r="N638" s="2"/>
      <c r="O638" s="2"/>
    </row>
    <row r="639" spans="1:15" s="3" customFormat="1">
      <c r="A639" s="4"/>
      <c r="C639" s="2"/>
      <c r="D639" s="2"/>
      <c r="E639" s="2"/>
      <c r="F639" s="2"/>
      <c r="G639" s="2"/>
      <c r="H639" s="2"/>
      <c r="I639" s="2"/>
      <c r="J639" s="2"/>
      <c r="K639" s="2"/>
      <c r="L639" s="2"/>
      <c r="M639" s="2"/>
      <c r="N639" s="2"/>
      <c r="O639" s="2"/>
    </row>
    <row r="640" spans="1:15" s="3" customFormat="1">
      <c r="A640" s="4"/>
      <c r="C640" s="2"/>
      <c r="D640" s="2"/>
      <c r="E640" s="2"/>
      <c r="F640" s="2"/>
      <c r="G640" s="2"/>
      <c r="H640" s="2"/>
      <c r="I640" s="2"/>
      <c r="J640" s="2"/>
      <c r="K640" s="2"/>
      <c r="L640" s="2"/>
      <c r="M640" s="2"/>
      <c r="N640" s="2"/>
      <c r="O640" s="2"/>
    </row>
    <row r="641" spans="1:15" s="3" customFormat="1">
      <c r="A641" s="4"/>
      <c r="C641" s="2"/>
      <c r="D641" s="2"/>
      <c r="E641" s="2"/>
      <c r="F641" s="2"/>
      <c r="G641" s="2"/>
      <c r="H641" s="2"/>
      <c r="I641" s="2"/>
      <c r="J641" s="2"/>
      <c r="K641" s="2"/>
      <c r="L641" s="2"/>
      <c r="M641" s="2"/>
      <c r="N641" s="2"/>
      <c r="O641" s="2"/>
    </row>
    <row r="642" spans="1:15" s="3" customFormat="1">
      <c r="A642" s="4"/>
      <c r="C642" s="2"/>
      <c r="D642" s="2"/>
      <c r="E642" s="2"/>
      <c r="F642" s="2"/>
      <c r="G642" s="2"/>
      <c r="H642" s="2"/>
      <c r="I642" s="2"/>
      <c r="J642" s="2"/>
      <c r="K642" s="2"/>
      <c r="L642" s="2"/>
      <c r="M642" s="2"/>
      <c r="N642" s="2"/>
      <c r="O642" s="2"/>
    </row>
    <row r="643" spans="1:15" s="3" customFormat="1">
      <c r="A643" s="4"/>
      <c r="C643" s="2"/>
      <c r="D643" s="2"/>
      <c r="E643" s="2"/>
      <c r="F643" s="2"/>
      <c r="G643" s="2"/>
      <c r="H643" s="2"/>
      <c r="I643" s="2"/>
      <c r="J643" s="2"/>
      <c r="K643" s="2"/>
      <c r="L643" s="2"/>
      <c r="M643" s="2"/>
      <c r="N643" s="2"/>
      <c r="O643" s="2"/>
    </row>
    <row r="644" spans="1:15" s="3" customFormat="1">
      <c r="A644" s="4"/>
      <c r="C644" s="2"/>
      <c r="D644" s="2"/>
      <c r="E644" s="2"/>
      <c r="F644" s="2"/>
      <c r="G644" s="2"/>
      <c r="H644" s="2"/>
      <c r="I644" s="2"/>
      <c r="J644" s="2"/>
      <c r="K644" s="2"/>
      <c r="L644" s="2"/>
      <c r="M644" s="2"/>
      <c r="N644" s="2"/>
      <c r="O644" s="2"/>
    </row>
    <row r="645" spans="1:15" s="3" customFormat="1">
      <c r="A645" s="4"/>
      <c r="C645" s="2"/>
      <c r="D645" s="2"/>
      <c r="E645" s="2"/>
      <c r="F645" s="2"/>
      <c r="G645" s="2"/>
      <c r="H645" s="2"/>
      <c r="I645" s="2"/>
      <c r="J645" s="2"/>
      <c r="K645" s="2"/>
      <c r="L645" s="2"/>
      <c r="M645" s="2"/>
      <c r="N645" s="2"/>
      <c r="O645" s="2"/>
    </row>
    <row r="646" spans="1:15" s="3" customFormat="1">
      <c r="A646" s="4"/>
      <c r="C646" s="2"/>
      <c r="D646" s="2"/>
      <c r="E646" s="2"/>
      <c r="F646" s="2"/>
      <c r="G646" s="2"/>
      <c r="H646" s="2"/>
      <c r="I646" s="2"/>
      <c r="J646" s="2"/>
      <c r="K646" s="2"/>
      <c r="L646" s="2"/>
      <c r="M646" s="2"/>
      <c r="N646" s="2"/>
      <c r="O646" s="2"/>
    </row>
    <row r="647" spans="1:15" s="3" customFormat="1">
      <c r="A647" s="4"/>
      <c r="C647" s="2"/>
      <c r="D647" s="2"/>
      <c r="E647" s="2"/>
      <c r="F647" s="2"/>
      <c r="G647" s="2"/>
      <c r="H647" s="2"/>
      <c r="I647" s="2"/>
      <c r="J647" s="2"/>
      <c r="K647" s="2"/>
      <c r="L647" s="2"/>
      <c r="M647" s="2"/>
      <c r="N647" s="2"/>
      <c r="O647" s="2"/>
    </row>
    <row r="648" spans="1:15" s="3" customFormat="1">
      <c r="A648" s="4"/>
      <c r="C648" s="2"/>
      <c r="D648" s="2"/>
      <c r="E648" s="2"/>
      <c r="F648" s="2"/>
      <c r="G648" s="2"/>
      <c r="H648" s="2"/>
      <c r="I648" s="2"/>
      <c r="J648" s="2"/>
      <c r="K648" s="2"/>
      <c r="L648" s="2"/>
      <c r="M648" s="2"/>
      <c r="N648" s="2"/>
      <c r="O648" s="2"/>
    </row>
    <row r="649" spans="1:15" s="3" customFormat="1">
      <c r="A649" s="4"/>
      <c r="C649" s="2"/>
      <c r="D649" s="2"/>
      <c r="E649" s="2"/>
      <c r="F649" s="2"/>
      <c r="G649" s="2"/>
      <c r="H649" s="2"/>
      <c r="I649" s="2"/>
      <c r="J649" s="2"/>
      <c r="K649" s="2"/>
      <c r="L649" s="2"/>
      <c r="M649" s="2"/>
      <c r="N649" s="2"/>
      <c r="O649" s="2"/>
    </row>
    <row r="650" spans="1:15" s="3" customFormat="1">
      <c r="A650" s="4"/>
      <c r="C650" s="2"/>
      <c r="D650" s="2"/>
      <c r="E650" s="2"/>
      <c r="F650" s="2"/>
      <c r="G650" s="2"/>
      <c r="H650" s="2"/>
      <c r="I650" s="2"/>
      <c r="J650" s="2"/>
      <c r="K650" s="2"/>
      <c r="L650" s="2"/>
      <c r="M650" s="2"/>
      <c r="N650" s="2"/>
      <c r="O650" s="2"/>
    </row>
    <row r="651" spans="1:15" s="3" customFormat="1">
      <c r="A651" s="4"/>
      <c r="C651" s="2"/>
      <c r="D651" s="2"/>
      <c r="E651" s="2"/>
      <c r="F651" s="2"/>
      <c r="G651" s="2"/>
      <c r="H651" s="2"/>
      <c r="I651" s="2"/>
      <c r="J651" s="2"/>
      <c r="K651" s="2"/>
      <c r="L651" s="2"/>
      <c r="M651" s="2"/>
      <c r="N651" s="2"/>
      <c r="O651" s="2"/>
    </row>
    <row r="652" spans="1:15" s="3" customFormat="1">
      <c r="A652" s="4"/>
      <c r="C652" s="2"/>
      <c r="D652" s="2"/>
      <c r="E652" s="2"/>
      <c r="F652" s="2"/>
      <c r="G652" s="2"/>
      <c r="H652" s="2"/>
      <c r="I652" s="2"/>
      <c r="J652" s="2"/>
      <c r="K652" s="2"/>
      <c r="L652" s="2"/>
      <c r="M652" s="2"/>
      <c r="N652" s="2"/>
      <c r="O652" s="2"/>
    </row>
    <row r="653" spans="1:15" s="3" customFormat="1">
      <c r="A653" s="4"/>
      <c r="C653" s="2"/>
      <c r="D653" s="2"/>
      <c r="E653" s="2"/>
      <c r="F653" s="2"/>
      <c r="G653" s="2"/>
      <c r="H653" s="2"/>
      <c r="I653" s="2"/>
      <c r="J653" s="2"/>
      <c r="K653" s="2"/>
      <c r="L653" s="2"/>
      <c r="M653" s="2"/>
      <c r="N653" s="2"/>
      <c r="O653" s="2"/>
    </row>
    <row r="654" spans="1:15" s="3" customFormat="1">
      <c r="A654" s="4"/>
      <c r="C654" s="2"/>
      <c r="D654" s="2"/>
      <c r="E654" s="2"/>
      <c r="F654" s="2"/>
      <c r="G654" s="2"/>
      <c r="H654" s="2"/>
      <c r="I654" s="2"/>
      <c r="J654" s="2"/>
      <c r="K654" s="2"/>
      <c r="L654" s="2"/>
      <c r="M654" s="2"/>
      <c r="N654" s="2"/>
      <c r="O654" s="2"/>
    </row>
    <row r="655" spans="1:15" s="3" customFormat="1">
      <c r="A655" s="4"/>
      <c r="C655" s="2"/>
      <c r="D655" s="2"/>
      <c r="E655" s="2"/>
      <c r="F655" s="2"/>
      <c r="G655" s="2"/>
      <c r="H655" s="2"/>
      <c r="I655" s="2"/>
      <c r="J655" s="2"/>
      <c r="K655" s="2"/>
      <c r="L655" s="2"/>
      <c r="M655" s="2"/>
      <c r="N655" s="2"/>
      <c r="O655" s="2"/>
    </row>
    <row r="656" spans="1:15" s="3" customFormat="1">
      <c r="A656" s="4"/>
      <c r="C656" s="2"/>
      <c r="D656" s="2"/>
      <c r="E656" s="2"/>
      <c r="F656" s="2"/>
      <c r="G656" s="2"/>
      <c r="H656" s="2"/>
      <c r="I656" s="2"/>
      <c r="J656" s="2"/>
      <c r="K656" s="2"/>
      <c r="L656" s="2"/>
      <c r="M656" s="2"/>
      <c r="N656" s="2"/>
      <c r="O656" s="2"/>
    </row>
    <row r="657" spans="1:15" s="3" customFormat="1">
      <c r="A657" s="4"/>
      <c r="C657" s="2"/>
      <c r="D657" s="2"/>
      <c r="E657" s="2"/>
      <c r="F657" s="2"/>
      <c r="G657" s="2"/>
      <c r="H657" s="2"/>
      <c r="I657" s="2"/>
      <c r="J657" s="2"/>
      <c r="K657" s="2"/>
      <c r="L657" s="2"/>
      <c r="M657" s="2"/>
      <c r="N657" s="2"/>
      <c r="O657" s="2"/>
    </row>
    <row r="658" spans="1:15" s="3" customFormat="1">
      <c r="A658" s="4"/>
      <c r="C658" s="2"/>
      <c r="D658" s="2"/>
      <c r="E658" s="2"/>
      <c r="F658" s="2"/>
      <c r="G658" s="2"/>
      <c r="H658" s="2"/>
      <c r="I658" s="2"/>
      <c r="J658" s="2"/>
      <c r="K658" s="2"/>
      <c r="L658" s="2"/>
      <c r="M658" s="2"/>
      <c r="N658" s="2"/>
      <c r="O658" s="2"/>
    </row>
    <row r="659" spans="1:15" s="3" customFormat="1">
      <c r="A659" s="4"/>
      <c r="C659" s="2"/>
      <c r="D659" s="2"/>
      <c r="E659" s="2"/>
      <c r="F659" s="2"/>
      <c r="G659" s="2"/>
      <c r="H659" s="2"/>
      <c r="I659" s="2"/>
      <c r="J659" s="2"/>
      <c r="K659" s="2"/>
      <c r="L659" s="2"/>
      <c r="M659" s="2"/>
      <c r="N659" s="2"/>
      <c r="O659" s="2"/>
    </row>
    <row r="660" spans="1:15" s="3" customFormat="1">
      <c r="A660" s="4"/>
      <c r="C660" s="2"/>
      <c r="D660" s="2"/>
      <c r="E660" s="2"/>
      <c r="F660" s="2"/>
      <c r="G660" s="2"/>
      <c r="H660" s="2"/>
      <c r="I660" s="2"/>
      <c r="J660" s="2"/>
      <c r="K660" s="2"/>
      <c r="L660" s="2"/>
      <c r="M660" s="2"/>
      <c r="N660" s="2"/>
      <c r="O660" s="2"/>
    </row>
    <row r="661" spans="1:15" s="3" customFormat="1">
      <c r="A661" s="4"/>
      <c r="C661" s="2"/>
      <c r="D661" s="2"/>
      <c r="E661" s="2"/>
      <c r="F661" s="2"/>
      <c r="G661" s="2"/>
      <c r="H661" s="2"/>
      <c r="I661" s="2"/>
      <c r="J661" s="2"/>
      <c r="K661" s="2"/>
      <c r="L661" s="2"/>
      <c r="M661" s="2"/>
      <c r="N661" s="2"/>
      <c r="O661" s="2"/>
    </row>
    <row r="662" spans="1:15" s="3" customFormat="1">
      <c r="A662" s="4"/>
      <c r="C662" s="2"/>
      <c r="D662" s="2"/>
      <c r="E662" s="2"/>
      <c r="F662" s="2"/>
      <c r="G662" s="2"/>
      <c r="H662" s="2"/>
      <c r="I662" s="2"/>
      <c r="J662" s="2"/>
      <c r="K662" s="2"/>
      <c r="L662" s="2"/>
      <c r="M662" s="2"/>
      <c r="N662" s="2"/>
      <c r="O662" s="2"/>
    </row>
    <row r="663" spans="1:15" s="3" customFormat="1">
      <c r="A663" s="4"/>
      <c r="C663" s="2"/>
      <c r="D663" s="2"/>
      <c r="E663" s="2"/>
      <c r="F663" s="2"/>
      <c r="G663" s="2"/>
      <c r="H663" s="2"/>
      <c r="I663" s="2"/>
      <c r="J663" s="2"/>
      <c r="K663" s="2"/>
      <c r="L663" s="2"/>
      <c r="M663" s="2"/>
      <c r="N663" s="2"/>
      <c r="O663" s="2"/>
    </row>
    <row r="664" spans="1:15" s="3" customFormat="1">
      <c r="A664" s="4"/>
      <c r="C664" s="2"/>
      <c r="D664" s="2"/>
      <c r="E664" s="2"/>
      <c r="F664" s="2"/>
      <c r="G664" s="2"/>
      <c r="H664" s="2"/>
      <c r="I664" s="2"/>
      <c r="J664" s="2"/>
      <c r="K664" s="2"/>
      <c r="L664" s="2"/>
      <c r="M664" s="2"/>
      <c r="N664" s="2"/>
      <c r="O664" s="2"/>
    </row>
    <row r="665" spans="1:15" s="3" customFormat="1">
      <c r="A665" s="4"/>
      <c r="C665" s="2"/>
      <c r="D665" s="2"/>
      <c r="E665" s="2"/>
      <c r="F665" s="2"/>
      <c r="G665" s="2"/>
      <c r="H665" s="2"/>
      <c r="I665" s="2"/>
      <c r="J665" s="2"/>
      <c r="K665" s="2"/>
      <c r="L665" s="2"/>
      <c r="M665" s="2"/>
      <c r="N665" s="2"/>
      <c r="O665" s="2"/>
    </row>
    <row r="666" spans="1:15" s="3" customFormat="1">
      <c r="A666" s="4"/>
      <c r="C666" s="2"/>
      <c r="D666" s="2"/>
      <c r="E666" s="2"/>
      <c r="F666" s="2"/>
      <c r="G666" s="2"/>
      <c r="H666" s="2"/>
      <c r="I666" s="2"/>
      <c r="J666" s="2"/>
      <c r="K666" s="2"/>
      <c r="L666" s="2"/>
      <c r="M666" s="2"/>
      <c r="N666" s="2"/>
      <c r="O666" s="2"/>
    </row>
    <row r="667" spans="1:15" s="3" customFormat="1">
      <c r="A667" s="4"/>
      <c r="C667" s="2"/>
      <c r="D667" s="2"/>
      <c r="E667" s="2"/>
      <c r="F667" s="2"/>
      <c r="G667" s="2"/>
      <c r="H667" s="2"/>
      <c r="I667" s="2"/>
      <c r="J667" s="2"/>
      <c r="K667" s="2"/>
      <c r="L667" s="2"/>
      <c r="M667" s="2"/>
      <c r="N667" s="2"/>
      <c r="O667" s="2"/>
    </row>
    <row r="668" spans="1:15" s="3" customFormat="1">
      <c r="A668" s="4"/>
      <c r="C668" s="2"/>
      <c r="D668" s="2"/>
      <c r="E668" s="2"/>
      <c r="F668" s="2"/>
      <c r="G668" s="2"/>
      <c r="H668" s="2"/>
      <c r="I668" s="2"/>
      <c r="J668" s="2"/>
      <c r="K668" s="2"/>
      <c r="L668" s="2"/>
      <c r="M668" s="2"/>
      <c r="N668" s="2"/>
      <c r="O668" s="2"/>
    </row>
    <row r="669" spans="1:15" s="3" customFormat="1">
      <c r="A669" s="4"/>
      <c r="C669" s="2"/>
      <c r="D669" s="2"/>
      <c r="E669" s="2"/>
      <c r="F669" s="2"/>
      <c r="G669" s="2"/>
      <c r="H669" s="2"/>
      <c r="I669" s="2"/>
      <c r="J669" s="2"/>
      <c r="K669" s="2"/>
      <c r="L669" s="2"/>
      <c r="M669" s="2"/>
      <c r="N669" s="2"/>
      <c r="O669" s="2"/>
    </row>
    <row r="670" spans="1:15" s="3" customFormat="1">
      <c r="A670" s="4"/>
      <c r="C670" s="2"/>
      <c r="D670" s="2"/>
      <c r="E670" s="2"/>
      <c r="F670" s="2"/>
      <c r="G670" s="2"/>
      <c r="H670" s="2"/>
      <c r="I670" s="2"/>
      <c r="J670" s="2"/>
      <c r="K670" s="2"/>
      <c r="L670" s="2"/>
      <c r="M670" s="2"/>
      <c r="N670" s="2"/>
      <c r="O670" s="2"/>
    </row>
    <row r="671" spans="1:15" s="3" customFormat="1">
      <c r="A671" s="4"/>
      <c r="C671" s="2"/>
      <c r="D671" s="2"/>
      <c r="E671" s="2"/>
      <c r="F671" s="2"/>
      <c r="G671" s="2"/>
      <c r="H671" s="2"/>
      <c r="I671" s="2"/>
      <c r="J671" s="2"/>
      <c r="K671" s="2"/>
      <c r="L671" s="2"/>
      <c r="M671" s="2"/>
      <c r="N671" s="2"/>
      <c r="O671" s="2"/>
    </row>
    <row r="672" spans="1:15" s="3" customFormat="1">
      <c r="A672" s="4"/>
      <c r="C672" s="2"/>
      <c r="D672" s="2"/>
      <c r="E672" s="2"/>
      <c r="F672" s="2"/>
      <c r="G672" s="2"/>
      <c r="H672" s="2"/>
      <c r="I672" s="2"/>
      <c r="J672" s="2"/>
      <c r="K672" s="2"/>
      <c r="L672" s="2"/>
      <c r="M672" s="2"/>
      <c r="N672" s="2"/>
      <c r="O672" s="2"/>
    </row>
    <row r="673" spans="1:15" s="3" customFormat="1">
      <c r="A673" s="4"/>
      <c r="C673" s="2"/>
      <c r="D673" s="2"/>
      <c r="E673" s="2"/>
      <c r="F673" s="2"/>
      <c r="G673" s="2"/>
      <c r="H673" s="2"/>
      <c r="I673" s="2"/>
      <c r="J673" s="2"/>
      <c r="K673" s="2"/>
      <c r="L673" s="2"/>
      <c r="M673" s="2"/>
      <c r="N673" s="2"/>
      <c r="O673" s="2"/>
    </row>
    <row r="674" spans="1:15" s="3" customFormat="1">
      <c r="A674" s="4"/>
      <c r="C674" s="2"/>
      <c r="D674" s="2"/>
      <c r="E674" s="2"/>
      <c r="F674" s="2"/>
      <c r="G674" s="2"/>
      <c r="H674" s="2"/>
      <c r="I674" s="2"/>
      <c r="J674" s="2"/>
      <c r="K674" s="2"/>
      <c r="L674" s="2"/>
      <c r="M674" s="2"/>
      <c r="N674" s="2"/>
      <c r="O674" s="2"/>
    </row>
    <row r="675" spans="1:15" s="3" customFormat="1">
      <c r="A675" s="4"/>
      <c r="C675" s="2"/>
      <c r="D675" s="2"/>
      <c r="E675" s="2"/>
      <c r="F675" s="2"/>
      <c r="G675" s="2"/>
      <c r="H675" s="2"/>
      <c r="I675" s="2"/>
      <c r="J675" s="2"/>
      <c r="K675" s="2"/>
      <c r="L675" s="2"/>
      <c r="M675" s="2"/>
      <c r="N675" s="2"/>
      <c r="O675" s="2"/>
    </row>
    <row r="676" spans="1:15" s="3" customFormat="1">
      <c r="A676" s="4"/>
      <c r="C676" s="2"/>
      <c r="D676" s="2"/>
      <c r="E676" s="2"/>
      <c r="F676" s="2"/>
      <c r="G676" s="2"/>
      <c r="H676" s="2"/>
      <c r="I676" s="2"/>
      <c r="J676" s="2"/>
      <c r="K676" s="2"/>
      <c r="L676" s="2"/>
      <c r="M676" s="2"/>
      <c r="N676" s="2"/>
      <c r="O676" s="2"/>
    </row>
    <row r="677" spans="1:15" s="3" customFormat="1">
      <c r="A677" s="4"/>
      <c r="C677" s="2"/>
      <c r="D677" s="2"/>
      <c r="E677" s="2"/>
      <c r="F677" s="2"/>
      <c r="G677" s="2"/>
      <c r="H677" s="2"/>
      <c r="I677" s="2"/>
      <c r="J677" s="2"/>
      <c r="K677" s="2"/>
      <c r="L677" s="2"/>
      <c r="M677" s="2"/>
      <c r="N677" s="2"/>
      <c r="O677" s="2"/>
    </row>
    <row r="678" spans="1:15" s="3" customFormat="1">
      <c r="A678" s="4"/>
      <c r="C678" s="2"/>
      <c r="D678" s="2"/>
      <c r="E678" s="2"/>
      <c r="F678" s="2"/>
      <c r="G678" s="2"/>
      <c r="H678" s="2"/>
      <c r="I678" s="2"/>
      <c r="J678" s="2"/>
      <c r="K678" s="2"/>
      <c r="L678" s="2"/>
      <c r="M678" s="2"/>
      <c r="N678" s="2"/>
      <c r="O678" s="2"/>
    </row>
    <row r="679" spans="1:15" s="3" customFormat="1">
      <c r="A679" s="4"/>
      <c r="C679" s="2"/>
      <c r="D679" s="2"/>
      <c r="E679" s="2"/>
      <c r="F679" s="2"/>
      <c r="G679" s="2"/>
      <c r="H679" s="2"/>
      <c r="I679" s="2"/>
      <c r="J679" s="2"/>
      <c r="K679" s="2"/>
      <c r="L679" s="2"/>
      <c r="M679" s="2"/>
      <c r="N679" s="2"/>
      <c r="O679" s="2"/>
    </row>
    <row r="680" spans="1:15" s="3" customFormat="1">
      <c r="A680" s="4"/>
      <c r="C680" s="2"/>
      <c r="D680" s="2"/>
      <c r="E680" s="2"/>
      <c r="F680" s="2"/>
      <c r="G680" s="2"/>
      <c r="H680" s="2"/>
      <c r="I680" s="2"/>
      <c r="J680" s="2"/>
      <c r="K680" s="2"/>
      <c r="L680" s="2"/>
      <c r="M680" s="2"/>
      <c r="N680" s="2"/>
      <c r="O680" s="2"/>
    </row>
    <row r="681" spans="1:15" s="3" customFormat="1">
      <c r="A681" s="4"/>
      <c r="C681" s="2"/>
      <c r="D681" s="2"/>
      <c r="E681" s="2"/>
      <c r="F681" s="2"/>
      <c r="G681" s="2"/>
      <c r="H681" s="2"/>
      <c r="I681" s="2"/>
      <c r="J681" s="2"/>
      <c r="K681" s="2"/>
      <c r="L681" s="2"/>
      <c r="M681" s="2"/>
      <c r="N681" s="2"/>
      <c r="O681" s="2"/>
    </row>
    <row r="682" spans="1:15" s="3" customFormat="1">
      <c r="A682" s="4"/>
      <c r="C682" s="2"/>
      <c r="D682" s="2"/>
      <c r="E682" s="2"/>
      <c r="F682" s="2"/>
      <c r="G682" s="2"/>
      <c r="H682" s="2"/>
      <c r="I682" s="2"/>
      <c r="J682" s="2"/>
      <c r="K682" s="2"/>
      <c r="L682" s="2"/>
      <c r="M682" s="2"/>
      <c r="N682" s="2"/>
      <c r="O682" s="2"/>
    </row>
    <row r="683" spans="1:15" s="3" customFormat="1">
      <c r="A683" s="4"/>
      <c r="C683" s="2"/>
      <c r="D683" s="2"/>
      <c r="E683" s="2"/>
      <c r="F683" s="2"/>
      <c r="G683" s="2"/>
      <c r="H683" s="2"/>
      <c r="I683" s="2"/>
      <c r="J683" s="2"/>
      <c r="K683" s="2"/>
      <c r="L683" s="2"/>
      <c r="M683" s="2"/>
      <c r="N683" s="2"/>
      <c r="O683" s="2"/>
    </row>
    <row r="684" spans="1:15" s="3" customFormat="1">
      <c r="A684" s="4"/>
      <c r="C684" s="2"/>
      <c r="D684" s="2"/>
      <c r="E684" s="2"/>
      <c r="F684" s="2"/>
      <c r="G684" s="2"/>
      <c r="H684" s="2"/>
      <c r="I684" s="2"/>
      <c r="J684" s="2"/>
      <c r="K684" s="2"/>
      <c r="L684" s="2"/>
      <c r="M684" s="2"/>
      <c r="N684" s="2"/>
      <c r="O684" s="2"/>
    </row>
    <row r="685" spans="1:15" s="3" customFormat="1">
      <c r="A685" s="4"/>
      <c r="C685" s="2"/>
      <c r="D685" s="2"/>
      <c r="E685" s="2"/>
      <c r="F685" s="2"/>
      <c r="G685" s="2"/>
      <c r="H685" s="2"/>
      <c r="I685" s="2"/>
      <c r="J685" s="2"/>
      <c r="K685" s="2"/>
      <c r="L685" s="2"/>
      <c r="M685" s="2"/>
      <c r="N685" s="2"/>
      <c r="O685" s="2"/>
    </row>
    <row r="686" spans="1:15" s="3" customFormat="1">
      <c r="A686" s="4"/>
      <c r="C686" s="2"/>
      <c r="D686" s="2"/>
      <c r="E686" s="2"/>
      <c r="F686" s="2"/>
      <c r="G686" s="2"/>
      <c r="H686" s="2"/>
      <c r="I686" s="2"/>
      <c r="J686" s="2"/>
      <c r="K686" s="2"/>
      <c r="L686" s="2"/>
      <c r="M686" s="2"/>
      <c r="N686" s="2"/>
      <c r="O686" s="2"/>
    </row>
    <row r="687" spans="1:15" s="3" customFormat="1">
      <c r="A687" s="4"/>
      <c r="C687" s="2"/>
      <c r="D687" s="2"/>
      <c r="E687" s="2"/>
      <c r="F687" s="2"/>
      <c r="G687" s="2"/>
      <c r="H687" s="2"/>
      <c r="I687" s="2"/>
      <c r="J687" s="2"/>
      <c r="K687" s="2"/>
      <c r="L687" s="2"/>
      <c r="M687" s="2"/>
      <c r="N687" s="2"/>
      <c r="O687" s="2"/>
    </row>
    <row r="688" spans="1:15" s="3" customFormat="1">
      <c r="A688" s="4"/>
      <c r="C688" s="2"/>
      <c r="D688" s="2"/>
      <c r="E688" s="2"/>
      <c r="F688" s="2"/>
      <c r="G688" s="2"/>
      <c r="H688" s="2"/>
      <c r="I688" s="2"/>
      <c r="J688" s="2"/>
      <c r="K688" s="2"/>
      <c r="L688" s="2"/>
      <c r="M688" s="2"/>
      <c r="N688" s="2"/>
      <c r="O688" s="2"/>
    </row>
    <row r="689" spans="1:15" s="3" customFormat="1">
      <c r="A689" s="4"/>
      <c r="C689" s="2"/>
      <c r="D689" s="2"/>
      <c r="E689" s="2"/>
      <c r="F689" s="2"/>
      <c r="G689" s="2"/>
      <c r="H689" s="2"/>
      <c r="I689" s="2"/>
      <c r="J689" s="2"/>
      <c r="K689" s="2"/>
      <c r="L689" s="2"/>
      <c r="M689" s="2"/>
      <c r="N689" s="2"/>
      <c r="O689" s="2"/>
    </row>
    <row r="690" spans="1:15" s="3" customFormat="1">
      <c r="A690" s="4"/>
      <c r="C690" s="2"/>
      <c r="D690" s="2"/>
      <c r="E690" s="2"/>
      <c r="F690" s="2"/>
      <c r="G690" s="2"/>
      <c r="H690" s="2"/>
      <c r="I690" s="2"/>
      <c r="J690" s="2"/>
      <c r="K690" s="2"/>
      <c r="L690" s="2"/>
      <c r="M690" s="2"/>
      <c r="N690" s="2"/>
      <c r="O690" s="2"/>
    </row>
    <row r="691" spans="1:15" s="3" customFormat="1">
      <c r="A691" s="4"/>
      <c r="C691" s="2"/>
      <c r="D691" s="2"/>
      <c r="E691" s="2"/>
      <c r="F691" s="2"/>
      <c r="G691" s="2"/>
      <c r="H691" s="2"/>
      <c r="I691" s="2"/>
      <c r="J691" s="2"/>
      <c r="K691" s="2"/>
      <c r="L691" s="2"/>
      <c r="M691" s="2"/>
      <c r="N691" s="2"/>
      <c r="O691" s="2"/>
    </row>
    <row r="692" spans="1:15" s="3" customFormat="1">
      <c r="A692" s="4"/>
      <c r="C692" s="2"/>
      <c r="D692" s="2"/>
      <c r="E692" s="2"/>
      <c r="F692" s="2"/>
      <c r="G692" s="2"/>
      <c r="H692" s="2"/>
      <c r="I692" s="2"/>
      <c r="J692" s="2"/>
      <c r="K692" s="2"/>
      <c r="L692" s="2"/>
      <c r="M692" s="2"/>
      <c r="N692" s="2"/>
      <c r="O692" s="2"/>
    </row>
    <row r="693" spans="1:15" s="3" customFormat="1">
      <c r="A693" s="4"/>
      <c r="C693" s="2"/>
      <c r="D693" s="2"/>
      <c r="E693" s="2"/>
      <c r="F693" s="2"/>
      <c r="G693" s="2"/>
      <c r="H693" s="2"/>
      <c r="I693" s="2"/>
      <c r="J693" s="2"/>
      <c r="K693" s="2"/>
      <c r="L693" s="2"/>
      <c r="M693" s="2"/>
      <c r="N693" s="2"/>
      <c r="O693" s="2"/>
    </row>
    <row r="694" spans="1:15" s="3" customFormat="1">
      <c r="A694" s="4"/>
      <c r="C694" s="2"/>
      <c r="D694" s="2"/>
      <c r="E694" s="2"/>
      <c r="F694" s="2"/>
      <c r="G694" s="2"/>
      <c r="H694" s="2"/>
      <c r="I694" s="2"/>
      <c r="J694" s="2"/>
      <c r="K694" s="2"/>
      <c r="L694" s="2"/>
      <c r="M694" s="2"/>
      <c r="N694" s="2"/>
      <c r="O694" s="2"/>
    </row>
    <row r="695" spans="1:15" s="3" customFormat="1">
      <c r="A695" s="4"/>
      <c r="C695" s="2"/>
      <c r="D695" s="2"/>
      <c r="E695" s="2"/>
      <c r="F695" s="2"/>
      <c r="G695" s="2"/>
      <c r="H695" s="2"/>
      <c r="I695" s="2"/>
      <c r="J695" s="2"/>
      <c r="K695" s="2"/>
      <c r="L695" s="2"/>
      <c r="M695" s="2"/>
      <c r="N695" s="2"/>
      <c r="O695" s="2"/>
    </row>
    <row r="696" spans="1:15" s="3" customFormat="1">
      <c r="A696" s="4"/>
      <c r="C696" s="2"/>
      <c r="D696" s="2"/>
      <c r="E696" s="2"/>
      <c r="F696" s="2"/>
      <c r="G696" s="2"/>
      <c r="H696" s="2"/>
      <c r="I696" s="2"/>
      <c r="J696" s="2"/>
      <c r="K696" s="2"/>
      <c r="L696" s="2"/>
      <c r="M696" s="2"/>
      <c r="N696" s="2"/>
      <c r="O696" s="2"/>
    </row>
    <row r="697" spans="1:15" s="3" customFormat="1">
      <c r="A697" s="4"/>
      <c r="C697" s="2"/>
      <c r="D697" s="2"/>
      <c r="E697" s="2"/>
      <c r="F697" s="2"/>
      <c r="G697" s="2"/>
      <c r="H697" s="2"/>
      <c r="I697" s="2"/>
      <c r="J697" s="2"/>
      <c r="K697" s="2"/>
      <c r="L697" s="2"/>
      <c r="M697" s="2"/>
      <c r="N697" s="2"/>
      <c r="O697" s="2"/>
    </row>
    <row r="698" spans="1:15" s="3" customFormat="1">
      <c r="A698" s="4"/>
      <c r="C698" s="2"/>
      <c r="D698" s="2"/>
      <c r="E698" s="2"/>
      <c r="F698" s="2"/>
      <c r="G698" s="2"/>
      <c r="H698" s="2"/>
      <c r="I698" s="2"/>
      <c r="J698" s="2"/>
      <c r="K698" s="2"/>
      <c r="L698" s="2"/>
      <c r="M698" s="2"/>
      <c r="N698" s="2"/>
      <c r="O698" s="2"/>
    </row>
    <row r="699" spans="1:15" s="3" customFormat="1">
      <c r="A699" s="4"/>
      <c r="C699" s="2"/>
      <c r="D699" s="2"/>
      <c r="E699" s="2"/>
      <c r="F699" s="2"/>
      <c r="G699" s="2"/>
      <c r="H699" s="2"/>
      <c r="I699" s="2"/>
      <c r="J699" s="2"/>
      <c r="K699" s="2"/>
      <c r="L699" s="2"/>
      <c r="M699" s="2"/>
      <c r="N699" s="2"/>
      <c r="O699" s="2"/>
    </row>
    <row r="700" spans="1:15" s="3" customFormat="1">
      <c r="A700" s="4"/>
      <c r="C700" s="2"/>
      <c r="D700" s="2"/>
      <c r="E700" s="2"/>
      <c r="F700" s="2"/>
      <c r="G700" s="2"/>
      <c r="H700" s="2"/>
      <c r="I700" s="2"/>
      <c r="J700" s="2"/>
      <c r="K700" s="2"/>
      <c r="L700" s="2"/>
      <c r="M700" s="2"/>
      <c r="N700" s="2"/>
      <c r="O700" s="2"/>
    </row>
    <row r="701" spans="1:15" s="3" customFormat="1">
      <c r="A701" s="4"/>
      <c r="C701" s="2"/>
      <c r="D701" s="2"/>
      <c r="E701" s="2"/>
      <c r="F701" s="2"/>
      <c r="G701" s="2"/>
      <c r="H701" s="2"/>
      <c r="I701" s="2"/>
      <c r="J701" s="2"/>
      <c r="K701" s="2"/>
      <c r="L701" s="2"/>
      <c r="M701" s="2"/>
      <c r="N701" s="2"/>
      <c r="O701" s="2"/>
    </row>
    <row r="702" spans="1:15" s="3" customFormat="1">
      <c r="A702" s="4"/>
      <c r="C702" s="2"/>
      <c r="D702" s="2"/>
      <c r="E702" s="2"/>
      <c r="F702" s="2"/>
      <c r="G702" s="2"/>
      <c r="H702" s="2"/>
      <c r="I702" s="2"/>
      <c r="J702" s="2"/>
      <c r="K702" s="2"/>
      <c r="L702" s="2"/>
      <c r="M702" s="2"/>
      <c r="N702" s="2"/>
      <c r="O702" s="2"/>
    </row>
    <row r="703" spans="1:15" s="3" customFormat="1">
      <c r="A703" s="4"/>
      <c r="C703" s="2"/>
      <c r="D703" s="2"/>
      <c r="E703" s="2"/>
      <c r="F703" s="2"/>
      <c r="G703" s="2"/>
      <c r="H703" s="2"/>
      <c r="I703" s="2"/>
      <c r="J703" s="2"/>
      <c r="K703" s="2"/>
      <c r="L703" s="2"/>
      <c r="M703" s="2"/>
      <c r="N703" s="2"/>
      <c r="O703" s="2"/>
    </row>
    <row r="704" spans="1:15" s="3" customFormat="1">
      <c r="A704" s="4"/>
      <c r="C704" s="2"/>
      <c r="D704" s="2"/>
      <c r="E704" s="2"/>
      <c r="F704" s="2"/>
      <c r="G704" s="2"/>
      <c r="H704" s="2"/>
      <c r="I704" s="2"/>
      <c r="J704" s="2"/>
      <c r="K704" s="2"/>
      <c r="L704" s="2"/>
      <c r="M704" s="2"/>
      <c r="N704" s="2"/>
      <c r="O704" s="2"/>
    </row>
    <row r="705" spans="1:15" s="3" customFormat="1">
      <c r="A705" s="4"/>
      <c r="C705" s="2"/>
      <c r="D705" s="2"/>
      <c r="E705" s="2"/>
      <c r="F705" s="2"/>
      <c r="G705" s="2"/>
      <c r="H705" s="2"/>
      <c r="I705" s="2"/>
      <c r="J705" s="2"/>
      <c r="K705" s="2"/>
      <c r="L705" s="2"/>
      <c r="M705" s="2"/>
      <c r="N705" s="2"/>
      <c r="O705" s="2"/>
    </row>
    <row r="706" spans="1:15" s="3" customFormat="1">
      <c r="A706" s="4"/>
      <c r="C706" s="2"/>
      <c r="D706" s="2"/>
      <c r="E706" s="2"/>
      <c r="F706" s="2"/>
      <c r="G706" s="2"/>
      <c r="H706" s="2"/>
      <c r="I706" s="2"/>
      <c r="J706" s="2"/>
      <c r="K706" s="2"/>
      <c r="L706" s="2"/>
      <c r="M706" s="2"/>
      <c r="N706" s="2"/>
      <c r="O706" s="2"/>
    </row>
    <row r="707" spans="1:15" s="3" customFormat="1">
      <c r="A707" s="4"/>
      <c r="C707" s="2"/>
      <c r="D707" s="2"/>
      <c r="E707" s="2"/>
      <c r="F707" s="2"/>
      <c r="G707" s="2"/>
      <c r="H707" s="2"/>
      <c r="I707" s="2"/>
      <c r="J707" s="2"/>
      <c r="K707" s="2"/>
      <c r="L707" s="2"/>
      <c r="M707" s="2"/>
      <c r="N707" s="2"/>
      <c r="O707" s="2"/>
    </row>
    <row r="708" spans="1:15" s="3" customFormat="1">
      <c r="A708" s="4"/>
      <c r="C708" s="2"/>
      <c r="D708" s="2"/>
      <c r="E708" s="2"/>
      <c r="F708" s="2"/>
      <c r="G708" s="2"/>
      <c r="H708" s="2"/>
      <c r="I708" s="2"/>
      <c r="J708" s="2"/>
      <c r="K708" s="2"/>
      <c r="L708" s="2"/>
      <c r="M708" s="2"/>
      <c r="N708" s="2"/>
      <c r="O708" s="2"/>
    </row>
    <row r="709" spans="1:15" s="3" customFormat="1">
      <c r="A709" s="4"/>
      <c r="C709" s="2"/>
      <c r="D709" s="2"/>
      <c r="E709" s="2"/>
      <c r="F709" s="2"/>
      <c r="G709" s="2"/>
      <c r="H709" s="2"/>
      <c r="I709" s="2"/>
      <c r="J709" s="2"/>
      <c r="K709" s="2"/>
      <c r="L709" s="2"/>
      <c r="M709" s="2"/>
      <c r="N709" s="2"/>
      <c r="O709" s="2"/>
    </row>
    <row r="710" spans="1:15" s="3" customFormat="1">
      <c r="A710" s="4"/>
      <c r="C710" s="2"/>
      <c r="D710" s="2"/>
      <c r="E710" s="2"/>
      <c r="F710" s="2"/>
      <c r="G710" s="2"/>
      <c r="H710" s="2"/>
      <c r="I710" s="2"/>
      <c r="J710" s="2"/>
      <c r="K710" s="2"/>
      <c r="L710" s="2"/>
      <c r="M710" s="2"/>
      <c r="N710" s="2"/>
      <c r="O710" s="2"/>
    </row>
    <row r="711" spans="1:15" s="3" customFormat="1">
      <c r="A711" s="4"/>
      <c r="C711" s="2"/>
      <c r="D711" s="2"/>
      <c r="E711" s="2"/>
      <c r="F711" s="2"/>
      <c r="G711" s="2"/>
      <c r="H711" s="2"/>
      <c r="I711" s="2"/>
      <c r="J711" s="2"/>
      <c r="K711" s="2"/>
      <c r="L711" s="2"/>
      <c r="M711" s="2"/>
      <c r="N711" s="2"/>
      <c r="O711" s="2"/>
    </row>
    <row r="712" spans="1:15" s="3" customFormat="1">
      <c r="A712" s="4"/>
      <c r="C712" s="2"/>
      <c r="D712" s="2"/>
      <c r="E712" s="2"/>
      <c r="F712" s="2"/>
      <c r="G712" s="2"/>
      <c r="H712" s="2"/>
      <c r="I712" s="2"/>
      <c r="J712" s="2"/>
      <c r="K712" s="2"/>
      <c r="L712" s="2"/>
      <c r="M712" s="2"/>
      <c r="N712" s="2"/>
      <c r="O712" s="2"/>
    </row>
    <row r="713" spans="1:15" s="3" customFormat="1">
      <c r="A713" s="4"/>
      <c r="C713" s="2"/>
      <c r="D713" s="2"/>
      <c r="E713" s="2"/>
      <c r="F713" s="2"/>
      <c r="G713" s="2"/>
      <c r="H713" s="2"/>
      <c r="I713" s="2"/>
      <c r="J713" s="2"/>
      <c r="K713" s="2"/>
      <c r="L713" s="2"/>
      <c r="M713" s="2"/>
      <c r="N713" s="2"/>
      <c r="O713" s="2"/>
    </row>
    <row r="714" spans="1:15" s="3" customFormat="1">
      <c r="A714" s="4"/>
      <c r="C714" s="2"/>
      <c r="D714" s="2"/>
      <c r="E714" s="2"/>
      <c r="F714" s="2"/>
      <c r="G714" s="2"/>
      <c r="H714" s="2"/>
      <c r="I714" s="2"/>
      <c r="J714" s="2"/>
      <c r="K714" s="2"/>
      <c r="L714" s="2"/>
      <c r="M714" s="2"/>
      <c r="N714" s="2"/>
      <c r="O714" s="2"/>
    </row>
    <row r="715" spans="1:15" s="3" customFormat="1">
      <c r="A715" s="4"/>
      <c r="C715" s="2"/>
      <c r="D715" s="2"/>
      <c r="E715" s="2"/>
      <c r="F715" s="2"/>
      <c r="G715" s="2"/>
      <c r="H715" s="2"/>
      <c r="I715" s="2"/>
      <c r="J715" s="2"/>
      <c r="K715" s="2"/>
      <c r="L715" s="2"/>
      <c r="M715" s="2"/>
      <c r="N715" s="2"/>
      <c r="O715" s="2"/>
    </row>
    <row r="716" spans="1:15" s="3" customFormat="1">
      <c r="A716" s="4"/>
      <c r="C716" s="2"/>
      <c r="D716" s="2"/>
      <c r="E716" s="2"/>
      <c r="F716" s="2"/>
      <c r="G716" s="2"/>
      <c r="H716" s="2"/>
      <c r="I716" s="2"/>
      <c r="J716" s="2"/>
      <c r="K716" s="2"/>
      <c r="L716" s="2"/>
      <c r="M716" s="2"/>
      <c r="N716" s="2"/>
      <c r="O716" s="2"/>
    </row>
    <row r="717" spans="1:15" s="3" customFormat="1">
      <c r="A717" s="4"/>
      <c r="C717" s="2"/>
      <c r="D717" s="2"/>
      <c r="E717" s="2"/>
      <c r="F717" s="2"/>
      <c r="G717" s="2"/>
      <c r="H717" s="2"/>
      <c r="I717" s="2"/>
      <c r="J717" s="2"/>
      <c r="K717" s="2"/>
      <c r="L717" s="2"/>
      <c r="M717" s="2"/>
      <c r="N717" s="2"/>
      <c r="O717" s="2"/>
    </row>
    <row r="718" spans="1:15" s="3" customFormat="1">
      <c r="A718" s="4"/>
      <c r="C718" s="2"/>
      <c r="D718" s="2"/>
      <c r="E718" s="2"/>
      <c r="F718" s="2"/>
      <c r="G718" s="2"/>
      <c r="H718" s="2"/>
      <c r="I718" s="2"/>
      <c r="J718" s="2"/>
      <c r="K718" s="2"/>
      <c r="L718" s="2"/>
      <c r="M718" s="2"/>
      <c r="N718" s="2"/>
      <c r="O718" s="2"/>
    </row>
    <row r="719" spans="1:15" s="3" customFormat="1">
      <c r="A719" s="4"/>
      <c r="C719" s="2"/>
      <c r="D719" s="2"/>
      <c r="E719" s="2"/>
      <c r="F719" s="2"/>
      <c r="G719" s="2"/>
      <c r="H719" s="2"/>
      <c r="I719" s="2"/>
      <c r="J719" s="2"/>
      <c r="K719" s="2"/>
      <c r="L719" s="2"/>
      <c r="M719" s="2"/>
      <c r="N719" s="2"/>
      <c r="O719" s="2"/>
    </row>
    <row r="720" spans="1:15" s="3" customFormat="1">
      <c r="A720" s="4"/>
      <c r="C720" s="2"/>
      <c r="D720" s="2"/>
      <c r="E720" s="2"/>
      <c r="F720" s="2"/>
      <c r="G720" s="2"/>
      <c r="H720" s="2"/>
      <c r="I720" s="2"/>
      <c r="J720" s="2"/>
      <c r="K720" s="2"/>
      <c r="L720" s="2"/>
      <c r="M720" s="2"/>
      <c r="N720" s="2"/>
      <c r="O720" s="2"/>
    </row>
    <row r="721" spans="1:15" s="3" customFormat="1">
      <c r="A721" s="4"/>
      <c r="C721" s="2"/>
      <c r="D721" s="2"/>
      <c r="E721" s="2"/>
      <c r="F721" s="2"/>
      <c r="G721" s="2"/>
      <c r="H721" s="2"/>
      <c r="I721" s="2"/>
      <c r="J721" s="2"/>
      <c r="K721" s="2"/>
      <c r="L721" s="2"/>
      <c r="M721" s="2"/>
      <c r="N721" s="2"/>
      <c r="O721" s="2"/>
    </row>
    <row r="722" spans="1:15" s="3" customFormat="1">
      <c r="A722" s="4"/>
      <c r="C722" s="2"/>
      <c r="D722" s="2"/>
      <c r="E722" s="2"/>
      <c r="F722" s="2"/>
      <c r="G722" s="2"/>
      <c r="H722" s="2"/>
      <c r="I722" s="2"/>
      <c r="J722" s="2"/>
      <c r="K722" s="2"/>
      <c r="L722" s="2"/>
      <c r="M722" s="2"/>
      <c r="N722" s="2"/>
      <c r="O722" s="2"/>
    </row>
    <row r="723" spans="1:15" s="3" customFormat="1">
      <c r="A723" s="4"/>
      <c r="C723" s="2"/>
      <c r="D723" s="2"/>
      <c r="E723" s="2"/>
      <c r="F723" s="2"/>
      <c r="G723" s="2"/>
      <c r="H723" s="2"/>
      <c r="I723" s="2"/>
      <c r="J723" s="2"/>
      <c r="K723" s="2"/>
      <c r="L723" s="2"/>
      <c r="M723" s="2"/>
      <c r="N723" s="2"/>
      <c r="O723" s="2"/>
    </row>
    <row r="724" spans="1:15" s="3" customFormat="1">
      <c r="A724" s="4"/>
      <c r="C724" s="2"/>
      <c r="D724" s="2"/>
      <c r="E724" s="2"/>
      <c r="F724" s="2"/>
      <c r="G724" s="2"/>
      <c r="H724" s="2"/>
      <c r="I724" s="2"/>
      <c r="J724" s="2"/>
      <c r="K724" s="2"/>
      <c r="L724" s="2"/>
      <c r="M724" s="2"/>
      <c r="N724" s="2"/>
      <c r="O724" s="2"/>
    </row>
    <row r="725" spans="1:15" s="3" customFormat="1">
      <c r="A725" s="4"/>
      <c r="C725" s="2"/>
      <c r="D725" s="2"/>
      <c r="E725" s="2"/>
      <c r="F725" s="2"/>
      <c r="G725" s="2"/>
      <c r="H725" s="2"/>
      <c r="I725" s="2"/>
      <c r="J725" s="2"/>
      <c r="K725" s="2"/>
      <c r="L725" s="2"/>
      <c r="M725" s="2"/>
      <c r="N725" s="2"/>
      <c r="O725" s="2"/>
    </row>
    <row r="726" spans="1:15" s="3" customFormat="1">
      <c r="A726" s="4"/>
      <c r="C726" s="2"/>
      <c r="D726" s="2"/>
      <c r="E726" s="2"/>
      <c r="F726" s="2"/>
      <c r="G726" s="2"/>
      <c r="H726" s="2"/>
      <c r="I726" s="2"/>
      <c r="J726" s="2"/>
      <c r="K726" s="2"/>
      <c r="L726" s="2"/>
      <c r="M726" s="2"/>
      <c r="N726" s="2"/>
      <c r="O726" s="2"/>
    </row>
    <row r="727" spans="1:15" s="3" customFormat="1">
      <c r="A727" s="4"/>
      <c r="C727" s="2"/>
      <c r="D727" s="2"/>
      <c r="E727" s="2"/>
      <c r="F727" s="2"/>
      <c r="G727" s="2"/>
      <c r="H727" s="2"/>
      <c r="I727" s="2"/>
      <c r="J727" s="2"/>
      <c r="K727" s="2"/>
      <c r="L727" s="2"/>
      <c r="M727" s="2"/>
      <c r="N727" s="2"/>
      <c r="O727" s="2"/>
    </row>
    <row r="728" spans="1:15" s="3" customFormat="1">
      <c r="A728" s="4"/>
      <c r="C728" s="2"/>
      <c r="D728" s="2"/>
      <c r="E728" s="2"/>
      <c r="F728" s="2"/>
      <c r="G728" s="2"/>
      <c r="H728" s="2"/>
      <c r="I728" s="2"/>
      <c r="J728" s="2"/>
      <c r="K728" s="2"/>
      <c r="L728" s="2"/>
      <c r="M728" s="2"/>
      <c r="N728" s="2"/>
      <c r="O728" s="2"/>
    </row>
    <row r="729" spans="1:15" s="3" customFormat="1">
      <c r="A729" s="4"/>
      <c r="C729" s="2"/>
      <c r="D729" s="2"/>
      <c r="E729" s="2"/>
      <c r="F729" s="2"/>
      <c r="G729" s="2"/>
      <c r="H729" s="2"/>
      <c r="I729" s="2"/>
      <c r="J729" s="2"/>
      <c r="K729" s="2"/>
      <c r="L729" s="2"/>
      <c r="M729" s="2"/>
      <c r="N729" s="2"/>
      <c r="O729" s="2"/>
    </row>
    <row r="730" spans="1:15" s="3" customFormat="1">
      <c r="A730" s="4"/>
      <c r="C730" s="2"/>
      <c r="D730" s="2"/>
      <c r="E730" s="2"/>
      <c r="F730" s="2"/>
      <c r="G730" s="2"/>
      <c r="H730" s="2"/>
      <c r="I730" s="2"/>
      <c r="J730" s="2"/>
      <c r="K730" s="2"/>
      <c r="L730" s="2"/>
      <c r="M730" s="2"/>
      <c r="N730" s="2"/>
      <c r="O730" s="2"/>
    </row>
    <row r="731" spans="1:15" s="3" customFormat="1">
      <c r="A731" s="4"/>
      <c r="C731" s="2"/>
      <c r="D731" s="2"/>
      <c r="E731" s="2"/>
      <c r="F731" s="2"/>
      <c r="G731" s="2"/>
      <c r="H731" s="2"/>
      <c r="I731" s="2"/>
      <c r="J731" s="2"/>
      <c r="K731" s="2"/>
      <c r="L731" s="2"/>
      <c r="M731" s="2"/>
      <c r="N731" s="2"/>
      <c r="O731" s="2"/>
    </row>
    <row r="732" spans="1:15" s="3" customFormat="1">
      <c r="A732" s="4"/>
      <c r="C732" s="2"/>
      <c r="D732" s="2"/>
      <c r="E732" s="2"/>
      <c r="F732" s="2"/>
      <c r="G732" s="2"/>
      <c r="H732" s="2"/>
      <c r="I732" s="2"/>
      <c r="J732" s="2"/>
      <c r="K732" s="2"/>
      <c r="L732" s="2"/>
      <c r="M732" s="2"/>
      <c r="N732" s="2"/>
      <c r="O732" s="2"/>
    </row>
    <row r="733" spans="1:15" s="3" customFormat="1">
      <c r="A733" s="4"/>
      <c r="C733" s="2"/>
      <c r="D733" s="2"/>
      <c r="E733" s="2"/>
      <c r="F733" s="2"/>
      <c r="G733" s="2"/>
      <c r="H733" s="2"/>
      <c r="I733" s="2"/>
      <c r="J733" s="2"/>
      <c r="K733" s="2"/>
      <c r="L733" s="2"/>
      <c r="M733" s="2"/>
      <c r="N733" s="2"/>
      <c r="O733" s="2"/>
    </row>
    <row r="734" spans="1:15" s="3" customFormat="1">
      <c r="A734" s="4"/>
      <c r="C734" s="2"/>
      <c r="D734" s="2"/>
      <c r="E734" s="2"/>
      <c r="F734" s="2"/>
      <c r="G734" s="2"/>
      <c r="H734" s="2"/>
      <c r="I734" s="2"/>
      <c r="J734" s="2"/>
      <c r="K734" s="2"/>
      <c r="L734" s="2"/>
      <c r="M734" s="2"/>
      <c r="N734" s="2"/>
      <c r="O734" s="2"/>
    </row>
    <row r="735" spans="1:15" s="3" customFormat="1">
      <c r="A735" s="4"/>
      <c r="C735" s="2"/>
      <c r="D735" s="2"/>
      <c r="E735" s="2"/>
      <c r="F735" s="2"/>
      <c r="G735" s="2"/>
      <c r="H735" s="2"/>
      <c r="I735" s="2"/>
      <c r="J735" s="2"/>
      <c r="K735" s="2"/>
      <c r="L735" s="2"/>
      <c r="M735" s="2"/>
      <c r="N735" s="2"/>
      <c r="O735" s="2"/>
    </row>
    <row r="736" spans="1:15" s="3" customFormat="1">
      <c r="A736" s="4"/>
      <c r="C736" s="2"/>
      <c r="D736" s="2"/>
      <c r="E736" s="2"/>
      <c r="F736" s="2"/>
      <c r="G736" s="2"/>
      <c r="H736" s="2"/>
      <c r="I736" s="2"/>
      <c r="J736" s="2"/>
      <c r="K736" s="2"/>
      <c r="L736" s="2"/>
      <c r="M736" s="2"/>
      <c r="N736" s="2"/>
      <c r="O736" s="2"/>
    </row>
    <row r="737" spans="1:15" s="3" customFormat="1">
      <c r="A737" s="4"/>
      <c r="C737" s="2"/>
      <c r="D737" s="2"/>
      <c r="E737" s="2"/>
      <c r="F737" s="2"/>
      <c r="G737" s="2"/>
      <c r="H737" s="2"/>
      <c r="I737" s="2"/>
      <c r="J737" s="2"/>
      <c r="K737" s="2"/>
      <c r="L737" s="2"/>
      <c r="M737" s="2"/>
      <c r="N737" s="2"/>
      <c r="O737" s="2"/>
    </row>
    <row r="738" spans="1:15" s="3" customFormat="1">
      <c r="A738" s="4"/>
      <c r="C738" s="2"/>
      <c r="D738" s="2"/>
      <c r="E738" s="2"/>
      <c r="F738" s="2"/>
      <c r="G738" s="2"/>
      <c r="H738" s="2"/>
      <c r="I738" s="2"/>
      <c r="J738" s="2"/>
      <c r="K738" s="2"/>
      <c r="L738" s="2"/>
      <c r="M738" s="2"/>
      <c r="N738" s="2"/>
      <c r="O738" s="2"/>
    </row>
    <row r="739" spans="1:15" s="3" customFormat="1">
      <c r="A739" s="4"/>
      <c r="C739" s="2"/>
      <c r="D739" s="2"/>
      <c r="E739" s="2"/>
      <c r="F739" s="2"/>
      <c r="G739" s="2"/>
      <c r="H739" s="2"/>
      <c r="I739" s="2"/>
      <c r="J739" s="2"/>
      <c r="K739" s="2"/>
      <c r="L739" s="2"/>
      <c r="M739" s="2"/>
      <c r="N739" s="2"/>
      <c r="O739" s="2"/>
    </row>
    <row r="740" spans="1:15" s="3" customFormat="1">
      <c r="A740" s="4"/>
      <c r="C740" s="2"/>
      <c r="D740" s="2"/>
      <c r="E740" s="2"/>
      <c r="F740" s="2"/>
      <c r="G740" s="2"/>
      <c r="H740" s="2"/>
      <c r="I740" s="2"/>
      <c r="J740" s="2"/>
      <c r="K740" s="2"/>
      <c r="L740" s="2"/>
      <c r="M740" s="2"/>
      <c r="N740" s="2"/>
      <c r="O740" s="2"/>
    </row>
    <row r="741" spans="1:15" s="3" customFormat="1">
      <c r="A741" s="4"/>
      <c r="C741" s="2"/>
      <c r="D741" s="2"/>
      <c r="E741" s="2"/>
      <c r="F741" s="2"/>
      <c r="G741" s="2"/>
      <c r="H741" s="2"/>
      <c r="I741" s="2"/>
      <c r="J741" s="2"/>
      <c r="K741" s="2"/>
      <c r="L741" s="2"/>
      <c r="M741" s="2"/>
      <c r="N741" s="2"/>
      <c r="O741" s="2"/>
    </row>
    <row r="742" spans="1:15" s="3" customFormat="1">
      <c r="A742" s="4"/>
      <c r="C742" s="2"/>
      <c r="D742" s="2"/>
      <c r="E742" s="2"/>
      <c r="F742" s="2"/>
      <c r="G742" s="2"/>
      <c r="H742" s="2"/>
      <c r="I742" s="2"/>
      <c r="J742" s="2"/>
      <c r="K742" s="2"/>
      <c r="L742" s="2"/>
      <c r="M742" s="2"/>
      <c r="N742" s="2"/>
      <c r="O742" s="2"/>
    </row>
    <row r="743" spans="1:15" s="3" customFormat="1">
      <c r="A743" s="4"/>
      <c r="C743" s="2"/>
      <c r="D743" s="2"/>
      <c r="E743" s="2"/>
      <c r="F743" s="2"/>
      <c r="G743" s="2"/>
      <c r="H743" s="2"/>
      <c r="I743" s="2"/>
      <c r="J743" s="2"/>
      <c r="K743" s="2"/>
      <c r="L743" s="2"/>
      <c r="M743" s="2"/>
      <c r="N743" s="2"/>
      <c r="O743" s="2"/>
    </row>
    <row r="744" spans="1:15" s="3" customFormat="1">
      <c r="A744" s="4"/>
      <c r="C744" s="2"/>
      <c r="D744" s="2"/>
      <c r="E744" s="2"/>
      <c r="F744" s="2"/>
      <c r="G744" s="2"/>
      <c r="H744" s="2"/>
      <c r="I744" s="2"/>
      <c r="J744" s="2"/>
      <c r="K744" s="2"/>
      <c r="L744" s="2"/>
      <c r="M744" s="2"/>
      <c r="N744" s="2"/>
      <c r="O744" s="2"/>
    </row>
    <row r="745" spans="1:15" s="3" customFormat="1">
      <c r="A745" s="4"/>
      <c r="C745" s="2"/>
      <c r="D745" s="2"/>
      <c r="E745" s="2"/>
      <c r="F745" s="2"/>
      <c r="G745" s="2"/>
      <c r="H745" s="2"/>
      <c r="I745" s="2"/>
      <c r="J745" s="2"/>
      <c r="K745" s="2"/>
      <c r="L745" s="2"/>
      <c r="M745" s="2"/>
      <c r="N745" s="2"/>
      <c r="O745" s="2"/>
    </row>
    <row r="746" spans="1:15" s="3" customFormat="1">
      <c r="A746" s="4"/>
      <c r="C746" s="2"/>
      <c r="D746" s="2"/>
      <c r="E746" s="2"/>
      <c r="F746" s="2"/>
      <c r="G746" s="2"/>
      <c r="H746" s="2"/>
      <c r="I746" s="2"/>
      <c r="J746" s="2"/>
      <c r="K746" s="2"/>
      <c r="L746" s="2"/>
      <c r="M746" s="2"/>
      <c r="N746" s="2"/>
      <c r="O746" s="2"/>
    </row>
    <row r="747" spans="1:15" s="3" customFormat="1">
      <c r="A747" s="4"/>
      <c r="C747" s="2"/>
      <c r="D747" s="2"/>
      <c r="E747" s="2"/>
      <c r="F747" s="2"/>
      <c r="G747" s="2"/>
      <c r="H747" s="2"/>
      <c r="I747" s="2"/>
      <c r="J747" s="2"/>
      <c r="K747" s="2"/>
      <c r="L747" s="2"/>
      <c r="M747" s="2"/>
      <c r="N747" s="2"/>
      <c r="O747" s="2"/>
    </row>
    <row r="748" spans="1:15" s="3" customFormat="1">
      <c r="A748" s="4"/>
      <c r="C748" s="2"/>
      <c r="D748" s="2"/>
      <c r="E748" s="2"/>
      <c r="F748" s="2"/>
      <c r="G748" s="2"/>
      <c r="H748" s="2"/>
      <c r="I748" s="2"/>
      <c r="J748" s="2"/>
      <c r="K748" s="2"/>
      <c r="L748" s="2"/>
      <c r="M748" s="2"/>
      <c r="N748" s="2"/>
      <c r="O748" s="2"/>
    </row>
    <row r="749" spans="1:15" s="3" customFormat="1">
      <c r="A749" s="4"/>
      <c r="C749" s="2"/>
      <c r="D749" s="2"/>
      <c r="E749" s="2"/>
      <c r="F749" s="2"/>
      <c r="G749" s="2"/>
      <c r="H749" s="2"/>
      <c r="I749" s="2"/>
      <c r="J749" s="2"/>
      <c r="K749" s="2"/>
      <c r="L749" s="2"/>
      <c r="M749" s="2"/>
      <c r="N749" s="2"/>
      <c r="O749" s="2"/>
    </row>
    <row r="750" spans="1:15" s="3" customFormat="1">
      <c r="A750" s="4"/>
      <c r="C750" s="2"/>
      <c r="D750" s="2"/>
      <c r="E750" s="2"/>
      <c r="F750" s="2"/>
      <c r="G750" s="2"/>
      <c r="H750" s="2"/>
      <c r="I750" s="2"/>
      <c r="J750" s="2"/>
      <c r="K750" s="2"/>
      <c r="L750" s="2"/>
      <c r="M750" s="2"/>
      <c r="N750" s="2"/>
      <c r="O750" s="2"/>
    </row>
    <row r="751" spans="1:15" s="3" customFormat="1">
      <c r="A751" s="4"/>
      <c r="C751" s="2"/>
      <c r="D751" s="2"/>
      <c r="E751" s="2"/>
      <c r="F751" s="2"/>
      <c r="G751" s="2"/>
      <c r="H751" s="2"/>
      <c r="I751" s="2"/>
      <c r="J751" s="2"/>
      <c r="K751" s="2"/>
      <c r="L751" s="2"/>
      <c r="M751" s="2"/>
      <c r="N751" s="2"/>
      <c r="O751" s="2"/>
    </row>
    <row r="752" spans="1:15" s="3" customFormat="1">
      <c r="A752" s="4"/>
      <c r="C752" s="2"/>
      <c r="D752" s="2"/>
      <c r="E752" s="2"/>
      <c r="F752" s="2"/>
      <c r="G752" s="2"/>
      <c r="H752" s="2"/>
      <c r="I752" s="2"/>
      <c r="J752" s="2"/>
      <c r="K752" s="2"/>
      <c r="L752" s="2"/>
      <c r="M752" s="2"/>
      <c r="N752" s="2"/>
      <c r="O752" s="2"/>
    </row>
    <row r="753" spans="1:15" s="3" customFormat="1">
      <c r="A753" s="4"/>
      <c r="C753" s="2"/>
      <c r="D753" s="2"/>
      <c r="E753" s="2"/>
      <c r="F753" s="2"/>
      <c r="G753" s="2"/>
      <c r="H753" s="2"/>
      <c r="I753" s="2"/>
      <c r="J753" s="2"/>
      <c r="K753" s="2"/>
      <c r="L753" s="2"/>
      <c r="M753" s="2"/>
      <c r="N753" s="2"/>
      <c r="O753" s="2"/>
    </row>
    <row r="754" spans="1:15" s="3" customFormat="1">
      <c r="A754" s="4"/>
      <c r="C754" s="2"/>
      <c r="D754" s="2"/>
      <c r="E754" s="2"/>
      <c r="F754" s="2"/>
      <c r="G754" s="2"/>
      <c r="H754" s="2"/>
      <c r="I754" s="2"/>
      <c r="J754" s="2"/>
      <c r="K754" s="2"/>
      <c r="L754" s="2"/>
      <c r="M754" s="2"/>
      <c r="N754" s="2"/>
      <c r="O754" s="2"/>
    </row>
    <row r="755" spans="1:15" s="3" customFormat="1">
      <c r="A755" s="4"/>
      <c r="C755" s="2"/>
      <c r="D755" s="2"/>
      <c r="E755" s="2"/>
      <c r="F755" s="2"/>
      <c r="G755" s="2"/>
      <c r="H755" s="2"/>
      <c r="I755" s="2"/>
      <c r="J755" s="2"/>
      <c r="K755" s="2"/>
      <c r="L755" s="2"/>
      <c r="M755" s="2"/>
      <c r="N755" s="2"/>
      <c r="O755" s="2"/>
    </row>
    <row r="756" spans="1:15" s="3" customFormat="1">
      <c r="A756" s="4"/>
      <c r="C756" s="2"/>
      <c r="D756" s="2"/>
      <c r="E756" s="2"/>
      <c r="F756" s="2"/>
      <c r="G756" s="2"/>
      <c r="H756" s="2"/>
      <c r="I756" s="2"/>
      <c r="J756" s="2"/>
      <c r="K756" s="2"/>
      <c r="L756" s="2"/>
      <c r="M756" s="2"/>
      <c r="N756" s="2"/>
      <c r="O756" s="2"/>
    </row>
    <row r="757" spans="1:15" s="3" customFormat="1">
      <c r="A757" s="4"/>
      <c r="C757" s="2"/>
      <c r="D757" s="2"/>
      <c r="E757" s="2"/>
      <c r="F757" s="2"/>
      <c r="G757" s="2"/>
      <c r="H757" s="2"/>
      <c r="I757" s="2"/>
      <c r="J757" s="2"/>
      <c r="K757" s="2"/>
      <c r="L757" s="2"/>
      <c r="M757" s="2"/>
      <c r="N757" s="2"/>
      <c r="O757" s="2"/>
    </row>
    <row r="758" spans="1:15" s="3" customFormat="1">
      <c r="A758" s="4"/>
      <c r="C758" s="2"/>
      <c r="D758" s="2"/>
      <c r="E758" s="2"/>
      <c r="F758" s="2"/>
      <c r="G758" s="2"/>
      <c r="H758" s="2"/>
      <c r="I758" s="2"/>
      <c r="J758" s="2"/>
      <c r="K758" s="2"/>
      <c r="L758" s="2"/>
      <c r="M758" s="2"/>
      <c r="N758" s="2"/>
      <c r="O758" s="2"/>
    </row>
    <row r="759" spans="1:15" s="3" customFormat="1">
      <c r="A759" s="4"/>
      <c r="C759" s="2"/>
      <c r="D759" s="2"/>
      <c r="E759" s="2"/>
      <c r="F759" s="2"/>
      <c r="G759" s="2"/>
      <c r="H759" s="2"/>
      <c r="I759" s="2"/>
      <c r="J759" s="2"/>
      <c r="K759" s="2"/>
      <c r="L759" s="2"/>
      <c r="M759" s="2"/>
      <c r="N759" s="2"/>
      <c r="O759" s="2"/>
    </row>
    <row r="760" spans="1:15" s="3" customFormat="1">
      <c r="A760" s="4"/>
      <c r="C760" s="2"/>
      <c r="D760" s="2"/>
      <c r="E760" s="2"/>
      <c r="F760" s="2"/>
      <c r="G760" s="2"/>
      <c r="H760" s="2"/>
      <c r="I760" s="2"/>
      <c r="J760" s="2"/>
      <c r="K760" s="2"/>
      <c r="L760" s="2"/>
      <c r="M760" s="2"/>
      <c r="N760" s="2"/>
      <c r="O760" s="2"/>
    </row>
    <row r="761" spans="1:15" s="3" customFormat="1">
      <c r="A761" s="4"/>
      <c r="C761" s="2"/>
      <c r="D761" s="2"/>
      <c r="E761" s="2"/>
      <c r="F761" s="2"/>
      <c r="G761" s="2"/>
      <c r="H761" s="2"/>
      <c r="I761" s="2"/>
      <c r="J761" s="2"/>
      <c r="K761" s="2"/>
      <c r="L761" s="2"/>
      <c r="M761" s="2"/>
      <c r="N761" s="2"/>
      <c r="O761" s="2"/>
    </row>
    <row r="762" spans="1:15" s="3" customFormat="1">
      <c r="A762" s="4"/>
      <c r="C762" s="2"/>
      <c r="D762" s="2"/>
      <c r="E762" s="2"/>
      <c r="F762" s="2"/>
      <c r="G762" s="2"/>
      <c r="H762" s="2"/>
      <c r="I762" s="2"/>
      <c r="J762" s="2"/>
      <c r="K762" s="2"/>
      <c r="L762" s="2"/>
      <c r="M762" s="2"/>
      <c r="N762" s="2"/>
      <c r="O762" s="2"/>
    </row>
    <row r="763" spans="1:15" s="3" customFormat="1">
      <c r="A763" s="4"/>
      <c r="C763" s="2"/>
      <c r="D763" s="2"/>
      <c r="E763" s="2"/>
      <c r="F763" s="2"/>
      <c r="G763" s="2"/>
      <c r="H763" s="2"/>
      <c r="I763" s="2"/>
      <c r="J763" s="2"/>
      <c r="K763" s="2"/>
      <c r="L763" s="2"/>
      <c r="M763" s="2"/>
      <c r="N763" s="2"/>
      <c r="O763" s="2"/>
    </row>
    <row r="764" spans="1:15" s="3" customFormat="1">
      <c r="A764" s="4"/>
      <c r="C764" s="2"/>
      <c r="D764" s="2"/>
      <c r="E764" s="2"/>
      <c r="F764" s="2"/>
      <c r="G764" s="2"/>
      <c r="H764" s="2"/>
      <c r="I764" s="2"/>
      <c r="J764" s="2"/>
      <c r="K764" s="2"/>
      <c r="L764" s="2"/>
      <c r="M764" s="2"/>
      <c r="N764" s="2"/>
      <c r="O764" s="2"/>
    </row>
    <row r="765" spans="1:15" s="3" customFormat="1">
      <c r="A765" s="4"/>
      <c r="C765" s="2"/>
      <c r="D765" s="2"/>
      <c r="E765" s="2"/>
      <c r="F765" s="2"/>
      <c r="G765" s="2"/>
      <c r="H765" s="2"/>
      <c r="I765" s="2"/>
      <c r="J765" s="2"/>
      <c r="K765" s="2"/>
      <c r="L765" s="2"/>
      <c r="M765" s="2"/>
      <c r="N765" s="2"/>
      <c r="O765" s="2"/>
    </row>
    <row r="766" spans="1:15" s="3" customFormat="1">
      <c r="A766" s="4"/>
      <c r="C766" s="2"/>
      <c r="D766" s="2"/>
      <c r="E766" s="2"/>
      <c r="F766" s="2"/>
      <c r="G766" s="2"/>
      <c r="H766" s="2"/>
      <c r="I766" s="2"/>
      <c r="J766" s="2"/>
      <c r="K766" s="2"/>
      <c r="L766" s="2"/>
      <c r="M766" s="2"/>
      <c r="N766" s="2"/>
      <c r="O766" s="2"/>
    </row>
    <row r="767" spans="1:15" s="3" customFormat="1">
      <c r="A767" s="4"/>
      <c r="C767" s="2"/>
      <c r="D767" s="2"/>
      <c r="E767" s="2"/>
      <c r="F767" s="2"/>
      <c r="G767" s="2"/>
      <c r="H767" s="2"/>
      <c r="I767" s="2"/>
      <c r="J767" s="2"/>
      <c r="K767" s="2"/>
      <c r="L767" s="2"/>
      <c r="M767" s="2"/>
      <c r="N767" s="2"/>
      <c r="O767" s="2"/>
    </row>
    <row r="768" spans="1:15" s="3" customFormat="1">
      <c r="A768" s="4"/>
      <c r="C768" s="2"/>
      <c r="D768" s="2"/>
      <c r="E768" s="2"/>
      <c r="F768" s="2"/>
      <c r="G768" s="2"/>
      <c r="H768" s="2"/>
      <c r="I768" s="2"/>
      <c r="J768" s="2"/>
      <c r="K768" s="2"/>
      <c r="L768" s="2"/>
      <c r="M768" s="2"/>
      <c r="N768" s="2"/>
      <c r="O768" s="2"/>
    </row>
    <row r="769" spans="1:15" s="3" customFormat="1">
      <c r="A769" s="4"/>
      <c r="C769" s="2"/>
      <c r="D769" s="2"/>
      <c r="E769" s="2"/>
      <c r="F769" s="2"/>
      <c r="G769" s="2"/>
      <c r="H769" s="2"/>
      <c r="I769" s="2"/>
      <c r="J769" s="2"/>
      <c r="K769" s="2"/>
      <c r="L769" s="2"/>
      <c r="M769" s="2"/>
      <c r="N769" s="2"/>
      <c r="O769" s="2"/>
    </row>
    <row r="770" spans="1:15" s="3" customFormat="1">
      <c r="A770" s="4"/>
      <c r="C770" s="2"/>
      <c r="D770" s="2"/>
      <c r="E770" s="2"/>
      <c r="F770" s="2"/>
      <c r="G770" s="2"/>
      <c r="H770" s="2"/>
      <c r="I770" s="2"/>
      <c r="J770" s="2"/>
      <c r="K770" s="2"/>
      <c r="L770" s="2"/>
      <c r="M770" s="2"/>
      <c r="N770" s="2"/>
      <c r="O770" s="2"/>
    </row>
    <row r="771" spans="1:15" s="3" customFormat="1">
      <c r="A771" s="4"/>
      <c r="C771" s="2"/>
      <c r="D771" s="2"/>
      <c r="E771" s="2"/>
      <c r="F771" s="2"/>
      <c r="G771" s="2"/>
      <c r="H771" s="2"/>
      <c r="I771" s="2"/>
      <c r="J771" s="2"/>
      <c r="K771" s="2"/>
      <c r="L771" s="2"/>
      <c r="M771" s="2"/>
      <c r="N771" s="2"/>
      <c r="O771" s="2"/>
    </row>
    <row r="772" spans="1:15" s="3" customFormat="1">
      <c r="A772" s="4"/>
      <c r="C772" s="2"/>
      <c r="D772" s="2"/>
      <c r="E772" s="2"/>
      <c r="F772" s="2"/>
      <c r="G772" s="2"/>
      <c r="H772" s="2"/>
      <c r="I772" s="2"/>
      <c r="J772" s="2"/>
      <c r="K772" s="2"/>
      <c r="L772" s="2"/>
      <c r="M772" s="2"/>
      <c r="N772" s="2"/>
      <c r="O772" s="2"/>
    </row>
    <row r="773" spans="1:15" s="3" customFormat="1">
      <c r="A773" s="4"/>
      <c r="C773" s="2"/>
      <c r="D773" s="2"/>
      <c r="E773" s="2"/>
      <c r="F773" s="2"/>
      <c r="G773" s="2"/>
      <c r="H773" s="2"/>
      <c r="I773" s="2"/>
      <c r="J773" s="2"/>
      <c r="K773" s="2"/>
      <c r="L773" s="2"/>
      <c r="M773" s="2"/>
      <c r="N773" s="2"/>
      <c r="O773" s="2"/>
    </row>
    <row r="774" spans="1:15" s="3" customFormat="1">
      <c r="A774" s="4"/>
      <c r="C774" s="2"/>
      <c r="D774" s="2"/>
      <c r="E774" s="2"/>
      <c r="F774" s="2"/>
      <c r="G774" s="2"/>
      <c r="H774" s="2"/>
      <c r="I774" s="2"/>
      <c r="J774" s="2"/>
      <c r="K774" s="2"/>
      <c r="L774" s="2"/>
      <c r="M774" s="2"/>
      <c r="N774" s="2"/>
      <c r="O774" s="2"/>
    </row>
    <row r="775" spans="1:15" s="3" customFormat="1">
      <c r="A775" s="4"/>
      <c r="C775" s="2"/>
      <c r="D775" s="2"/>
      <c r="E775" s="2"/>
      <c r="F775" s="2"/>
      <c r="G775" s="2"/>
      <c r="H775" s="2"/>
      <c r="I775" s="2"/>
      <c r="J775" s="2"/>
      <c r="K775" s="2"/>
      <c r="L775" s="2"/>
      <c r="M775" s="2"/>
      <c r="N775" s="2"/>
      <c r="O775" s="2"/>
    </row>
    <row r="776" spans="1:15" s="3" customFormat="1">
      <c r="A776" s="4"/>
      <c r="C776" s="2"/>
      <c r="D776" s="2"/>
      <c r="E776" s="2"/>
      <c r="F776" s="2"/>
      <c r="G776" s="2"/>
      <c r="H776" s="2"/>
      <c r="I776" s="2"/>
      <c r="J776" s="2"/>
      <c r="K776" s="2"/>
      <c r="L776" s="2"/>
      <c r="M776" s="2"/>
      <c r="N776" s="2"/>
      <c r="O776" s="2"/>
    </row>
    <row r="777" spans="1:15" s="3" customFormat="1">
      <c r="A777" s="4"/>
      <c r="C777" s="2"/>
      <c r="D777" s="2"/>
      <c r="E777" s="2"/>
      <c r="F777" s="2"/>
      <c r="G777" s="2"/>
      <c r="H777" s="2"/>
      <c r="I777" s="2"/>
      <c r="J777" s="2"/>
      <c r="K777" s="2"/>
      <c r="L777" s="2"/>
      <c r="M777" s="2"/>
      <c r="N777" s="2"/>
      <c r="O777" s="2"/>
    </row>
    <row r="778" spans="1:15" s="3" customFormat="1">
      <c r="A778" s="4"/>
      <c r="C778" s="2"/>
      <c r="D778" s="2"/>
      <c r="E778" s="2"/>
      <c r="F778" s="2"/>
      <c r="G778" s="2"/>
      <c r="H778" s="2"/>
      <c r="I778" s="2"/>
      <c r="J778" s="2"/>
      <c r="K778" s="2"/>
      <c r="L778" s="2"/>
      <c r="M778" s="2"/>
      <c r="N778" s="2"/>
      <c r="O778" s="2"/>
    </row>
    <row r="779" spans="1:15" s="3" customFormat="1">
      <c r="A779" s="4"/>
      <c r="C779" s="2"/>
      <c r="D779" s="2"/>
      <c r="E779" s="2"/>
      <c r="F779" s="2"/>
      <c r="G779" s="2"/>
      <c r="H779" s="2"/>
      <c r="I779" s="2"/>
      <c r="J779" s="2"/>
      <c r="K779" s="2"/>
      <c r="L779" s="2"/>
      <c r="M779" s="2"/>
      <c r="N779" s="2"/>
      <c r="O779" s="2"/>
    </row>
    <row r="780" spans="1:15" s="3" customFormat="1">
      <c r="A780" s="4"/>
      <c r="C780" s="2"/>
      <c r="D780" s="2"/>
      <c r="E780" s="2"/>
      <c r="F780" s="2"/>
      <c r="G780" s="2"/>
      <c r="H780" s="2"/>
      <c r="I780" s="2"/>
      <c r="J780" s="2"/>
      <c r="K780" s="2"/>
      <c r="L780" s="2"/>
      <c r="M780" s="2"/>
      <c r="N780" s="2"/>
      <c r="O780" s="2"/>
    </row>
    <row r="781" spans="1:15" s="3" customFormat="1">
      <c r="A781" s="4"/>
      <c r="C781" s="2"/>
      <c r="D781" s="2"/>
      <c r="E781" s="2"/>
      <c r="F781" s="2"/>
      <c r="G781" s="2"/>
      <c r="H781" s="2"/>
      <c r="I781" s="2"/>
      <c r="J781" s="2"/>
      <c r="K781" s="2"/>
      <c r="L781" s="2"/>
      <c r="M781" s="2"/>
      <c r="N781" s="2"/>
      <c r="O781" s="2"/>
    </row>
    <row r="782" spans="1:15" s="3" customFormat="1">
      <c r="A782" s="4"/>
      <c r="C782" s="2"/>
      <c r="D782" s="2"/>
      <c r="E782" s="2"/>
      <c r="F782" s="2"/>
      <c r="G782" s="2"/>
      <c r="H782" s="2"/>
      <c r="I782" s="2"/>
      <c r="J782" s="2"/>
      <c r="K782" s="2"/>
      <c r="L782" s="2"/>
      <c r="M782" s="2"/>
      <c r="N782" s="2"/>
      <c r="O782" s="2"/>
    </row>
    <row r="783" spans="1:15" s="3" customFormat="1">
      <c r="A783" s="4"/>
      <c r="C783" s="2"/>
      <c r="D783" s="2"/>
      <c r="E783" s="2"/>
      <c r="F783" s="2"/>
      <c r="G783" s="2"/>
      <c r="H783" s="2"/>
      <c r="I783" s="2"/>
      <c r="J783" s="2"/>
      <c r="K783" s="2"/>
      <c r="L783" s="2"/>
      <c r="M783" s="2"/>
      <c r="N783" s="2"/>
      <c r="O783" s="2"/>
    </row>
    <row r="784" spans="1:15" s="3" customFormat="1">
      <c r="A784" s="4"/>
      <c r="C784" s="2"/>
      <c r="D784" s="2"/>
      <c r="E784" s="2"/>
      <c r="F784" s="2"/>
      <c r="G784" s="2"/>
      <c r="H784" s="2"/>
      <c r="I784" s="2"/>
      <c r="J784" s="2"/>
      <c r="K784" s="2"/>
      <c r="L784" s="2"/>
      <c r="M784" s="2"/>
      <c r="N784" s="2"/>
      <c r="O784" s="2"/>
    </row>
    <row r="785" spans="1:15" s="3" customFormat="1">
      <c r="A785" s="4"/>
      <c r="C785" s="2"/>
      <c r="D785" s="2"/>
      <c r="E785" s="2"/>
      <c r="F785" s="2"/>
      <c r="G785" s="2"/>
      <c r="H785" s="2"/>
      <c r="I785" s="2"/>
      <c r="J785" s="2"/>
      <c r="K785" s="2"/>
      <c r="L785" s="2"/>
      <c r="M785" s="2"/>
      <c r="N785" s="2"/>
      <c r="O785" s="2"/>
    </row>
    <row r="786" spans="1:15" s="3" customFormat="1">
      <c r="A786" s="4"/>
      <c r="C786" s="2"/>
      <c r="D786" s="2"/>
      <c r="E786" s="2"/>
      <c r="F786" s="2"/>
      <c r="G786" s="2"/>
      <c r="H786" s="2"/>
      <c r="I786" s="2"/>
      <c r="J786" s="2"/>
      <c r="K786" s="2"/>
      <c r="L786" s="2"/>
      <c r="M786" s="2"/>
      <c r="N786" s="2"/>
      <c r="O786" s="2"/>
    </row>
    <row r="787" spans="1:15" s="3" customFormat="1">
      <c r="A787" s="4"/>
      <c r="C787" s="2"/>
      <c r="D787" s="2"/>
      <c r="E787" s="2"/>
      <c r="F787" s="2"/>
      <c r="G787" s="2"/>
      <c r="H787" s="2"/>
      <c r="I787" s="2"/>
      <c r="J787" s="2"/>
      <c r="K787" s="2"/>
      <c r="L787" s="2"/>
      <c r="M787" s="2"/>
      <c r="N787" s="2"/>
      <c r="O787" s="2"/>
    </row>
    <row r="788" spans="1:15" s="3" customFormat="1">
      <c r="A788" s="4"/>
      <c r="C788" s="2"/>
      <c r="D788" s="2"/>
      <c r="E788" s="2"/>
      <c r="F788" s="2"/>
      <c r="G788" s="2"/>
      <c r="H788" s="2"/>
      <c r="I788" s="2"/>
      <c r="J788" s="2"/>
      <c r="K788" s="2"/>
      <c r="L788" s="2"/>
      <c r="M788" s="2"/>
      <c r="N788" s="2"/>
      <c r="O788" s="2"/>
    </row>
    <row r="789" spans="1:15" s="3" customFormat="1">
      <c r="A789" s="4"/>
      <c r="C789" s="2"/>
      <c r="D789" s="2"/>
      <c r="E789" s="2"/>
      <c r="F789" s="2"/>
      <c r="G789" s="2"/>
      <c r="H789" s="2"/>
      <c r="I789" s="2"/>
      <c r="J789" s="2"/>
      <c r="K789" s="2"/>
      <c r="L789" s="2"/>
      <c r="M789" s="2"/>
      <c r="N789" s="2"/>
      <c r="O789" s="2"/>
    </row>
    <row r="790" spans="1:15" s="3" customFormat="1">
      <c r="A790" s="4"/>
      <c r="C790" s="2"/>
      <c r="D790" s="2"/>
      <c r="E790" s="2"/>
      <c r="F790" s="2"/>
      <c r="G790" s="2"/>
      <c r="H790" s="2"/>
      <c r="I790" s="2"/>
      <c r="J790" s="2"/>
      <c r="K790" s="2"/>
      <c r="L790" s="2"/>
      <c r="M790" s="2"/>
      <c r="N790" s="2"/>
      <c r="O790" s="2"/>
    </row>
    <row r="791" spans="1:15" s="3" customFormat="1">
      <c r="A791" s="4"/>
      <c r="C791" s="2"/>
      <c r="D791" s="2"/>
      <c r="E791" s="2"/>
      <c r="F791" s="2"/>
      <c r="G791" s="2"/>
      <c r="H791" s="2"/>
      <c r="I791" s="2"/>
      <c r="J791" s="2"/>
      <c r="K791" s="2"/>
      <c r="L791" s="2"/>
      <c r="M791" s="2"/>
      <c r="N791" s="2"/>
      <c r="O791" s="2"/>
    </row>
    <row r="792" spans="1:15" s="3" customFormat="1">
      <c r="A792" s="4"/>
      <c r="C792" s="2"/>
      <c r="D792" s="2"/>
      <c r="E792" s="2"/>
      <c r="F792" s="2"/>
      <c r="G792" s="2"/>
      <c r="H792" s="2"/>
      <c r="I792" s="2"/>
      <c r="J792" s="2"/>
      <c r="K792" s="2"/>
      <c r="L792" s="2"/>
      <c r="M792" s="2"/>
      <c r="N792" s="2"/>
      <c r="O792" s="2"/>
    </row>
    <row r="793" spans="1:15" s="3" customFormat="1">
      <c r="A793" s="4"/>
      <c r="C793" s="2"/>
      <c r="D793" s="2"/>
      <c r="E793" s="2"/>
      <c r="F793" s="2"/>
      <c r="G793" s="2"/>
      <c r="H793" s="2"/>
      <c r="I793" s="2"/>
      <c r="J793" s="2"/>
      <c r="K793" s="2"/>
      <c r="L793" s="2"/>
      <c r="M793" s="2"/>
      <c r="N793" s="2"/>
      <c r="O793" s="2"/>
    </row>
    <row r="794" spans="1:15" s="3" customFormat="1">
      <c r="A794" s="4"/>
      <c r="C794" s="2"/>
      <c r="D794" s="2"/>
      <c r="E794" s="2"/>
      <c r="F794" s="2"/>
      <c r="G794" s="2"/>
      <c r="H794" s="2"/>
      <c r="I794" s="2"/>
      <c r="J794" s="2"/>
      <c r="K794" s="2"/>
      <c r="L794" s="2"/>
      <c r="M794" s="2"/>
      <c r="N794" s="2"/>
      <c r="O794" s="2"/>
    </row>
    <row r="795" spans="1:15" s="3" customFormat="1">
      <c r="A795" s="4"/>
      <c r="C795" s="2"/>
      <c r="D795" s="2"/>
      <c r="E795" s="2"/>
      <c r="F795" s="2"/>
      <c r="G795" s="2"/>
      <c r="H795" s="2"/>
      <c r="I795" s="2"/>
      <c r="J795" s="2"/>
      <c r="K795" s="2"/>
      <c r="L795" s="2"/>
      <c r="M795" s="2"/>
      <c r="N795" s="2"/>
      <c r="O795" s="2"/>
    </row>
    <row r="796" spans="1:15" s="3" customFormat="1">
      <c r="A796" s="4"/>
      <c r="C796" s="2"/>
      <c r="D796" s="2"/>
      <c r="E796" s="2"/>
      <c r="F796" s="2"/>
      <c r="G796" s="2"/>
      <c r="H796" s="2"/>
      <c r="I796" s="2"/>
      <c r="J796" s="2"/>
      <c r="K796" s="2"/>
      <c r="L796" s="2"/>
      <c r="M796" s="2"/>
      <c r="N796" s="2"/>
      <c r="O796" s="2"/>
    </row>
    <row r="797" spans="1:15" s="3" customFormat="1">
      <c r="A797" s="4"/>
      <c r="C797" s="2"/>
      <c r="D797" s="2"/>
      <c r="E797" s="2"/>
      <c r="F797" s="2"/>
      <c r="G797" s="2"/>
      <c r="H797" s="2"/>
      <c r="I797" s="2"/>
      <c r="J797" s="2"/>
      <c r="K797" s="2"/>
      <c r="L797" s="2"/>
      <c r="M797" s="2"/>
      <c r="N797" s="2"/>
      <c r="O797" s="2"/>
    </row>
    <row r="798" spans="1:15" s="3" customFormat="1">
      <c r="A798" s="4"/>
      <c r="C798" s="2"/>
      <c r="D798" s="2"/>
      <c r="E798" s="2"/>
      <c r="F798" s="2"/>
      <c r="G798" s="2"/>
      <c r="H798" s="2"/>
      <c r="I798" s="2"/>
      <c r="J798" s="2"/>
      <c r="K798" s="2"/>
      <c r="L798" s="2"/>
      <c r="M798" s="2"/>
      <c r="N798" s="2"/>
      <c r="O798" s="2"/>
    </row>
    <row r="799" spans="1:15" s="3" customFormat="1">
      <c r="A799" s="4"/>
      <c r="C799" s="2"/>
      <c r="D799" s="2"/>
      <c r="E799" s="2"/>
      <c r="F799" s="2"/>
      <c r="G799" s="2"/>
      <c r="H799" s="2"/>
      <c r="I799" s="2"/>
      <c r="J799" s="2"/>
      <c r="K799" s="2"/>
      <c r="L799" s="2"/>
      <c r="M799" s="2"/>
      <c r="N799" s="2"/>
      <c r="O799" s="2"/>
    </row>
    <row r="800" spans="1:15" s="3" customFormat="1">
      <c r="A800" s="4"/>
      <c r="C800" s="2"/>
      <c r="D800" s="2"/>
      <c r="E800" s="2"/>
      <c r="F800" s="2"/>
      <c r="G800" s="2"/>
      <c r="H800" s="2"/>
      <c r="I800" s="2"/>
      <c r="J800" s="2"/>
      <c r="K800" s="2"/>
      <c r="L800" s="2"/>
      <c r="M800" s="2"/>
      <c r="N800" s="2"/>
      <c r="O800" s="2"/>
    </row>
    <row r="801" spans="1:15" s="3" customFormat="1">
      <c r="A801" s="4"/>
      <c r="C801" s="2"/>
      <c r="D801" s="2"/>
      <c r="E801" s="2"/>
      <c r="F801" s="2"/>
      <c r="G801" s="2"/>
      <c r="H801" s="2"/>
      <c r="I801" s="2"/>
      <c r="J801" s="2"/>
      <c r="K801" s="2"/>
      <c r="L801" s="2"/>
      <c r="M801" s="2"/>
      <c r="N801" s="2"/>
      <c r="O801" s="2"/>
    </row>
    <row r="802" spans="1:15" s="3" customFormat="1">
      <c r="A802" s="4"/>
      <c r="C802" s="2"/>
      <c r="D802" s="2"/>
      <c r="E802" s="2"/>
      <c r="F802" s="2"/>
      <c r="G802" s="2"/>
      <c r="H802" s="2"/>
      <c r="I802" s="2"/>
      <c r="J802" s="2"/>
      <c r="K802" s="2"/>
      <c r="L802" s="2"/>
      <c r="M802" s="2"/>
      <c r="N802" s="2"/>
      <c r="O802" s="2"/>
    </row>
    <row r="803" spans="1:15" s="3" customFormat="1">
      <c r="A803" s="4"/>
      <c r="C803" s="2"/>
      <c r="D803" s="2"/>
      <c r="E803" s="2"/>
      <c r="F803" s="2"/>
      <c r="G803" s="2"/>
      <c r="H803" s="2"/>
      <c r="I803" s="2"/>
      <c r="J803" s="2"/>
      <c r="K803" s="2"/>
      <c r="L803" s="2"/>
      <c r="M803" s="2"/>
      <c r="N803" s="2"/>
      <c r="O803" s="2"/>
    </row>
    <row r="804" spans="1:15" s="3" customFormat="1">
      <c r="A804" s="4"/>
      <c r="C804" s="2"/>
      <c r="D804" s="2"/>
      <c r="E804" s="2"/>
      <c r="F804" s="2"/>
      <c r="G804" s="2"/>
      <c r="H804" s="2"/>
      <c r="I804" s="2"/>
      <c r="J804" s="2"/>
      <c r="K804" s="2"/>
      <c r="L804" s="2"/>
      <c r="M804" s="2"/>
      <c r="N804" s="2"/>
      <c r="O804" s="2"/>
    </row>
    <row r="805" spans="1:15" s="3" customFormat="1">
      <c r="A805" s="4"/>
      <c r="C805" s="2"/>
      <c r="D805" s="2"/>
      <c r="E805" s="2"/>
      <c r="F805" s="2"/>
      <c r="G805" s="2"/>
      <c r="H805" s="2"/>
      <c r="I805" s="2"/>
      <c r="J805" s="2"/>
      <c r="K805" s="2"/>
      <c r="L805" s="2"/>
      <c r="M805" s="2"/>
      <c r="N805" s="2"/>
      <c r="O805" s="2"/>
    </row>
    <row r="806" spans="1:15" s="3" customFormat="1">
      <c r="A806" s="4"/>
      <c r="C806" s="2"/>
      <c r="D806" s="2"/>
      <c r="E806" s="2"/>
      <c r="F806" s="2"/>
      <c r="G806" s="2"/>
      <c r="H806" s="2"/>
      <c r="I806" s="2"/>
      <c r="J806" s="2"/>
      <c r="K806" s="2"/>
      <c r="L806" s="2"/>
      <c r="M806" s="2"/>
      <c r="N806" s="2"/>
      <c r="O806" s="2"/>
    </row>
    <row r="807" spans="1:15" s="3" customFormat="1">
      <c r="A807" s="4"/>
      <c r="C807" s="2"/>
      <c r="D807" s="2"/>
      <c r="E807" s="2"/>
      <c r="F807" s="2"/>
      <c r="G807" s="2"/>
      <c r="H807" s="2"/>
      <c r="I807" s="2"/>
      <c r="J807" s="2"/>
      <c r="K807" s="2"/>
      <c r="L807" s="2"/>
      <c r="M807" s="2"/>
      <c r="N807" s="2"/>
      <c r="O807" s="2"/>
    </row>
    <row r="808" spans="1:15" s="3" customFormat="1">
      <c r="A808" s="4"/>
      <c r="C808" s="2"/>
      <c r="D808" s="2"/>
      <c r="E808" s="2"/>
      <c r="F808" s="2"/>
      <c r="G808" s="2"/>
      <c r="H808" s="2"/>
      <c r="I808" s="2"/>
      <c r="J808" s="2"/>
      <c r="K808" s="2"/>
      <c r="L808" s="2"/>
      <c r="M808" s="2"/>
      <c r="N808" s="2"/>
      <c r="O808" s="2"/>
    </row>
    <row r="809" spans="1:15" s="3" customFormat="1">
      <c r="A809" s="4"/>
      <c r="C809" s="2"/>
      <c r="D809" s="2"/>
      <c r="E809" s="2"/>
      <c r="F809" s="2"/>
      <c r="G809" s="2"/>
      <c r="H809" s="2"/>
      <c r="I809" s="2"/>
      <c r="J809" s="2"/>
      <c r="K809" s="2"/>
      <c r="L809" s="2"/>
      <c r="M809" s="2"/>
      <c r="N809" s="2"/>
      <c r="O809" s="2"/>
    </row>
    <row r="810" spans="1:15" s="3" customFormat="1">
      <c r="A810" s="4"/>
      <c r="C810" s="2"/>
      <c r="D810" s="2"/>
      <c r="E810" s="2"/>
      <c r="F810" s="2"/>
      <c r="G810" s="2"/>
      <c r="H810" s="2"/>
      <c r="I810" s="2"/>
      <c r="J810" s="2"/>
      <c r="K810" s="2"/>
      <c r="L810" s="2"/>
      <c r="M810" s="2"/>
      <c r="N810" s="2"/>
      <c r="O810" s="2"/>
    </row>
    <row r="811" spans="1:15" s="3" customFormat="1">
      <c r="A811" s="4"/>
      <c r="C811" s="2"/>
      <c r="D811" s="2"/>
      <c r="E811" s="2"/>
      <c r="F811" s="2"/>
      <c r="G811" s="2"/>
      <c r="H811" s="2"/>
      <c r="I811" s="2"/>
      <c r="J811" s="2"/>
      <c r="K811" s="2"/>
      <c r="L811" s="2"/>
      <c r="M811" s="2"/>
      <c r="N811" s="2"/>
      <c r="O811" s="2"/>
    </row>
    <row r="812" spans="1:15" s="3" customFormat="1">
      <c r="A812" s="4"/>
      <c r="C812" s="2"/>
      <c r="D812" s="2"/>
      <c r="E812" s="2"/>
      <c r="F812" s="2"/>
      <c r="G812" s="2"/>
      <c r="H812" s="2"/>
      <c r="I812" s="2"/>
      <c r="J812" s="2"/>
      <c r="K812" s="2"/>
      <c r="L812" s="2"/>
      <c r="M812" s="2"/>
      <c r="N812" s="2"/>
      <c r="O812" s="2"/>
    </row>
    <row r="813" spans="1:15" s="3" customFormat="1">
      <c r="A813" s="4"/>
      <c r="C813" s="2"/>
      <c r="D813" s="2"/>
      <c r="E813" s="2"/>
      <c r="F813" s="2"/>
      <c r="G813" s="2"/>
      <c r="H813" s="2"/>
      <c r="I813" s="2"/>
      <c r="J813" s="2"/>
      <c r="K813" s="2"/>
      <c r="L813" s="2"/>
      <c r="M813" s="2"/>
      <c r="N813" s="2"/>
      <c r="O813" s="2"/>
    </row>
    <row r="814" spans="1:15" s="3" customFormat="1">
      <c r="A814" s="4"/>
      <c r="C814" s="2"/>
      <c r="D814" s="2"/>
      <c r="E814" s="2"/>
      <c r="F814" s="2"/>
      <c r="G814" s="2"/>
      <c r="H814" s="2"/>
      <c r="I814" s="2"/>
      <c r="J814" s="2"/>
      <c r="K814" s="2"/>
      <c r="L814" s="2"/>
      <c r="M814" s="2"/>
      <c r="N814" s="2"/>
      <c r="O814" s="2"/>
    </row>
    <row r="815" spans="1:15" s="3" customFormat="1">
      <c r="A815" s="4"/>
      <c r="C815" s="2"/>
      <c r="D815" s="2"/>
      <c r="E815" s="2"/>
      <c r="F815" s="2"/>
      <c r="G815" s="2"/>
      <c r="H815" s="2"/>
      <c r="I815" s="2"/>
      <c r="J815" s="2"/>
      <c r="K815" s="2"/>
      <c r="L815" s="2"/>
      <c r="M815" s="2"/>
      <c r="N815" s="2"/>
      <c r="O815" s="2"/>
    </row>
    <row r="816" spans="1:15" s="3" customFormat="1">
      <c r="A816" s="4"/>
      <c r="C816" s="2"/>
      <c r="D816" s="2"/>
      <c r="E816" s="2"/>
      <c r="F816" s="2"/>
      <c r="G816" s="2"/>
      <c r="H816" s="2"/>
      <c r="I816" s="2"/>
      <c r="J816" s="2"/>
      <c r="K816" s="2"/>
      <c r="L816" s="2"/>
      <c r="M816" s="2"/>
      <c r="N816" s="2"/>
      <c r="O816" s="2"/>
    </row>
    <row r="817" spans="1:15" s="3" customFormat="1">
      <c r="A817" s="4"/>
      <c r="C817" s="2"/>
      <c r="D817" s="2"/>
      <c r="E817" s="2"/>
      <c r="F817" s="2"/>
      <c r="G817" s="2"/>
      <c r="H817" s="2"/>
      <c r="I817" s="2"/>
      <c r="J817" s="2"/>
      <c r="K817" s="2"/>
      <c r="L817" s="2"/>
      <c r="M817" s="2"/>
      <c r="N817" s="2"/>
      <c r="O817" s="2"/>
    </row>
    <row r="818" spans="1:15" s="3" customFormat="1">
      <c r="A818" s="4"/>
      <c r="C818" s="2"/>
      <c r="D818" s="2"/>
      <c r="E818" s="2"/>
      <c r="F818" s="2"/>
      <c r="G818" s="2"/>
      <c r="H818" s="2"/>
      <c r="I818" s="2"/>
      <c r="J818" s="2"/>
      <c r="K818" s="2"/>
      <c r="L818" s="2"/>
      <c r="M818" s="2"/>
      <c r="N818" s="2"/>
      <c r="O818" s="2"/>
    </row>
    <row r="819" spans="1:15" s="3" customFormat="1">
      <c r="A819" s="4"/>
      <c r="C819" s="2"/>
      <c r="D819" s="2"/>
      <c r="E819" s="2"/>
      <c r="F819" s="2"/>
      <c r="G819" s="2"/>
      <c r="H819" s="2"/>
      <c r="I819" s="2"/>
      <c r="J819" s="2"/>
      <c r="K819" s="2"/>
      <c r="L819" s="2"/>
      <c r="M819" s="2"/>
      <c r="N819" s="2"/>
      <c r="O819" s="2"/>
    </row>
    <row r="820" spans="1:15" s="3" customFormat="1">
      <c r="A820" s="4"/>
      <c r="C820" s="2"/>
      <c r="D820" s="2"/>
      <c r="E820" s="2"/>
      <c r="F820" s="2"/>
      <c r="G820" s="2"/>
      <c r="H820" s="2"/>
      <c r="I820" s="2"/>
      <c r="J820" s="2"/>
      <c r="K820" s="2"/>
      <c r="L820" s="2"/>
      <c r="M820" s="2"/>
      <c r="N820" s="2"/>
      <c r="O820" s="2"/>
    </row>
    <row r="821" spans="1:15" s="3" customFormat="1">
      <c r="A821" s="4"/>
      <c r="C821" s="2"/>
      <c r="D821" s="2"/>
      <c r="E821" s="2"/>
      <c r="F821" s="2"/>
      <c r="G821" s="2"/>
      <c r="H821" s="2"/>
      <c r="I821" s="2"/>
      <c r="J821" s="2"/>
      <c r="K821" s="2"/>
      <c r="L821" s="2"/>
      <c r="M821" s="2"/>
      <c r="N821" s="2"/>
      <c r="O821" s="2"/>
    </row>
    <row r="822" spans="1:15" s="3" customFormat="1">
      <c r="A822" s="4"/>
      <c r="C822" s="2"/>
      <c r="D822" s="2"/>
      <c r="E822" s="2"/>
      <c r="F822" s="2"/>
      <c r="G822" s="2"/>
      <c r="H822" s="2"/>
      <c r="I822" s="2"/>
      <c r="J822" s="2"/>
      <c r="K822" s="2"/>
      <c r="L822" s="2"/>
      <c r="M822" s="2"/>
      <c r="N822" s="2"/>
      <c r="O822" s="2"/>
    </row>
    <row r="823" spans="1:15" s="3" customFormat="1">
      <c r="A823" s="4"/>
      <c r="C823" s="2"/>
      <c r="D823" s="2"/>
      <c r="E823" s="2"/>
      <c r="F823" s="2"/>
      <c r="G823" s="2"/>
      <c r="H823" s="2"/>
      <c r="I823" s="2"/>
      <c r="J823" s="2"/>
      <c r="K823" s="2"/>
      <c r="L823" s="2"/>
      <c r="M823" s="2"/>
      <c r="N823" s="2"/>
      <c r="O823" s="2"/>
    </row>
    <row r="824" spans="1:15" s="3" customFormat="1">
      <c r="A824" s="4"/>
      <c r="C824" s="2"/>
      <c r="D824" s="2"/>
      <c r="E824" s="2"/>
      <c r="F824" s="2"/>
      <c r="G824" s="2"/>
      <c r="H824" s="2"/>
      <c r="I824" s="2"/>
      <c r="J824" s="2"/>
      <c r="K824" s="2"/>
      <c r="L824" s="2"/>
      <c r="M824" s="2"/>
      <c r="N824" s="2"/>
      <c r="O824" s="2"/>
    </row>
    <row r="825" spans="1:15" s="3" customFormat="1">
      <c r="A825" s="4"/>
      <c r="C825" s="2"/>
      <c r="D825" s="2"/>
      <c r="E825" s="2"/>
      <c r="F825" s="2"/>
      <c r="G825" s="2"/>
      <c r="H825" s="2"/>
      <c r="I825" s="2"/>
      <c r="J825" s="2"/>
      <c r="K825" s="2"/>
      <c r="L825" s="2"/>
      <c r="M825" s="2"/>
      <c r="N825" s="2"/>
      <c r="O825" s="2"/>
    </row>
    <row r="826" spans="1:15" s="3" customFormat="1">
      <c r="A826" s="4"/>
      <c r="C826" s="2"/>
      <c r="D826" s="2"/>
      <c r="E826" s="2"/>
      <c r="F826" s="2"/>
      <c r="G826" s="2"/>
      <c r="H826" s="2"/>
      <c r="I826" s="2"/>
      <c r="J826" s="2"/>
      <c r="K826" s="2"/>
      <c r="L826" s="2"/>
      <c r="M826" s="2"/>
      <c r="N826" s="2"/>
      <c r="O826" s="2"/>
    </row>
    <row r="827" spans="1:15" s="3" customFormat="1">
      <c r="A827" s="4"/>
      <c r="C827" s="2"/>
      <c r="D827" s="2"/>
      <c r="E827" s="2"/>
      <c r="F827" s="2"/>
      <c r="G827" s="2"/>
      <c r="H827" s="2"/>
      <c r="I827" s="2"/>
      <c r="J827" s="2"/>
      <c r="K827" s="2"/>
      <c r="L827" s="2"/>
      <c r="M827" s="2"/>
      <c r="N827" s="2"/>
      <c r="O827" s="2"/>
    </row>
    <row r="828" spans="1:15" s="3" customFormat="1">
      <c r="A828" s="4"/>
      <c r="C828" s="2"/>
      <c r="D828" s="2"/>
      <c r="E828" s="2"/>
      <c r="F828" s="2"/>
      <c r="G828" s="2"/>
      <c r="H828" s="2"/>
      <c r="I828" s="2"/>
      <c r="J828" s="2"/>
      <c r="K828" s="2"/>
      <c r="L828" s="2"/>
      <c r="M828" s="2"/>
      <c r="N828" s="2"/>
      <c r="O828" s="2"/>
    </row>
    <row r="829" spans="1:15" s="3" customFormat="1">
      <c r="A829" s="4"/>
      <c r="C829" s="2"/>
      <c r="D829" s="2"/>
      <c r="E829" s="2"/>
      <c r="F829" s="2"/>
      <c r="G829" s="2"/>
      <c r="H829" s="2"/>
      <c r="I829" s="2"/>
      <c r="J829" s="2"/>
      <c r="K829" s="2"/>
      <c r="L829" s="2"/>
      <c r="M829" s="2"/>
      <c r="N829" s="2"/>
      <c r="O829" s="2"/>
    </row>
    <row r="830" spans="1:15" s="3" customFormat="1">
      <c r="A830" s="4"/>
      <c r="C830" s="2"/>
      <c r="D830" s="2"/>
      <c r="E830" s="2"/>
      <c r="F830" s="2"/>
      <c r="G830" s="2"/>
      <c r="H830" s="2"/>
      <c r="I830" s="2"/>
      <c r="J830" s="2"/>
      <c r="K830" s="2"/>
      <c r="L830" s="2"/>
      <c r="M830" s="2"/>
      <c r="N830" s="2"/>
      <c r="O830" s="2"/>
    </row>
    <row r="831" spans="1:15" s="3" customFormat="1">
      <c r="A831" s="4"/>
      <c r="C831" s="2"/>
      <c r="D831" s="2"/>
      <c r="E831" s="2"/>
      <c r="F831" s="2"/>
      <c r="G831" s="2"/>
      <c r="H831" s="2"/>
      <c r="I831" s="2"/>
      <c r="J831" s="2"/>
      <c r="K831" s="2"/>
      <c r="L831" s="2"/>
      <c r="M831" s="2"/>
      <c r="N831" s="2"/>
      <c r="O831" s="2"/>
    </row>
    <row r="832" spans="1:15" s="3" customFormat="1">
      <c r="A832" s="4"/>
      <c r="C832" s="2"/>
      <c r="D832" s="2"/>
      <c r="E832" s="2"/>
      <c r="F832" s="2"/>
      <c r="G832" s="2"/>
      <c r="H832" s="2"/>
      <c r="I832" s="2"/>
      <c r="J832" s="2"/>
      <c r="K832" s="2"/>
      <c r="L832" s="2"/>
      <c r="M832" s="2"/>
      <c r="N832" s="2"/>
      <c r="O832" s="2"/>
    </row>
    <row r="833" spans="1:15" s="3" customFormat="1">
      <c r="A833" s="4"/>
      <c r="C833" s="2"/>
      <c r="D833" s="2"/>
      <c r="E833" s="2"/>
      <c r="F833" s="2"/>
      <c r="G833" s="2"/>
      <c r="H833" s="2"/>
      <c r="I833" s="2"/>
      <c r="J833" s="2"/>
      <c r="K833" s="2"/>
      <c r="L833" s="2"/>
      <c r="M833" s="2"/>
      <c r="N833" s="2"/>
      <c r="O833" s="2"/>
    </row>
    <row r="834" spans="1:15" s="3" customFormat="1">
      <c r="A834" s="4"/>
      <c r="C834" s="2"/>
      <c r="D834" s="2"/>
      <c r="E834" s="2"/>
      <c r="F834" s="2"/>
      <c r="G834" s="2"/>
      <c r="H834" s="2"/>
      <c r="I834" s="2"/>
      <c r="J834" s="2"/>
      <c r="K834" s="2"/>
      <c r="L834" s="2"/>
      <c r="M834" s="2"/>
      <c r="N834" s="2"/>
      <c r="O834" s="2"/>
    </row>
    <row r="835" spans="1:15" s="3" customFormat="1">
      <c r="A835" s="4"/>
      <c r="C835" s="2"/>
      <c r="D835" s="2"/>
      <c r="E835" s="2"/>
      <c r="F835" s="2"/>
      <c r="G835" s="2"/>
      <c r="H835" s="2"/>
      <c r="I835" s="2"/>
      <c r="J835" s="2"/>
      <c r="K835" s="2"/>
      <c r="L835" s="2"/>
      <c r="M835" s="2"/>
      <c r="N835" s="2"/>
      <c r="O835" s="2"/>
    </row>
    <row r="836" spans="1:15" s="3" customFormat="1">
      <c r="A836" s="4"/>
      <c r="C836" s="2"/>
      <c r="D836" s="2"/>
      <c r="E836" s="2"/>
      <c r="F836" s="2"/>
      <c r="G836" s="2"/>
      <c r="H836" s="2"/>
      <c r="I836" s="2"/>
      <c r="J836" s="2"/>
      <c r="K836" s="2"/>
      <c r="L836" s="2"/>
      <c r="M836" s="2"/>
      <c r="N836" s="2"/>
      <c r="O836" s="2"/>
    </row>
    <row r="837" spans="1:15" s="3" customFormat="1">
      <c r="A837" s="4"/>
      <c r="C837" s="2"/>
      <c r="D837" s="2"/>
      <c r="E837" s="2"/>
      <c r="F837" s="2"/>
      <c r="G837" s="2"/>
      <c r="H837" s="2"/>
      <c r="I837" s="2"/>
      <c r="J837" s="2"/>
      <c r="K837" s="2"/>
      <c r="L837" s="2"/>
      <c r="M837" s="2"/>
      <c r="N837" s="2"/>
      <c r="O837" s="2"/>
    </row>
    <row r="838" spans="1:15" s="3" customFormat="1">
      <c r="A838" s="4"/>
      <c r="C838" s="2"/>
      <c r="D838" s="2"/>
      <c r="E838" s="2"/>
      <c r="F838" s="2"/>
      <c r="G838" s="2"/>
      <c r="H838" s="2"/>
      <c r="I838" s="2"/>
      <c r="J838" s="2"/>
      <c r="K838" s="2"/>
      <c r="L838" s="2"/>
      <c r="M838" s="2"/>
      <c r="N838" s="2"/>
      <c r="O838" s="2"/>
    </row>
    <row r="839" spans="1:15" s="3" customFormat="1">
      <c r="A839" s="4"/>
      <c r="C839" s="2"/>
      <c r="D839" s="2"/>
      <c r="E839" s="2"/>
      <c r="F839" s="2"/>
      <c r="G839" s="2"/>
      <c r="H839" s="2"/>
      <c r="I839" s="2"/>
      <c r="J839" s="2"/>
      <c r="K839" s="2"/>
      <c r="L839" s="2"/>
      <c r="M839" s="2"/>
      <c r="N839" s="2"/>
      <c r="O839" s="2"/>
    </row>
    <row r="840" spans="1:15" s="3" customFormat="1">
      <c r="A840" s="4"/>
      <c r="C840" s="2"/>
      <c r="D840" s="2"/>
      <c r="E840" s="2"/>
      <c r="F840" s="2"/>
      <c r="G840" s="2"/>
      <c r="H840" s="2"/>
      <c r="I840" s="2"/>
      <c r="J840" s="2"/>
      <c r="K840" s="2"/>
      <c r="L840" s="2"/>
      <c r="M840" s="2"/>
      <c r="N840" s="2"/>
      <c r="O840" s="2"/>
    </row>
    <row r="841" spans="1:15" s="3" customFormat="1">
      <c r="A841" s="4"/>
      <c r="C841" s="2"/>
      <c r="D841" s="2"/>
      <c r="E841" s="2"/>
      <c r="F841" s="2"/>
      <c r="G841" s="2"/>
      <c r="H841" s="2"/>
      <c r="I841" s="2"/>
      <c r="J841" s="2"/>
      <c r="K841" s="2"/>
      <c r="L841" s="2"/>
      <c r="M841" s="2"/>
      <c r="N841" s="2"/>
      <c r="O841" s="2"/>
    </row>
    <row r="842" spans="1:15" s="3" customFormat="1">
      <c r="A842" s="4"/>
      <c r="C842" s="2"/>
      <c r="D842" s="2"/>
      <c r="E842" s="2"/>
      <c r="F842" s="2"/>
      <c r="G842" s="2"/>
      <c r="H842" s="2"/>
      <c r="I842" s="2"/>
      <c r="J842" s="2"/>
      <c r="K842" s="2"/>
      <c r="L842" s="2"/>
      <c r="M842" s="2"/>
      <c r="N842" s="2"/>
      <c r="O842" s="2"/>
    </row>
    <row r="843" spans="1:15" s="3" customFormat="1">
      <c r="A843" s="4"/>
      <c r="C843" s="2"/>
      <c r="D843" s="2"/>
      <c r="E843" s="2"/>
      <c r="F843" s="2"/>
      <c r="G843" s="2"/>
      <c r="H843" s="2"/>
      <c r="I843" s="2"/>
      <c r="J843" s="2"/>
      <c r="K843" s="2"/>
      <c r="L843" s="2"/>
      <c r="M843" s="2"/>
      <c r="N843" s="2"/>
      <c r="O843" s="2"/>
    </row>
    <row r="844" spans="1:15" s="3" customFormat="1">
      <c r="A844" s="4"/>
      <c r="C844" s="2"/>
      <c r="D844" s="2"/>
      <c r="E844" s="2"/>
      <c r="F844" s="2"/>
      <c r="G844" s="2"/>
      <c r="H844" s="2"/>
      <c r="I844" s="2"/>
      <c r="J844" s="2"/>
      <c r="K844" s="2"/>
      <c r="L844" s="2"/>
      <c r="M844" s="2"/>
      <c r="N844" s="2"/>
      <c r="O844" s="2"/>
    </row>
    <row r="845" spans="1:15" s="3" customFormat="1">
      <c r="A845" s="4"/>
      <c r="C845" s="2"/>
      <c r="D845" s="2"/>
      <c r="E845" s="2"/>
      <c r="F845" s="2"/>
      <c r="G845" s="2"/>
      <c r="H845" s="2"/>
      <c r="I845" s="2"/>
      <c r="J845" s="2"/>
      <c r="K845" s="2"/>
      <c r="L845" s="2"/>
      <c r="M845" s="2"/>
      <c r="N845" s="2"/>
      <c r="O845" s="2"/>
    </row>
    <row r="846" spans="1:15" s="3" customFormat="1">
      <c r="A846" s="4"/>
      <c r="C846" s="2"/>
      <c r="D846" s="2"/>
      <c r="E846" s="2"/>
      <c r="F846" s="2"/>
      <c r="G846" s="2"/>
      <c r="H846" s="2"/>
      <c r="I846" s="2"/>
      <c r="J846" s="2"/>
      <c r="K846" s="2"/>
      <c r="L846" s="2"/>
      <c r="M846" s="2"/>
      <c r="N846" s="2"/>
      <c r="O846" s="2"/>
    </row>
    <row r="847" spans="1:15" s="3" customFormat="1">
      <c r="A847" s="4"/>
      <c r="C847" s="2"/>
      <c r="D847" s="2"/>
      <c r="E847" s="2"/>
      <c r="F847" s="2"/>
      <c r="G847" s="2"/>
      <c r="H847" s="2"/>
      <c r="I847" s="2"/>
      <c r="J847" s="2"/>
      <c r="K847" s="2"/>
      <c r="L847" s="2"/>
      <c r="M847" s="2"/>
      <c r="N847" s="2"/>
      <c r="O847" s="2"/>
    </row>
    <row r="848" spans="1:15" s="3" customFormat="1">
      <c r="A848" s="4"/>
      <c r="C848" s="2"/>
      <c r="D848" s="2"/>
      <c r="E848" s="2"/>
      <c r="F848" s="2"/>
      <c r="G848" s="2"/>
      <c r="H848" s="2"/>
      <c r="I848" s="2"/>
      <c r="J848" s="2"/>
      <c r="K848" s="2"/>
      <c r="L848" s="2"/>
      <c r="M848" s="2"/>
      <c r="N848" s="2"/>
      <c r="O848" s="2"/>
    </row>
    <row r="849" spans="1:15" s="3" customFormat="1">
      <c r="A849" s="4"/>
      <c r="C849" s="2"/>
      <c r="D849" s="2"/>
      <c r="E849" s="2"/>
      <c r="F849" s="2"/>
      <c r="G849" s="2"/>
      <c r="H849" s="2"/>
      <c r="I849" s="2"/>
      <c r="J849" s="2"/>
      <c r="K849" s="2"/>
      <c r="L849" s="2"/>
      <c r="M849" s="2"/>
      <c r="N849" s="2"/>
      <c r="O849" s="2"/>
    </row>
    <row r="850" spans="1:15" s="3" customFormat="1">
      <c r="A850" s="4"/>
      <c r="C850" s="2"/>
      <c r="D850" s="2"/>
      <c r="E850" s="2"/>
      <c r="F850" s="2"/>
      <c r="G850" s="2"/>
      <c r="H850" s="2"/>
      <c r="I850" s="2"/>
      <c r="J850" s="2"/>
      <c r="K850" s="2"/>
      <c r="L850" s="2"/>
      <c r="M850" s="2"/>
      <c r="N850" s="2"/>
      <c r="O850" s="2"/>
    </row>
    <row r="851" spans="1:15" s="3" customFormat="1">
      <c r="A851" s="4"/>
      <c r="C851" s="2"/>
      <c r="D851" s="2"/>
      <c r="E851" s="2"/>
      <c r="F851" s="2"/>
      <c r="G851" s="2"/>
      <c r="H851" s="2"/>
      <c r="I851" s="2"/>
      <c r="J851" s="2"/>
      <c r="K851" s="2"/>
      <c r="L851" s="2"/>
      <c r="M851" s="2"/>
      <c r="N851" s="2"/>
      <c r="O851" s="2"/>
    </row>
    <row r="852" spans="1:15" s="3" customFormat="1">
      <c r="A852" s="4"/>
      <c r="C852" s="2"/>
      <c r="D852" s="2"/>
      <c r="E852" s="2"/>
      <c r="F852" s="2"/>
      <c r="G852" s="2"/>
      <c r="H852" s="2"/>
      <c r="I852" s="2"/>
      <c r="J852" s="2"/>
      <c r="K852" s="2"/>
      <c r="L852" s="2"/>
      <c r="M852" s="2"/>
      <c r="N852" s="2"/>
      <c r="O852" s="2"/>
    </row>
    <row r="853" spans="1:15" s="3" customFormat="1">
      <c r="A853" s="4"/>
      <c r="C853" s="2"/>
      <c r="D853" s="2"/>
      <c r="E853" s="2"/>
      <c r="F853" s="2"/>
      <c r="G853" s="2"/>
      <c r="H853" s="2"/>
      <c r="I853" s="2"/>
      <c r="J853" s="2"/>
      <c r="K853" s="2"/>
      <c r="L853" s="2"/>
      <c r="M853" s="2"/>
      <c r="N853" s="2"/>
      <c r="O853" s="2"/>
    </row>
    <row r="854" spans="1:15" s="3" customFormat="1">
      <c r="A854" s="4"/>
      <c r="C854" s="2"/>
      <c r="D854" s="2"/>
      <c r="E854" s="2"/>
      <c r="F854" s="2"/>
      <c r="G854" s="2"/>
      <c r="H854" s="2"/>
      <c r="I854" s="2"/>
      <c r="J854" s="2"/>
      <c r="K854" s="2"/>
      <c r="L854" s="2"/>
      <c r="M854" s="2"/>
      <c r="N854" s="2"/>
      <c r="O854" s="2"/>
    </row>
    <row r="855" spans="1:15" s="3" customFormat="1">
      <c r="A855" s="4"/>
      <c r="C855" s="2"/>
      <c r="D855" s="2"/>
      <c r="E855" s="2"/>
      <c r="F855" s="2"/>
      <c r="G855" s="2"/>
      <c r="H855" s="2"/>
      <c r="I855" s="2"/>
      <c r="J855" s="2"/>
      <c r="K855" s="2"/>
      <c r="L855" s="2"/>
      <c r="M855" s="2"/>
      <c r="N855" s="2"/>
      <c r="O855" s="2"/>
    </row>
    <row r="856" spans="1:15" s="3" customFormat="1">
      <c r="A856" s="4"/>
      <c r="C856" s="2"/>
      <c r="D856" s="2"/>
      <c r="E856" s="2"/>
      <c r="F856" s="2"/>
      <c r="G856" s="2"/>
      <c r="H856" s="2"/>
      <c r="I856" s="2"/>
      <c r="J856" s="2"/>
      <c r="K856" s="2"/>
      <c r="L856" s="2"/>
      <c r="M856" s="2"/>
      <c r="N856" s="2"/>
      <c r="O856" s="2"/>
    </row>
    <row r="857" spans="1:15" s="3" customFormat="1">
      <c r="A857" s="4"/>
      <c r="C857" s="2"/>
      <c r="D857" s="2"/>
      <c r="E857" s="2"/>
      <c r="F857" s="2"/>
      <c r="G857" s="2"/>
      <c r="H857" s="2"/>
      <c r="I857" s="2"/>
      <c r="J857" s="2"/>
      <c r="K857" s="2"/>
      <c r="L857" s="2"/>
      <c r="M857" s="2"/>
      <c r="N857" s="2"/>
      <c r="O857" s="2"/>
    </row>
    <row r="858" spans="1:15" s="3" customFormat="1">
      <c r="A858" s="4"/>
      <c r="C858" s="2"/>
      <c r="D858" s="2"/>
      <c r="E858" s="2"/>
      <c r="F858" s="2"/>
      <c r="G858" s="2"/>
      <c r="H858" s="2"/>
      <c r="I858" s="2"/>
      <c r="J858" s="2"/>
      <c r="K858" s="2"/>
      <c r="L858" s="2"/>
      <c r="M858" s="2"/>
      <c r="N858" s="2"/>
      <c r="O858" s="2"/>
    </row>
    <row r="859" spans="1:15" s="3" customFormat="1">
      <c r="A859" s="4"/>
      <c r="C859" s="2"/>
      <c r="D859" s="2"/>
      <c r="E859" s="2"/>
      <c r="F859" s="2"/>
      <c r="G859" s="2"/>
      <c r="H859" s="2"/>
      <c r="I859" s="2"/>
      <c r="J859" s="2"/>
      <c r="K859" s="2"/>
      <c r="L859" s="2"/>
      <c r="M859" s="2"/>
      <c r="N859" s="2"/>
      <c r="O859" s="2"/>
    </row>
    <row r="860" spans="1:15" s="3" customFormat="1">
      <c r="A860" s="4"/>
      <c r="C860" s="2"/>
      <c r="D860" s="2"/>
      <c r="E860" s="2"/>
      <c r="F860" s="2"/>
      <c r="G860" s="2"/>
      <c r="H860" s="2"/>
      <c r="I860" s="2"/>
      <c r="J860" s="2"/>
      <c r="K860" s="2"/>
      <c r="L860" s="2"/>
      <c r="M860" s="2"/>
      <c r="N860" s="2"/>
      <c r="O860" s="2"/>
    </row>
    <row r="861" spans="1:15" s="3" customFormat="1">
      <c r="A861" s="4"/>
      <c r="C861" s="2"/>
      <c r="D861" s="2"/>
      <c r="E861" s="2"/>
      <c r="F861" s="2"/>
      <c r="G861" s="2"/>
      <c r="H861" s="2"/>
      <c r="I861" s="2"/>
      <c r="J861" s="2"/>
      <c r="K861" s="2"/>
      <c r="L861" s="2"/>
      <c r="M861" s="2"/>
      <c r="N861" s="2"/>
      <c r="O861" s="2"/>
    </row>
    <row r="862" spans="1:15" s="3" customFormat="1">
      <c r="A862" s="4"/>
      <c r="C862" s="2"/>
      <c r="D862" s="2"/>
      <c r="E862" s="2"/>
      <c r="F862" s="2"/>
      <c r="G862" s="2"/>
      <c r="H862" s="2"/>
      <c r="I862" s="2"/>
      <c r="J862" s="2"/>
      <c r="K862" s="2"/>
      <c r="L862" s="2"/>
      <c r="M862" s="2"/>
      <c r="N862" s="2"/>
      <c r="O862" s="2"/>
    </row>
    <row r="863" spans="1:15" s="3" customFormat="1">
      <c r="A863" s="4"/>
      <c r="C863" s="2"/>
      <c r="D863" s="2"/>
      <c r="E863" s="2"/>
      <c r="F863" s="2"/>
      <c r="G863" s="2"/>
      <c r="H863" s="2"/>
      <c r="I863" s="2"/>
      <c r="J863" s="2"/>
      <c r="K863" s="2"/>
      <c r="L863" s="2"/>
      <c r="M863" s="2"/>
      <c r="N863" s="2"/>
      <c r="O863" s="2"/>
    </row>
    <row r="864" spans="1:15" s="3" customFormat="1">
      <c r="A864" s="4"/>
      <c r="C864" s="2"/>
      <c r="D864" s="2"/>
      <c r="E864" s="2"/>
      <c r="F864" s="2"/>
      <c r="G864" s="2"/>
      <c r="H864" s="2"/>
      <c r="I864" s="2"/>
      <c r="J864" s="2"/>
      <c r="K864" s="2"/>
      <c r="L864" s="2"/>
      <c r="M864" s="2"/>
      <c r="N864" s="2"/>
      <c r="O864" s="2"/>
    </row>
    <row r="865" spans="1:15" s="3" customFormat="1">
      <c r="A865" s="4"/>
      <c r="C865" s="2"/>
      <c r="D865" s="2"/>
      <c r="E865" s="2"/>
      <c r="F865" s="2"/>
      <c r="G865" s="2"/>
      <c r="H865" s="2"/>
      <c r="I865" s="2"/>
      <c r="J865" s="2"/>
      <c r="K865" s="2"/>
      <c r="L865" s="2"/>
      <c r="M865" s="2"/>
      <c r="N865" s="2"/>
      <c r="O865" s="2"/>
    </row>
    <row r="866" spans="1:15" s="3" customFormat="1">
      <c r="A866" s="4"/>
      <c r="C866" s="2"/>
      <c r="D866" s="2"/>
      <c r="E866" s="2"/>
      <c r="F866" s="2"/>
      <c r="G866" s="2"/>
      <c r="H866" s="2"/>
      <c r="I866" s="2"/>
      <c r="J866" s="2"/>
      <c r="K866" s="2"/>
      <c r="L866" s="2"/>
      <c r="M866" s="2"/>
      <c r="N866" s="2"/>
      <c r="O866" s="2"/>
    </row>
    <row r="867" spans="1:15" s="3" customFormat="1">
      <c r="A867" s="4"/>
      <c r="C867" s="2"/>
      <c r="D867" s="2"/>
      <c r="E867" s="2"/>
      <c r="F867" s="2"/>
      <c r="G867" s="2"/>
      <c r="H867" s="2"/>
      <c r="I867" s="2"/>
      <c r="J867" s="2"/>
      <c r="K867" s="2"/>
      <c r="L867" s="2"/>
      <c r="M867" s="2"/>
      <c r="N867" s="2"/>
      <c r="O867" s="2"/>
    </row>
    <row r="868" spans="1:15" s="3" customFormat="1">
      <c r="A868" s="4"/>
      <c r="C868" s="2"/>
      <c r="D868" s="2"/>
      <c r="E868" s="2"/>
      <c r="F868" s="2"/>
      <c r="G868" s="2"/>
      <c r="H868" s="2"/>
      <c r="I868" s="2"/>
      <c r="J868" s="2"/>
      <c r="K868" s="2"/>
      <c r="L868" s="2"/>
      <c r="M868" s="2"/>
      <c r="N868" s="2"/>
      <c r="O868" s="2"/>
    </row>
    <row r="869" spans="1:15" s="3" customFormat="1">
      <c r="A869" s="4"/>
      <c r="C869" s="2"/>
      <c r="D869" s="2"/>
      <c r="E869" s="2"/>
      <c r="F869" s="2"/>
      <c r="G869" s="2"/>
      <c r="H869" s="2"/>
      <c r="I869" s="2"/>
      <c r="J869" s="2"/>
      <c r="K869" s="2"/>
      <c r="L869" s="2"/>
      <c r="M869" s="2"/>
      <c r="N869" s="2"/>
      <c r="O869" s="2"/>
    </row>
    <row r="870" spans="1:15" s="3" customFormat="1">
      <c r="A870" s="4"/>
      <c r="C870" s="2"/>
      <c r="D870" s="2"/>
      <c r="E870" s="2"/>
      <c r="F870" s="2"/>
      <c r="G870" s="2"/>
      <c r="H870" s="2"/>
      <c r="I870" s="2"/>
      <c r="J870" s="2"/>
      <c r="K870" s="2"/>
      <c r="L870" s="2"/>
      <c r="M870" s="2"/>
      <c r="N870" s="2"/>
      <c r="O870" s="2"/>
    </row>
    <row r="871" spans="1:15" s="3" customFormat="1">
      <c r="A871" s="4"/>
      <c r="C871" s="2"/>
      <c r="D871" s="2"/>
      <c r="E871" s="2"/>
      <c r="F871" s="2"/>
      <c r="G871" s="2"/>
      <c r="H871" s="2"/>
      <c r="I871" s="2"/>
      <c r="J871" s="2"/>
      <c r="K871" s="2"/>
      <c r="L871" s="2"/>
      <c r="M871" s="2"/>
      <c r="N871" s="2"/>
      <c r="O871" s="2"/>
    </row>
    <row r="872" spans="1:15" s="3" customFormat="1">
      <c r="A872" s="4"/>
      <c r="C872" s="2"/>
      <c r="D872" s="2"/>
      <c r="E872" s="2"/>
      <c r="F872" s="2"/>
      <c r="G872" s="2"/>
      <c r="H872" s="2"/>
      <c r="I872" s="2"/>
      <c r="J872" s="2"/>
      <c r="K872" s="2"/>
      <c r="L872" s="2"/>
      <c r="M872" s="2"/>
      <c r="N872" s="2"/>
      <c r="O872" s="2"/>
    </row>
    <row r="873" spans="1:15" s="3" customFormat="1">
      <c r="A873" s="4"/>
      <c r="C873" s="2"/>
      <c r="D873" s="2"/>
      <c r="E873" s="2"/>
      <c r="F873" s="2"/>
      <c r="G873" s="2"/>
      <c r="H873" s="2"/>
      <c r="I873" s="2"/>
      <c r="J873" s="2"/>
      <c r="K873" s="2"/>
      <c r="L873" s="2"/>
      <c r="M873" s="2"/>
      <c r="N873" s="2"/>
      <c r="O873" s="2"/>
    </row>
    <row r="874" spans="1:15" s="3" customFormat="1">
      <c r="A874" s="4"/>
      <c r="C874" s="2"/>
      <c r="D874" s="2"/>
      <c r="E874" s="2"/>
      <c r="F874" s="2"/>
      <c r="G874" s="2"/>
      <c r="H874" s="2"/>
      <c r="I874" s="2"/>
      <c r="J874" s="2"/>
      <c r="K874" s="2"/>
      <c r="L874" s="2"/>
      <c r="M874" s="2"/>
      <c r="N874" s="2"/>
      <c r="O874" s="2"/>
    </row>
    <row r="875" spans="1:15" s="3" customFormat="1">
      <c r="A875" s="4"/>
      <c r="C875" s="2"/>
      <c r="D875" s="2"/>
      <c r="E875" s="2"/>
      <c r="F875" s="2"/>
      <c r="G875" s="2"/>
      <c r="H875" s="2"/>
      <c r="I875" s="2"/>
      <c r="J875" s="2"/>
      <c r="K875" s="2"/>
      <c r="L875" s="2"/>
      <c r="M875" s="2"/>
      <c r="N875" s="2"/>
      <c r="O875" s="2"/>
    </row>
    <row r="876" spans="1:15" s="3" customFormat="1">
      <c r="A876" s="4"/>
      <c r="C876" s="2"/>
      <c r="D876" s="2"/>
      <c r="E876" s="2"/>
      <c r="F876" s="2"/>
      <c r="G876" s="2"/>
      <c r="H876" s="2"/>
      <c r="I876" s="2"/>
      <c r="J876" s="2"/>
      <c r="K876" s="2"/>
      <c r="L876" s="2"/>
      <c r="M876" s="2"/>
      <c r="N876" s="2"/>
      <c r="O876" s="2"/>
    </row>
    <row r="877" spans="1:15" s="3" customFormat="1">
      <c r="A877" s="4"/>
      <c r="C877" s="2"/>
      <c r="D877" s="2"/>
      <c r="E877" s="2"/>
      <c r="F877" s="2"/>
      <c r="G877" s="2"/>
      <c r="H877" s="2"/>
      <c r="I877" s="2"/>
      <c r="J877" s="2"/>
      <c r="K877" s="2"/>
      <c r="L877" s="2"/>
      <c r="M877" s="2"/>
      <c r="N877" s="2"/>
      <c r="O877" s="2"/>
    </row>
    <row r="878" spans="1:15" s="3" customFormat="1">
      <c r="A878" s="4"/>
      <c r="C878" s="2"/>
      <c r="D878" s="2"/>
      <c r="E878" s="2"/>
      <c r="F878" s="2"/>
      <c r="G878" s="2"/>
      <c r="H878" s="2"/>
      <c r="I878" s="2"/>
      <c r="J878" s="2"/>
      <c r="K878" s="2"/>
      <c r="L878" s="2"/>
      <c r="M878" s="2"/>
      <c r="N878" s="2"/>
      <c r="O878" s="2"/>
    </row>
    <row r="879" spans="1:15" s="3" customFormat="1">
      <c r="A879" s="4"/>
      <c r="C879" s="2"/>
      <c r="D879" s="2"/>
      <c r="E879" s="2"/>
      <c r="F879" s="2"/>
      <c r="G879" s="2"/>
      <c r="H879" s="2"/>
      <c r="I879" s="2"/>
      <c r="J879" s="2"/>
      <c r="K879" s="2"/>
      <c r="L879" s="2"/>
      <c r="M879" s="2"/>
      <c r="N879" s="2"/>
      <c r="O879" s="2"/>
    </row>
    <row r="880" spans="1:15" s="3" customFormat="1">
      <c r="A880" s="4"/>
      <c r="C880" s="2"/>
      <c r="D880" s="2"/>
      <c r="E880" s="2"/>
      <c r="F880" s="2"/>
      <c r="G880" s="2"/>
      <c r="H880" s="2"/>
      <c r="I880" s="2"/>
      <c r="J880" s="2"/>
      <c r="K880" s="2"/>
      <c r="L880" s="2"/>
      <c r="M880" s="2"/>
      <c r="N880" s="2"/>
      <c r="O880" s="2"/>
    </row>
    <row r="881" spans="1:15" s="3" customFormat="1">
      <c r="A881" s="4"/>
      <c r="C881" s="2"/>
      <c r="D881" s="2"/>
      <c r="E881" s="2"/>
      <c r="F881" s="2"/>
      <c r="G881" s="2"/>
      <c r="H881" s="2"/>
      <c r="I881" s="2"/>
      <c r="J881" s="2"/>
      <c r="K881" s="2"/>
      <c r="L881" s="2"/>
      <c r="M881" s="2"/>
      <c r="N881" s="2"/>
      <c r="O881" s="2"/>
    </row>
    <row r="882" spans="1:15" s="3" customFormat="1">
      <c r="A882" s="4"/>
      <c r="C882" s="2"/>
      <c r="D882" s="2"/>
      <c r="E882" s="2"/>
      <c r="F882" s="2"/>
      <c r="G882" s="2"/>
      <c r="H882" s="2"/>
      <c r="I882" s="2"/>
      <c r="J882" s="2"/>
      <c r="K882" s="2"/>
      <c r="L882" s="2"/>
      <c r="M882" s="2"/>
      <c r="N882" s="2"/>
      <c r="O882" s="2"/>
    </row>
    <row r="883" spans="1:15" s="3" customFormat="1">
      <c r="A883" s="4"/>
      <c r="C883" s="2"/>
      <c r="D883" s="2"/>
      <c r="E883" s="2"/>
      <c r="F883" s="2"/>
      <c r="G883" s="2"/>
      <c r="H883" s="2"/>
      <c r="I883" s="2"/>
      <c r="J883" s="2"/>
      <c r="K883" s="2"/>
      <c r="L883" s="2"/>
      <c r="M883" s="2"/>
      <c r="N883" s="2"/>
      <c r="O883" s="2"/>
    </row>
    <row r="884" spans="1:15" s="3" customFormat="1">
      <c r="A884" s="4"/>
      <c r="C884" s="2"/>
      <c r="D884" s="2"/>
      <c r="E884" s="2"/>
      <c r="F884" s="2"/>
      <c r="G884" s="2"/>
      <c r="H884" s="2"/>
      <c r="I884" s="2"/>
      <c r="J884" s="2"/>
      <c r="K884" s="2"/>
      <c r="L884" s="2"/>
      <c r="M884" s="2"/>
      <c r="N884" s="2"/>
      <c r="O884" s="2"/>
    </row>
    <row r="885" spans="1:15" s="3" customFormat="1">
      <c r="A885" s="4"/>
      <c r="C885" s="2"/>
      <c r="D885" s="2"/>
      <c r="E885" s="2"/>
      <c r="F885" s="2"/>
      <c r="G885" s="2"/>
      <c r="H885" s="2"/>
      <c r="I885" s="2"/>
      <c r="J885" s="2"/>
      <c r="K885" s="2"/>
      <c r="L885" s="2"/>
      <c r="M885" s="2"/>
      <c r="N885" s="2"/>
      <c r="O885" s="2"/>
    </row>
    <row r="886" spans="1:15" s="3" customFormat="1">
      <c r="A886" s="4"/>
      <c r="C886" s="2"/>
      <c r="D886" s="2"/>
      <c r="E886" s="2"/>
      <c r="F886" s="2"/>
      <c r="G886" s="2"/>
      <c r="H886" s="2"/>
      <c r="I886" s="2"/>
      <c r="J886" s="2"/>
      <c r="K886" s="2"/>
      <c r="L886" s="2"/>
      <c r="M886" s="2"/>
      <c r="N886" s="2"/>
      <c r="O886" s="2"/>
    </row>
    <row r="887" spans="1:15" s="3" customFormat="1">
      <c r="A887" s="4"/>
      <c r="C887" s="2"/>
      <c r="D887" s="2"/>
      <c r="E887" s="2"/>
      <c r="F887" s="2"/>
      <c r="G887" s="2"/>
      <c r="H887" s="2"/>
      <c r="I887" s="2"/>
      <c r="J887" s="2"/>
      <c r="K887" s="2"/>
      <c r="L887" s="2"/>
      <c r="M887" s="2"/>
      <c r="N887" s="2"/>
      <c r="O887" s="2"/>
    </row>
    <row r="888" spans="1:15" s="3" customFormat="1">
      <c r="A888" s="4"/>
      <c r="C888" s="2"/>
      <c r="D888" s="2"/>
      <c r="E888" s="2"/>
      <c r="F888" s="2"/>
      <c r="G888" s="2"/>
      <c r="H888" s="2"/>
      <c r="I888" s="2"/>
      <c r="J888" s="2"/>
      <c r="K888" s="2"/>
      <c r="L888" s="2"/>
      <c r="M888" s="2"/>
      <c r="N888" s="2"/>
      <c r="O888" s="2"/>
    </row>
    <row r="889" spans="1:15" s="3" customFormat="1">
      <c r="A889" s="4"/>
      <c r="C889" s="2"/>
      <c r="D889" s="2"/>
      <c r="E889" s="2"/>
      <c r="F889" s="2"/>
      <c r="G889" s="2"/>
      <c r="H889" s="2"/>
      <c r="I889" s="2"/>
      <c r="J889" s="2"/>
      <c r="K889" s="2"/>
      <c r="L889" s="2"/>
      <c r="M889" s="2"/>
      <c r="N889" s="2"/>
      <c r="O889" s="2"/>
    </row>
    <row r="890" spans="1:15" s="3" customFormat="1">
      <c r="A890" s="4"/>
      <c r="C890" s="2"/>
      <c r="D890" s="2"/>
      <c r="E890" s="2"/>
      <c r="F890" s="2"/>
      <c r="G890" s="2"/>
      <c r="H890" s="2"/>
      <c r="I890" s="2"/>
      <c r="J890" s="2"/>
      <c r="K890" s="2"/>
      <c r="L890" s="2"/>
      <c r="M890" s="2"/>
      <c r="N890" s="2"/>
      <c r="O890" s="2"/>
    </row>
    <row r="891" spans="1:15" s="3" customFormat="1">
      <c r="A891" s="4"/>
      <c r="C891" s="2"/>
      <c r="D891" s="2"/>
      <c r="E891" s="2"/>
      <c r="F891" s="2"/>
      <c r="G891" s="2"/>
      <c r="H891" s="2"/>
      <c r="I891" s="2"/>
      <c r="J891" s="2"/>
      <c r="K891" s="2"/>
      <c r="L891" s="2"/>
      <c r="M891" s="2"/>
      <c r="N891" s="2"/>
      <c r="O891" s="2"/>
    </row>
    <row r="892" spans="1:15" s="3" customFormat="1">
      <c r="A892" s="4"/>
      <c r="C892" s="2"/>
      <c r="D892" s="2"/>
      <c r="E892" s="2"/>
      <c r="F892" s="2"/>
      <c r="G892" s="2"/>
      <c r="H892" s="2"/>
      <c r="I892" s="2"/>
      <c r="J892" s="2"/>
      <c r="K892" s="2"/>
      <c r="L892" s="2"/>
      <c r="M892" s="2"/>
      <c r="N892" s="2"/>
      <c r="O892" s="2"/>
    </row>
    <row r="893" spans="1:15" s="3" customFormat="1">
      <c r="A893" s="4"/>
      <c r="C893" s="2"/>
      <c r="D893" s="2"/>
      <c r="E893" s="2"/>
      <c r="F893" s="2"/>
      <c r="G893" s="2"/>
      <c r="H893" s="2"/>
      <c r="I893" s="2"/>
      <c r="J893" s="2"/>
      <c r="K893" s="2"/>
      <c r="L893" s="2"/>
      <c r="M893" s="2"/>
      <c r="N893" s="2"/>
      <c r="O893" s="2"/>
    </row>
    <row r="894" spans="1:15" s="3" customFormat="1">
      <c r="A894" s="4"/>
      <c r="C894" s="2"/>
      <c r="D894" s="2"/>
      <c r="E894" s="2"/>
      <c r="F894" s="2"/>
      <c r="G894" s="2"/>
      <c r="H894" s="2"/>
      <c r="I894" s="2"/>
      <c r="J894" s="2"/>
      <c r="K894" s="2"/>
      <c r="L894" s="2"/>
      <c r="M894" s="2"/>
      <c r="N894" s="2"/>
      <c r="O894" s="2"/>
    </row>
    <row r="895" spans="1:15" s="3" customFormat="1">
      <c r="A895" s="4"/>
      <c r="C895" s="2"/>
      <c r="D895" s="2"/>
      <c r="E895" s="2"/>
      <c r="F895" s="2"/>
      <c r="G895" s="2"/>
      <c r="H895" s="2"/>
      <c r="I895" s="2"/>
      <c r="J895" s="2"/>
      <c r="K895" s="2"/>
      <c r="L895" s="2"/>
      <c r="M895" s="2"/>
      <c r="N895" s="2"/>
      <c r="O895" s="2"/>
    </row>
    <row r="896" spans="1:15" s="3" customFormat="1">
      <c r="A896" s="4"/>
      <c r="C896" s="2"/>
      <c r="D896" s="2"/>
      <c r="E896" s="2"/>
      <c r="F896" s="2"/>
      <c r="G896" s="2"/>
      <c r="H896" s="2"/>
      <c r="I896" s="2"/>
      <c r="J896" s="2"/>
      <c r="K896" s="2"/>
      <c r="L896" s="2"/>
      <c r="M896" s="2"/>
      <c r="N896" s="2"/>
      <c r="O896" s="2"/>
    </row>
    <row r="897" spans="1:15" s="3" customFormat="1">
      <c r="A897" s="4"/>
      <c r="C897" s="2"/>
      <c r="D897" s="2"/>
      <c r="E897" s="2"/>
      <c r="F897" s="2"/>
      <c r="G897" s="2"/>
      <c r="H897" s="2"/>
      <c r="I897" s="2"/>
      <c r="J897" s="2"/>
      <c r="K897" s="2"/>
      <c r="L897" s="2"/>
      <c r="M897" s="2"/>
      <c r="N897" s="2"/>
      <c r="O897" s="2"/>
    </row>
    <row r="898" spans="1:15" s="3" customFormat="1">
      <c r="A898" s="4"/>
      <c r="C898" s="2"/>
      <c r="D898" s="2"/>
      <c r="E898" s="2"/>
      <c r="F898" s="2"/>
      <c r="G898" s="2"/>
      <c r="H898" s="2"/>
      <c r="I898" s="2"/>
      <c r="J898" s="2"/>
      <c r="K898" s="2"/>
      <c r="L898" s="2"/>
      <c r="M898" s="2"/>
      <c r="N898" s="2"/>
      <c r="O898" s="2"/>
    </row>
    <row r="899" spans="1:15" s="3" customFormat="1">
      <c r="A899" s="4"/>
      <c r="C899" s="2"/>
      <c r="D899" s="2"/>
      <c r="E899" s="2"/>
      <c r="F899" s="2"/>
      <c r="G899" s="2"/>
      <c r="H899" s="2"/>
      <c r="I899" s="2"/>
      <c r="J899" s="2"/>
      <c r="K899" s="2"/>
      <c r="L899" s="2"/>
      <c r="M899" s="2"/>
      <c r="N899" s="2"/>
      <c r="O899" s="2"/>
    </row>
    <row r="900" spans="1:15" s="3" customFormat="1">
      <c r="A900" s="4"/>
      <c r="C900" s="2"/>
      <c r="D900" s="2"/>
      <c r="E900" s="2"/>
      <c r="F900" s="2"/>
      <c r="G900" s="2"/>
      <c r="H900" s="2"/>
      <c r="I900" s="2"/>
      <c r="J900" s="2"/>
      <c r="K900" s="2"/>
      <c r="L900" s="2"/>
      <c r="M900" s="2"/>
      <c r="N900" s="2"/>
      <c r="O900" s="2"/>
    </row>
    <row r="901" spans="1:15" s="3" customFormat="1">
      <c r="A901" s="4"/>
      <c r="C901" s="2"/>
      <c r="D901" s="2"/>
      <c r="E901" s="2"/>
      <c r="F901" s="2"/>
      <c r="G901" s="2"/>
      <c r="H901" s="2"/>
      <c r="I901" s="2"/>
      <c r="J901" s="2"/>
      <c r="K901" s="2"/>
      <c r="L901" s="2"/>
      <c r="M901" s="2"/>
      <c r="N901" s="2"/>
      <c r="O901" s="2"/>
    </row>
    <row r="902" spans="1:15" s="3" customFormat="1">
      <c r="A902" s="4"/>
      <c r="C902" s="2"/>
      <c r="D902" s="2"/>
      <c r="E902" s="2"/>
      <c r="F902" s="2"/>
      <c r="G902" s="2"/>
      <c r="H902" s="2"/>
      <c r="I902" s="2"/>
      <c r="J902" s="2"/>
      <c r="K902" s="2"/>
      <c r="L902" s="2"/>
      <c r="M902" s="2"/>
      <c r="N902" s="2"/>
      <c r="O902" s="2"/>
    </row>
    <row r="903" spans="1:15" s="3" customFormat="1">
      <c r="A903" s="4"/>
      <c r="C903" s="2"/>
      <c r="D903" s="2"/>
      <c r="E903" s="2"/>
      <c r="F903" s="2"/>
      <c r="G903" s="2"/>
      <c r="H903" s="2"/>
      <c r="I903" s="2"/>
      <c r="J903" s="2"/>
      <c r="K903" s="2"/>
      <c r="L903" s="2"/>
      <c r="M903" s="2"/>
      <c r="N903" s="2"/>
      <c r="O903" s="2"/>
    </row>
    <row r="904" spans="1:15" s="3" customFormat="1">
      <c r="A904" s="4"/>
      <c r="C904" s="2"/>
      <c r="D904" s="2"/>
      <c r="E904" s="2"/>
      <c r="F904" s="2"/>
      <c r="G904" s="2"/>
      <c r="H904" s="2"/>
      <c r="I904" s="2"/>
      <c r="J904" s="2"/>
      <c r="K904" s="2"/>
      <c r="L904" s="2"/>
      <c r="M904" s="2"/>
      <c r="N904" s="2"/>
      <c r="O904" s="2"/>
    </row>
    <row r="905" spans="1:15" s="3" customFormat="1">
      <c r="A905" s="4"/>
      <c r="C905" s="2"/>
      <c r="D905" s="2"/>
      <c r="E905" s="2"/>
      <c r="F905" s="2"/>
      <c r="G905" s="2"/>
      <c r="H905" s="2"/>
      <c r="I905" s="2"/>
      <c r="J905" s="2"/>
      <c r="K905" s="2"/>
      <c r="L905" s="2"/>
      <c r="M905" s="2"/>
      <c r="N905" s="2"/>
      <c r="O905" s="2"/>
    </row>
    <row r="906" spans="1:15" s="3" customFormat="1">
      <c r="A906" s="4"/>
      <c r="C906" s="2"/>
      <c r="D906" s="2"/>
      <c r="E906" s="2"/>
      <c r="F906" s="2"/>
      <c r="G906" s="2"/>
      <c r="H906" s="2"/>
      <c r="I906" s="2"/>
      <c r="J906" s="2"/>
      <c r="K906" s="2"/>
      <c r="L906" s="2"/>
      <c r="M906" s="2"/>
      <c r="N906" s="2"/>
      <c r="O906" s="2"/>
    </row>
    <row r="907" spans="1:15" s="3" customFormat="1">
      <c r="A907" s="4"/>
      <c r="C907" s="2"/>
      <c r="D907" s="2"/>
      <c r="E907" s="2"/>
      <c r="F907" s="2"/>
      <c r="G907" s="2"/>
      <c r="H907" s="2"/>
      <c r="I907" s="2"/>
      <c r="J907" s="2"/>
      <c r="K907" s="2"/>
      <c r="L907" s="2"/>
      <c r="M907" s="2"/>
      <c r="N907" s="2"/>
      <c r="O907" s="2"/>
    </row>
    <row r="908" spans="1:15" s="3" customFormat="1">
      <c r="A908" s="4"/>
      <c r="C908" s="2"/>
      <c r="D908" s="2"/>
      <c r="E908" s="2"/>
      <c r="F908" s="2"/>
      <c r="G908" s="2"/>
      <c r="H908" s="2"/>
      <c r="I908" s="2"/>
      <c r="J908" s="2"/>
      <c r="K908" s="2"/>
      <c r="L908" s="2"/>
      <c r="M908" s="2"/>
      <c r="N908" s="2"/>
      <c r="O908" s="2"/>
    </row>
    <row r="909" spans="1:15" s="3" customFormat="1">
      <c r="A909" s="4"/>
      <c r="C909" s="2"/>
      <c r="D909" s="2"/>
      <c r="E909" s="2"/>
      <c r="F909" s="2"/>
      <c r="G909" s="2"/>
      <c r="H909" s="2"/>
      <c r="I909" s="2"/>
      <c r="J909" s="2"/>
      <c r="K909" s="2"/>
      <c r="L909" s="2"/>
      <c r="M909" s="2"/>
      <c r="N909" s="2"/>
      <c r="O909" s="2"/>
    </row>
    <row r="910" spans="1:15" s="3" customFormat="1">
      <c r="A910" s="4"/>
      <c r="C910" s="2"/>
      <c r="D910" s="2"/>
      <c r="E910" s="2"/>
      <c r="F910" s="2"/>
      <c r="G910" s="2"/>
      <c r="H910" s="2"/>
      <c r="I910" s="2"/>
      <c r="J910" s="2"/>
      <c r="K910" s="2"/>
      <c r="L910" s="2"/>
      <c r="M910" s="2"/>
      <c r="N910" s="2"/>
      <c r="O910" s="2"/>
    </row>
    <row r="911" spans="1:15" s="3" customFormat="1">
      <c r="A911" s="4"/>
      <c r="C911" s="2"/>
      <c r="D911" s="2"/>
      <c r="E911" s="2"/>
      <c r="F911" s="2"/>
      <c r="G911" s="2"/>
      <c r="H911" s="2"/>
      <c r="I911" s="2"/>
      <c r="J911" s="2"/>
      <c r="K911" s="2"/>
      <c r="L911" s="2"/>
      <c r="M911" s="2"/>
      <c r="N911" s="2"/>
      <c r="O911" s="2"/>
    </row>
    <row r="912" spans="1:15" s="3" customFormat="1">
      <c r="A912" s="4"/>
      <c r="C912" s="2"/>
      <c r="D912" s="2"/>
      <c r="E912" s="2"/>
      <c r="F912" s="2"/>
      <c r="G912" s="2"/>
      <c r="H912" s="2"/>
      <c r="I912" s="2"/>
      <c r="J912" s="2"/>
      <c r="K912" s="2"/>
      <c r="L912" s="2"/>
      <c r="M912" s="2"/>
      <c r="N912" s="2"/>
      <c r="O912" s="2"/>
    </row>
    <row r="913" spans="1:15" s="3" customFormat="1">
      <c r="A913" s="4"/>
      <c r="C913" s="2"/>
      <c r="D913" s="2"/>
      <c r="E913" s="2"/>
      <c r="F913" s="2"/>
      <c r="G913" s="2"/>
      <c r="H913" s="2"/>
      <c r="I913" s="2"/>
      <c r="J913" s="2"/>
      <c r="K913" s="2"/>
      <c r="L913" s="2"/>
      <c r="M913" s="2"/>
      <c r="N913" s="2"/>
      <c r="O913" s="2"/>
    </row>
    <row r="914" spans="1:15" s="3" customFormat="1">
      <c r="A914" s="4"/>
      <c r="C914" s="2"/>
      <c r="D914" s="2"/>
      <c r="E914" s="2"/>
      <c r="F914" s="2"/>
      <c r="G914" s="2"/>
      <c r="H914" s="2"/>
      <c r="I914" s="2"/>
      <c r="J914" s="2"/>
      <c r="K914" s="2"/>
      <c r="L914" s="2"/>
      <c r="M914" s="2"/>
      <c r="N914" s="2"/>
      <c r="O914" s="2"/>
    </row>
    <row r="915" spans="1:15" s="3" customFormat="1">
      <c r="A915" s="4"/>
      <c r="C915" s="2"/>
      <c r="D915" s="2"/>
      <c r="E915" s="2"/>
      <c r="F915" s="2"/>
      <c r="G915" s="2"/>
      <c r="H915" s="2"/>
      <c r="I915" s="2"/>
      <c r="J915" s="2"/>
      <c r="K915" s="2"/>
      <c r="L915" s="2"/>
      <c r="M915" s="2"/>
      <c r="N915" s="2"/>
      <c r="O915" s="2"/>
    </row>
    <row r="916" spans="1:15" s="3" customFormat="1">
      <c r="A916" s="4"/>
      <c r="C916" s="2"/>
      <c r="D916" s="2"/>
      <c r="E916" s="2"/>
      <c r="F916" s="2"/>
      <c r="G916" s="2"/>
      <c r="H916" s="2"/>
      <c r="I916" s="2"/>
      <c r="J916" s="2"/>
      <c r="K916" s="2"/>
      <c r="L916" s="2"/>
      <c r="M916" s="2"/>
      <c r="N916" s="2"/>
      <c r="O916" s="2"/>
    </row>
    <row r="917" spans="1:15" s="3" customFormat="1">
      <c r="A917" s="4"/>
      <c r="C917" s="2"/>
      <c r="D917" s="2"/>
      <c r="E917" s="2"/>
      <c r="F917" s="2"/>
      <c r="G917" s="2"/>
      <c r="H917" s="2"/>
      <c r="I917" s="2"/>
      <c r="J917" s="2"/>
      <c r="K917" s="2"/>
      <c r="L917" s="2"/>
      <c r="M917" s="2"/>
      <c r="N917" s="2"/>
      <c r="O917" s="2"/>
    </row>
    <row r="918" spans="1:15" s="3" customFormat="1">
      <c r="A918" s="4"/>
      <c r="C918" s="2"/>
      <c r="D918" s="2"/>
      <c r="E918" s="2"/>
      <c r="F918" s="2"/>
      <c r="G918" s="2"/>
      <c r="H918" s="2"/>
      <c r="I918" s="2"/>
      <c r="J918" s="2"/>
      <c r="K918" s="2"/>
      <c r="L918" s="2"/>
      <c r="M918" s="2"/>
      <c r="N918" s="2"/>
      <c r="O918" s="2"/>
    </row>
    <row r="919" spans="1:15" s="3" customFormat="1">
      <c r="A919" s="4"/>
      <c r="C919" s="2"/>
      <c r="D919" s="2"/>
      <c r="E919" s="2"/>
      <c r="F919" s="2"/>
      <c r="G919" s="2"/>
      <c r="H919" s="2"/>
      <c r="I919" s="2"/>
      <c r="J919" s="2"/>
      <c r="K919" s="2"/>
      <c r="L919" s="2"/>
      <c r="M919" s="2"/>
      <c r="N919" s="2"/>
      <c r="O919" s="2"/>
    </row>
    <row r="920" spans="1:15" s="3" customFormat="1">
      <c r="A920" s="4"/>
      <c r="C920" s="2"/>
      <c r="D920" s="2"/>
      <c r="E920" s="2"/>
      <c r="F920" s="2"/>
      <c r="G920" s="2"/>
      <c r="H920" s="2"/>
      <c r="I920" s="2"/>
      <c r="J920" s="2"/>
      <c r="K920" s="2"/>
      <c r="L920" s="2"/>
      <c r="M920" s="2"/>
      <c r="N920" s="2"/>
      <c r="O920" s="2"/>
    </row>
    <row r="921" spans="1:15" s="3" customFormat="1">
      <c r="A921" s="4"/>
      <c r="C921" s="2"/>
      <c r="D921" s="2"/>
      <c r="E921" s="2"/>
      <c r="F921" s="2"/>
      <c r="G921" s="2"/>
      <c r="H921" s="2"/>
      <c r="I921" s="2"/>
      <c r="J921" s="2"/>
      <c r="K921" s="2"/>
      <c r="L921" s="2"/>
      <c r="M921" s="2"/>
      <c r="N921" s="2"/>
      <c r="O921" s="2"/>
    </row>
    <row r="922" spans="1:15" s="3" customFormat="1">
      <c r="A922" s="4"/>
      <c r="C922" s="2"/>
      <c r="D922" s="2"/>
      <c r="E922" s="2"/>
      <c r="F922" s="2"/>
      <c r="G922" s="2"/>
      <c r="H922" s="2"/>
      <c r="I922" s="2"/>
      <c r="J922" s="2"/>
      <c r="K922" s="2"/>
      <c r="L922" s="2"/>
      <c r="M922" s="2"/>
      <c r="N922" s="2"/>
      <c r="O922" s="2"/>
    </row>
    <row r="923" spans="1:15" s="3" customFormat="1">
      <c r="A923" s="4"/>
      <c r="C923" s="2"/>
      <c r="D923" s="2"/>
      <c r="E923" s="2"/>
      <c r="F923" s="2"/>
      <c r="G923" s="2"/>
      <c r="H923" s="2"/>
      <c r="I923" s="2"/>
      <c r="J923" s="2"/>
      <c r="K923" s="2"/>
      <c r="L923" s="2"/>
      <c r="M923" s="2"/>
      <c r="N923" s="2"/>
      <c r="O923" s="2"/>
    </row>
    <row r="924" spans="1:15" s="3" customFormat="1">
      <c r="A924" s="4"/>
      <c r="C924" s="2"/>
      <c r="D924" s="2"/>
      <c r="E924" s="2"/>
      <c r="F924" s="2"/>
      <c r="G924" s="2"/>
      <c r="H924" s="2"/>
      <c r="I924" s="2"/>
      <c r="J924" s="2"/>
      <c r="K924" s="2"/>
      <c r="L924" s="2"/>
      <c r="M924" s="2"/>
      <c r="N924" s="2"/>
      <c r="O924" s="2"/>
    </row>
    <row r="925" spans="1:15" s="3" customFormat="1">
      <c r="A925" s="4"/>
      <c r="C925" s="2"/>
      <c r="D925" s="2"/>
      <c r="E925" s="2"/>
      <c r="F925" s="2"/>
      <c r="G925" s="2"/>
      <c r="H925" s="2"/>
      <c r="I925" s="2"/>
      <c r="J925" s="2"/>
      <c r="K925" s="2"/>
      <c r="L925" s="2"/>
      <c r="M925" s="2"/>
      <c r="N925" s="2"/>
      <c r="O925" s="2"/>
    </row>
    <row r="926" spans="1:15" s="3" customFormat="1">
      <c r="A926" s="4"/>
      <c r="C926" s="2"/>
      <c r="D926" s="2"/>
      <c r="E926" s="2"/>
      <c r="F926" s="2"/>
      <c r="G926" s="2"/>
      <c r="H926" s="2"/>
      <c r="I926" s="2"/>
      <c r="J926" s="2"/>
      <c r="K926" s="2"/>
      <c r="L926" s="2"/>
      <c r="M926" s="2"/>
      <c r="N926" s="2"/>
      <c r="O926" s="2"/>
    </row>
    <row r="927" spans="1:15" s="3" customFormat="1">
      <c r="A927" s="4"/>
      <c r="C927" s="2"/>
      <c r="D927" s="2"/>
      <c r="E927" s="2"/>
      <c r="F927" s="2"/>
      <c r="G927" s="2"/>
      <c r="H927" s="2"/>
      <c r="I927" s="2"/>
      <c r="J927" s="2"/>
      <c r="K927" s="2"/>
      <c r="L927" s="2"/>
      <c r="M927" s="2"/>
      <c r="N927" s="2"/>
      <c r="O927" s="2"/>
    </row>
    <row r="928" spans="1:15" s="3" customFormat="1">
      <c r="A928" s="4"/>
      <c r="C928" s="2"/>
      <c r="D928" s="2"/>
      <c r="E928" s="2"/>
      <c r="F928" s="2"/>
      <c r="G928" s="2"/>
      <c r="H928" s="2"/>
      <c r="I928" s="2"/>
      <c r="J928" s="2"/>
      <c r="K928" s="2"/>
      <c r="L928" s="2"/>
      <c r="M928" s="2"/>
      <c r="N928" s="2"/>
      <c r="O928" s="2"/>
    </row>
    <row r="929" spans="1:15" s="3" customFormat="1">
      <c r="A929" s="4"/>
      <c r="C929" s="2"/>
      <c r="D929" s="2"/>
      <c r="E929" s="2"/>
      <c r="F929" s="2"/>
      <c r="G929" s="2"/>
      <c r="H929" s="2"/>
      <c r="I929" s="2"/>
      <c r="J929" s="2"/>
      <c r="K929" s="2"/>
      <c r="L929" s="2"/>
      <c r="M929" s="2"/>
      <c r="N929" s="2"/>
      <c r="O929" s="2"/>
    </row>
    <row r="930" spans="1:15" s="3" customFormat="1">
      <c r="A930" s="4"/>
      <c r="C930" s="2"/>
      <c r="D930" s="2"/>
      <c r="E930" s="2"/>
      <c r="F930" s="2"/>
      <c r="G930" s="2"/>
      <c r="H930" s="2"/>
      <c r="I930" s="2"/>
      <c r="J930" s="2"/>
      <c r="K930" s="2"/>
      <c r="L930" s="2"/>
      <c r="M930" s="2"/>
      <c r="N930" s="2"/>
      <c r="O930" s="2"/>
    </row>
    <row r="931" spans="1:15" s="3" customFormat="1">
      <c r="A931" s="4"/>
      <c r="C931" s="2"/>
      <c r="D931" s="2"/>
      <c r="E931" s="2"/>
      <c r="F931" s="2"/>
      <c r="G931" s="2"/>
      <c r="H931" s="2"/>
      <c r="I931" s="2"/>
      <c r="J931" s="2"/>
      <c r="K931" s="2"/>
      <c r="L931" s="2"/>
      <c r="M931" s="2"/>
      <c r="N931" s="2"/>
      <c r="O931" s="2"/>
    </row>
    <row r="932" spans="1:15" s="3" customFormat="1">
      <c r="A932" s="4"/>
      <c r="C932" s="2"/>
      <c r="D932" s="2"/>
      <c r="E932" s="2"/>
      <c r="F932" s="2"/>
      <c r="G932" s="2"/>
      <c r="H932" s="2"/>
      <c r="I932" s="2"/>
      <c r="J932" s="2"/>
      <c r="K932" s="2"/>
      <c r="L932" s="2"/>
      <c r="M932" s="2"/>
      <c r="N932" s="2"/>
      <c r="O932" s="2"/>
    </row>
    <row r="933" spans="1:15" s="3" customFormat="1">
      <c r="A933" s="4"/>
      <c r="C933" s="2"/>
      <c r="D933" s="2"/>
      <c r="E933" s="2"/>
      <c r="F933" s="2"/>
      <c r="G933" s="2"/>
      <c r="H933" s="2"/>
      <c r="I933" s="2"/>
      <c r="J933" s="2"/>
      <c r="K933" s="2"/>
      <c r="L933" s="2"/>
      <c r="M933" s="2"/>
      <c r="N933" s="2"/>
      <c r="O933" s="2"/>
    </row>
    <row r="934" spans="1:15" s="3" customFormat="1">
      <c r="A934" s="4"/>
      <c r="C934" s="2"/>
      <c r="D934" s="2"/>
      <c r="E934" s="2"/>
      <c r="F934" s="2"/>
      <c r="G934" s="2"/>
      <c r="H934" s="2"/>
      <c r="I934" s="2"/>
      <c r="J934" s="2"/>
      <c r="K934" s="2"/>
      <c r="L934" s="2"/>
      <c r="M934" s="2"/>
      <c r="N934" s="2"/>
      <c r="O934" s="2"/>
    </row>
    <row r="935" spans="1:15" s="3" customFormat="1">
      <c r="A935" s="4"/>
      <c r="C935" s="2"/>
      <c r="D935" s="2"/>
      <c r="E935" s="2"/>
      <c r="F935" s="2"/>
      <c r="G935" s="2"/>
      <c r="H935" s="2"/>
      <c r="I935" s="2"/>
      <c r="J935" s="2"/>
      <c r="K935" s="2"/>
      <c r="L935" s="2"/>
      <c r="M935" s="2"/>
      <c r="N935" s="2"/>
      <c r="O935" s="2"/>
    </row>
    <row r="936" spans="1:15" s="3" customFormat="1">
      <c r="A936" s="4"/>
      <c r="C936" s="2"/>
      <c r="D936" s="2"/>
      <c r="E936" s="2"/>
      <c r="F936" s="2"/>
      <c r="G936" s="2"/>
      <c r="H936" s="2"/>
      <c r="I936" s="2"/>
      <c r="J936" s="2"/>
      <c r="K936" s="2"/>
      <c r="L936" s="2"/>
      <c r="M936" s="2"/>
      <c r="N936" s="2"/>
      <c r="O936" s="2"/>
    </row>
    <row r="937" spans="1:15" s="3" customFormat="1">
      <c r="A937" s="4"/>
      <c r="C937" s="2"/>
      <c r="D937" s="2"/>
      <c r="E937" s="2"/>
      <c r="F937" s="2"/>
      <c r="G937" s="2"/>
      <c r="H937" s="2"/>
      <c r="I937" s="2"/>
      <c r="J937" s="2"/>
      <c r="K937" s="2"/>
      <c r="L937" s="2"/>
      <c r="M937" s="2"/>
      <c r="N937" s="2"/>
      <c r="O937" s="2"/>
    </row>
    <row r="938" spans="1:15" s="3" customFormat="1">
      <c r="A938" s="4"/>
      <c r="C938" s="2"/>
      <c r="D938" s="2"/>
      <c r="E938" s="2"/>
      <c r="F938" s="2"/>
      <c r="G938" s="2"/>
      <c r="H938" s="2"/>
      <c r="I938" s="2"/>
      <c r="J938" s="2"/>
      <c r="K938" s="2"/>
      <c r="L938" s="2"/>
      <c r="M938" s="2"/>
      <c r="N938" s="2"/>
      <c r="O938" s="2"/>
    </row>
    <row r="939" spans="1:15" s="3" customFormat="1">
      <c r="A939" s="4"/>
      <c r="C939" s="2"/>
      <c r="D939" s="2"/>
      <c r="E939" s="2"/>
      <c r="F939" s="2"/>
      <c r="G939" s="2"/>
      <c r="H939" s="2"/>
      <c r="I939" s="2"/>
      <c r="J939" s="2"/>
      <c r="K939" s="2"/>
      <c r="L939" s="2"/>
      <c r="M939" s="2"/>
      <c r="N939" s="2"/>
      <c r="O939" s="2"/>
    </row>
    <row r="940" spans="1:15" s="3" customFormat="1">
      <c r="A940" s="4"/>
      <c r="C940" s="2"/>
      <c r="D940" s="2"/>
      <c r="E940" s="2"/>
      <c r="F940" s="2"/>
      <c r="G940" s="2"/>
      <c r="H940" s="2"/>
      <c r="I940" s="2"/>
      <c r="J940" s="2"/>
      <c r="K940" s="2"/>
      <c r="L940" s="2"/>
      <c r="M940" s="2"/>
      <c r="N940" s="2"/>
      <c r="O940" s="2"/>
    </row>
    <row r="941" spans="1:15" s="3" customFormat="1">
      <c r="A941" s="4"/>
      <c r="C941" s="2"/>
      <c r="D941" s="2"/>
      <c r="E941" s="2"/>
      <c r="F941" s="2"/>
      <c r="G941" s="2"/>
      <c r="H941" s="2"/>
      <c r="I941" s="2"/>
      <c r="J941" s="2"/>
      <c r="K941" s="2"/>
      <c r="L941" s="2"/>
      <c r="M941" s="2"/>
      <c r="N941" s="2"/>
      <c r="O941" s="2"/>
    </row>
    <row r="942" spans="1:15" s="3" customFormat="1">
      <c r="A942" s="4"/>
      <c r="C942" s="2"/>
      <c r="D942" s="2"/>
      <c r="E942" s="2"/>
      <c r="F942" s="2"/>
      <c r="G942" s="2"/>
      <c r="H942" s="2"/>
      <c r="I942" s="2"/>
      <c r="J942" s="2"/>
      <c r="K942" s="2"/>
      <c r="L942" s="2"/>
      <c r="M942" s="2"/>
      <c r="N942" s="2"/>
      <c r="O942" s="2"/>
    </row>
    <row r="943" spans="1:15" s="3" customFormat="1">
      <c r="A943" s="4"/>
      <c r="C943" s="2"/>
      <c r="D943" s="2"/>
      <c r="E943" s="2"/>
      <c r="F943" s="2"/>
      <c r="G943" s="2"/>
      <c r="H943" s="2"/>
      <c r="I943" s="2"/>
      <c r="J943" s="2"/>
      <c r="K943" s="2"/>
      <c r="L943" s="2"/>
      <c r="M943" s="2"/>
      <c r="N943" s="2"/>
      <c r="O943" s="2"/>
    </row>
    <row r="944" spans="1:15" s="3" customFormat="1">
      <c r="A944" s="4"/>
      <c r="C944" s="2"/>
      <c r="D944" s="2"/>
      <c r="E944" s="2"/>
      <c r="F944" s="2"/>
      <c r="G944" s="2"/>
      <c r="H944" s="2"/>
      <c r="I944" s="2"/>
      <c r="J944" s="2"/>
      <c r="K944" s="2"/>
      <c r="L944" s="2"/>
      <c r="M944" s="2"/>
      <c r="N944" s="2"/>
      <c r="O944" s="2"/>
    </row>
    <row r="945" spans="1:15" s="3" customFormat="1">
      <c r="A945" s="4"/>
      <c r="C945" s="2"/>
      <c r="D945" s="2"/>
      <c r="E945" s="2"/>
      <c r="F945" s="2"/>
      <c r="G945" s="2"/>
      <c r="H945" s="2"/>
      <c r="I945" s="2"/>
      <c r="J945" s="2"/>
      <c r="K945" s="2"/>
      <c r="L945" s="2"/>
      <c r="M945" s="2"/>
      <c r="N945" s="2"/>
      <c r="O945" s="2"/>
    </row>
    <row r="946" spans="1:15" s="3" customFormat="1">
      <c r="A946" s="4"/>
      <c r="C946" s="2"/>
      <c r="D946" s="2"/>
      <c r="E946" s="2"/>
      <c r="F946" s="2"/>
      <c r="G946" s="2"/>
      <c r="H946" s="2"/>
      <c r="I946" s="2"/>
      <c r="J946" s="2"/>
      <c r="K946" s="2"/>
      <c r="L946" s="2"/>
      <c r="M946" s="2"/>
      <c r="N946" s="2"/>
      <c r="O946" s="2"/>
    </row>
    <row r="947" spans="1:15" s="3" customFormat="1">
      <c r="A947" s="4"/>
      <c r="C947" s="2"/>
      <c r="D947" s="2"/>
      <c r="E947" s="2"/>
      <c r="F947" s="2"/>
      <c r="G947" s="2"/>
      <c r="H947" s="2"/>
      <c r="I947" s="2"/>
      <c r="J947" s="2"/>
      <c r="K947" s="2"/>
      <c r="L947" s="2"/>
      <c r="M947" s="2"/>
      <c r="N947" s="2"/>
      <c r="O947" s="2"/>
    </row>
    <row r="948" spans="1:15" s="3" customFormat="1">
      <c r="A948" s="4"/>
      <c r="C948" s="2"/>
      <c r="D948" s="2"/>
      <c r="E948" s="2"/>
      <c r="F948" s="2"/>
      <c r="G948" s="2"/>
      <c r="H948" s="2"/>
      <c r="I948" s="2"/>
      <c r="J948" s="2"/>
      <c r="K948" s="2"/>
      <c r="L948" s="2"/>
      <c r="M948" s="2"/>
      <c r="N948" s="2"/>
      <c r="O948" s="2"/>
    </row>
    <row r="949" spans="1:15" s="3" customFormat="1">
      <c r="A949" s="4"/>
      <c r="C949" s="2"/>
      <c r="D949" s="2"/>
      <c r="E949" s="2"/>
      <c r="F949" s="2"/>
      <c r="G949" s="2"/>
      <c r="H949" s="2"/>
      <c r="I949" s="2"/>
      <c r="J949" s="2"/>
      <c r="K949" s="2"/>
      <c r="L949" s="2"/>
      <c r="M949" s="2"/>
      <c r="N949" s="2"/>
      <c r="O949" s="2"/>
    </row>
    <row r="950" spans="1:15" s="3" customFormat="1">
      <c r="A950" s="4"/>
      <c r="C950" s="2"/>
      <c r="D950" s="2"/>
      <c r="E950" s="2"/>
      <c r="F950" s="2"/>
      <c r="G950" s="2"/>
      <c r="H950" s="2"/>
      <c r="I950" s="2"/>
      <c r="J950" s="2"/>
      <c r="K950" s="2"/>
      <c r="L950" s="2"/>
      <c r="M950" s="2"/>
      <c r="N950" s="2"/>
      <c r="O950" s="2"/>
    </row>
    <row r="951" spans="1:15" s="3" customFormat="1">
      <c r="A951" s="4"/>
      <c r="C951" s="2"/>
      <c r="D951" s="2"/>
      <c r="E951" s="2"/>
      <c r="F951" s="2"/>
      <c r="G951" s="2"/>
      <c r="H951" s="2"/>
      <c r="I951" s="2"/>
      <c r="J951" s="2"/>
      <c r="K951" s="2"/>
      <c r="L951" s="2"/>
      <c r="M951" s="2"/>
      <c r="N951" s="2"/>
      <c r="O951" s="2"/>
    </row>
    <row r="952" spans="1:15" s="3" customFormat="1">
      <c r="A952" s="4"/>
      <c r="C952" s="2"/>
      <c r="D952" s="2"/>
      <c r="E952" s="2"/>
      <c r="F952" s="2"/>
      <c r="G952" s="2"/>
      <c r="H952" s="2"/>
      <c r="I952" s="2"/>
      <c r="J952" s="2"/>
      <c r="K952" s="2"/>
      <c r="L952" s="2"/>
      <c r="M952" s="2"/>
      <c r="N952" s="2"/>
      <c r="O952" s="2"/>
    </row>
    <row r="953" spans="1:15" s="3" customFormat="1">
      <c r="A953" s="4"/>
      <c r="C953" s="2"/>
      <c r="D953" s="2"/>
      <c r="E953" s="2"/>
      <c r="F953" s="2"/>
      <c r="G953" s="2"/>
      <c r="H953" s="2"/>
      <c r="I953" s="2"/>
      <c r="J953" s="2"/>
      <c r="K953" s="2"/>
      <c r="L953" s="2"/>
      <c r="M953" s="2"/>
      <c r="N953" s="2"/>
      <c r="O953" s="2"/>
    </row>
    <row r="954" spans="1:15" s="3" customFormat="1">
      <c r="A954" s="4"/>
      <c r="C954" s="2"/>
      <c r="D954" s="2"/>
      <c r="E954" s="2"/>
      <c r="F954" s="2"/>
      <c r="G954" s="2"/>
      <c r="H954" s="2"/>
      <c r="I954" s="2"/>
      <c r="J954" s="2"/>
      <c r="K954" s="2"/>
      <c r="L954" s="2"/>
      <c r="M954" s="2"/>
      <c r="N954" s="2"/>
      <c r="O954" s="2"/>
    </row>
    <row r="955" spans="1:15" s="3" customFormat="1">
      <c r="A955" s="4"/>
      <c r="C955" s="2"/>
      <c r="D955" s="2"/>
      <c r="E955" s="2"/>
      <c r="F955" s="2"/>
      <c r="G955" s="2"/>
      <c r="H955" s="2"/>
      <c r="I955" s="2"/>
      <c r="J955" s="2"/>
      <c r="K955" s="2"/>
      <c r="L955" s="2"/>
      <c r="M955" s="2"/>
      <c r="N955" s="2"/>
      <c r="O955" s="2"/>
    </row>
    <row r="956" spans="1:15" s="3" customFormat="1">
      <c r="A956" s="4"/>
      <c r="C956" s="2"/>
      <c r="D956" s="2"/>
      <c r="E956" s="2"/>
      <c r="F956" s="2"/>
      <c r="G956" s="2"/>
      <c r="H956" s="2"/>
      <c r="I956" s="2"/>
      <c r="J956" s="2"/>
      <c r="K956" s="2"/>
      <c r="L956" s="2"/>
      <c r="M956" s="2"/>
      <c r="N956" s="2"/>
      <c r="O956" s="2"/>
    </row>
    <row r="957" spans="1:15" s="3" customFormat="1">
      <c r="A957" s="4"/>
      <c r="C957" s="2"/>
      <c r="D957" s="2"/>
      <c r="E957" s="2"/>
      <c r="F957" s="2"/>
      <c r="G957" s="2"/>
      <c r="H957" s="2"/>
      <c r="I957" s="2"/>
      <c r="J957" s="2"/>
      <c r="K957" s="2"/>
      <c r="L957" s="2"/>
      <c r="M957" s="2"/>
      <c r="N957" s="2"/>
      <c r="O957" s="2"/>
    </row>
    <row r="958" spans="1:15" s="3" customFormat="1">
      <c r="A958" s="4"/>
      <c r="C958" s="2"/>
      <c r="D958" s="2"/>
      <c r="E958" s="2"/>
      <c r="F958" s="2"/>
      <c r="G958" s="2"/>
      <c r="H958" s="2"/>
      <c r="I958" s="2"/>
      <c r="J958" s="2"/>
      <c r="K958" s="2"/>
      <c r="L958" s="2"/>
      <c r="M958" s="2"/>
      <c r="N958" s="2"/>
      <c r="O958" s="2"/>
    </row>
    <row r="959" spans="1:15" s="3" customFormat="1">
      <c r="A959" s="4"/>
      <c r="C959" s="2"/>
      <c r="D959" s="2"/>
      <c r="E959" s="2"/>
      <c r="F959" s="2"/>
      <c r="G959" s="2"/>
      <c r="H959" s="2"/>
      <c r="I959" s="2"/>
      <c r="J959" s="2"/>
      <c r="K959" s="2"/>
      <c r="L959" s="2"/>
      <c r="M959" s="2"/>
      <c r="N959" s="2"/>
      <c r="O959" s="2"/>
    </row>
    <row r="960" spans="1:15" s="3" customFormat="1">
      <c r="A960" s="4"/>
      <c r="C960" s="2"/>
      <c r="D960" s="2"/>
      <c r="E960" s="2"/>
      <c r="F960" s="2"/>
      <c r="G960" s="2"/>
      <c r="H960" s="2"/>
      <c r="I960" s="2"/>
      <c r="J960" s="2"/>
      <c r="K960" s="2"/>
      <c r="L960" s="2"/>
      <c r="M960" s="2"/>
      <c r="N960" s="2"/>
      <c r="O960" s="2"/>
    </row>
    <row r="961" spans="1:15" s="3" customFormat="1">
      <c r="A961" s="4"/>
      <c r="C961" s="2"/>
      <c r="D961" s="2"/>
      <c r="E961" s="2"/>
      <c r="F961" s="2"/>
      <c r="G961" s="2"/>
      <c r="H961" s="2"/>
      <c r="I961" s="2"/>
      <c r="J961" s="2"/>
      <c r="K961" s="2"/>
      <c r="L961" s="2"/>
      <c r="M961" s="2"/>
      <c r="N961" s="2"/>
      <c r="O961" s="2"/>
    </row>
    <row r="962" spans="1:15" s="3" customFormat="1">
      <c r="A962" s="4"/>
      <c r="C962" s="2"/>
      <c r="D962" s="2"/>
      <c r="E962" s="2"/>
      <c r="F962" s="2"/>
      <c r="G962" s="2"/>
      <c r="H962" s="2"/>
      <c r="I962" s="2"/>
      <c r="J962" s="2"/>
      <c r="K962" s="2"/>
      <c r="L962" s="2"/>
      <c r="M962" s="2"/>
      <c r="N962" s="2"/>
      <c r="O962" s="2"/>
    </row>
    <row r="963" spans="1:15" s="3" customFormat="1">
      <c r="A963" s="4"/>
      <c r="C963" s="2"/>
      <c r="D963" s="2"/>
      <c r="E963" s="2"/>
      <c r="F963" s="2"/>
      <c r="G963" s="2"/>
      <c r="H963" s="2"/>
      <c r="I963" s="2"/>
      <c r="J963" s="2"/>
      <c r="K963" s="2"/>
      <c r="L963" s="2"/>
      <c r="M963" s="2"/>
      <c r="N963" s="2"/>
      <c r="O963" s="2"/>
    </row>
    <row r="964" spans="1:15" s="3" customFormat="1">
      <c r="A964" s="4"/>
      <c r="C964" s="2"/>
      <c r="D964" s="2"/>
      <c r="E964" s="2"/>
      <c r="F964" s="2"/>
      <c r="G964" s="2"/>
      <c r="H964" s="2"/>
      <c r="I964" s="2"/>
      <c r="J964" s="2"/>
      <c r="K964" s="2"/>
      <c r="L964" s="2"/>
      <c r="M964" s="2"/>
      <c r="N964" s="2"/>
      <c r="O964" s="2"/>
    </row>
    <row r="965" spans="1:15" s="3" customFormat="1">
      <c r="A965" s="4"/>
      <c r="C965" s="2"/>
      <c r="D965" s="2"/>
      <c r="E965" s="2"/>
      <c r="F965" s="2"/>
      <c r="G965" s="2"/>
      <c r="H965" s="2"/>
      <c r="I965" s="2"/>
      <c r="J965" s="2"/>
      <c r="K965" s="2"/>
      <c r="L965" s="2"/>
      <c r="M965" s="2"/>
      <c r="N965" s="2"/>
      <c r="O965" s="2"/>
    </row>
    <row r="966" spans="1:15" s="3" customFormat="1">
      <c r="A966" s="4"/>
      <c r="C966" s="2"/>
      <c r="D966" s="2"/>
      <c r="E966" s="2"/>
      <c r="F966" s="2"/>
      <c r="G966" s="2"/>
      <c r="H966" s="2"/>
      <c r="I966" s="2"/>
      <c r="J966" s="2"/>
      <c r="K966" s="2"/>
      <c r="L966" s="2"/>
      <c r="M966" s="2"/>
      <c r="N966" s="2"/>
      <c r="O966" s="2"/>
    </row>
    <row r="967" spans="1:15" s="3" customFormat="1">
      <c r="A967" s="4"/>
      <c r="C967" s="2"/>
      <c r="D967" s="2"/>
      <c r="E967" s="2"/>
      <c r="F967" s="2"/>
      <c r="G967" s="2"/>
      <c r="H967" s="2"/>
      <c r="I967" s="2"/>
      <c r="J967" s="2"/>
      <c r="K967" s="2"/>
      <c r="L967" s="2"/>
      <c r="M967" s="2"/>
      <c r="N967" s="2"/>
      <c r="O967" s="2"/>
    </row>
    <row r="968" spans="1:15" s="3" customFormat="1">
      <c r="A968" s="4"/>
      <c r="C968" s="2"/>
      <c r="D968" s="2"/>
      <c r="E968" s="2"/>
      <c r="F968" s="2"/>
      <c r="G968" s="2"/>
      <c r="H968" s="2"/>
      <c r="I968" s="2"/>
      <c r="J968" s="2"/>
      <c r="K968" s="2"/>
      <c r="L968" s="2"/>
      <c r="M968" s="2"/>
      <c r="N968" s="2"/>
      <c r="O968" s="2"/>
    </row>
    <row r="969" spans="1:15" s="3" customFormat="1">
      <c r="A969" s="4"/>
      <c r="C969" s="2"/>
      <c r="D969" s="2"/>
      <c r="E969" s="2"/>
      <c r="F969" s="2"/>
      <c r="G969" s="2"/>
      <c r="H969" s="2"/>
      <c r="I969" s="2"/>
      <c r="J969" s="2"/>
      <c r="K969" s="2"/>
      <c r="L969" s="2"/>
      <c r="M969" s="2"/>
      <c r="N969" s="2"/>
      <c r="O969" s="2"/>
    </row>
    <row r="970" spans="1:15" s="3" customFormat="1">
      <c r="A970" s="4"/>
      <c r="C970" s="2"/>
      <c r="D970" s="2"/>
      <c r="E970" s="2"/>
      <c r="F970" s="2"/>
      <c r="G970" s="2"/>
      <c r="H970" s="2"/>
      <c r="I970" s="2"/>
      <c r="J970" s="2"/>
      <c r="K970" s="2"/>
      <c r="L970" s="2"/>
      <c r="M970" s="2"/>
      <c r="N970" s="2"/>
      <c r="O970" s="2"/>
    </row>
    <row r="971" spans="1:15" s="3" customFormat="1">
      <c r="A971" s="4"/>
      <c r="C971" s="2"/>
      <c r="D971" s="2"/>
      <c r="E971" s="2"/>
      <c r="F971" s="2"/>
      <c r="G971" s="2"/>
      <c r="H971" s="2"/>
      <c r="I971" s="2"/>
      <c r="J971" s="2"/>
      <c r="K971" s="2"/>
      <c r="L971" s="2"/>
      <c r="M971" s="2"/>
      <c r="N971" s="2"/>
      <c r="O971" s="2"/>
    </row>
    <row r="972" spans="1:15" s="3" customFormat="1">
      <c r="A972" s="4"/>
      <c r="C972" s="2"/>
      <c r="D972" s="2"/>
      <c r="E972" s="2"/>
      <c r="F972" s="2"/>
      <c r="G972" s="2"/>
      <c r="H972" s="2"/>
      <c r="I972" s="2"/>
      <c r="J972" s="2"/>
      <c r="K972" s="2"/>
      <c r="L972" s="2"/>
      <c r="M972" s="2"/>
      <c r="N972" s="2"/>
      <c r="O972" s="2"/>
    </row>
    <row r="973" spans="1:15" s="3" customFormat="1">
      <c r="A973" s="4"/>
      <c r="C973" s="2"/>
      <c r="D973" s="2"/>
      <c r="E973" s="2"/>
      <c r="F973" s="2"/>
      <c r="G973" s="2"/>
      <c r="H973" s="2"/>
      <c r="I973" s="2"/>
      <c r="J973" s="2"/>
      <c r="K973" s="2"/>
      <c r="L973" s="2"/>
      <c r="M973" s="2"/>
      <c r="N973" s="2"/>
      <c r="O973" s="2"/>
    </row>
    <row r="974" spans="1:15" s="3" customFormat="1">
      <c r="A974" s="4"/>
      <c r="C974" s="2"/>
      <c r="D974" s="2"/>
      <c r="E974" s="2"/>
      <c r="F974" s="2"/>
      <c r="G974" s="2"/>
      <c r="H974" s="2"/>
      <c r="I974" s="2"/>
      <c r="J974" s="2"/>
      <c r="K974" s="2"/>
      <c r="L974" s="2"/>
      <c r="M974" s="2"/>
      <c r="N974" s="2"/>
      <c r="O974" s="2"/>
    </row>
    <row r="975" spans="1:15" s="3" customFormat="1">
      <c r="A975" s="4"/>
      <c r="C975" s="2"/>
      <c r="D975" s="2"/>
      <c r="E975" s="2"/>
      <c r="F975" s="2"/>
      <c r="G975" s="2"/>
      <c r="H975" s="2"/>
      <c r="I975" s="2"/>
      <c r="J975" s="2"/>
      <c r="K975" s="2"/>
      <c r="L975" s="2"/>
      <c r="M975" s="2"/>
      <c r="N975" s="2"/>
      <c r="O975" s="2"/>
    </row>
    <row r="976" spans="1:15" s="3" customFormat="1">
      <c r="A976" s="4"/>
      <c r="C976" s="2"/>
      <c r="D976" s="2"/>
      <c r="E976" s="2"/>
      <c r="F976" s="2"/>
      <c r="G976" s="2"/>
      <c r="H976" s="2"/>
      <c r="I976" s="2"/>
      <c r="J976" s="2"/>
      <c r="K976" s="2"/>
      <c r="L976" s="2"/>
      <c r="M976" s="2"/>
      <c r="N976" s="2"/>
      <c r="O976" s="2"/>
    </row>
    <row r="977" spans="1:15" s="3" customFormat="1">
      <c r="A977" s="4"/>
      <c r="C977" s="2"/>
      <c r="D977" s="2"/>
      <c r="E977" s="2"/>
      <c r="F977" s="2"/>
      <c r="G977" s="2"/>
      <c r="H977" s="2"/>
      <c r="I977" s="2"/>
      <c r="J977" s="2"/>
      <c r="K977" s="2"/>
      <c r="L977" s="2"/>
      <c r="M977" s="2"/>
      <c r="N977" s="2"/>
      <c r="O977" s="2"/>
    </row>
    <row r="978" spans="1:15" s="3" customFormat="1">
      <c r="A978" s="4"/>
      <c r="C978" s="2"/>
      <c r="D978" s="2"/>
      <c r="E978" s="2"/>
      <c r="F978" s="2"/>
      <c r="G978" s="2"/>
      <c r="H978" s="2"/>
      <c r="I978" s="2"/>
      <c r="J978" s="2"/>
      <c r="K978" s="2"/>
      <c r="L978" s="2"/>
      <c r="M978" s="2"/>
      <c r="N978" s="2"/>
      <c r="O978" s="2"/>
    </row>
    <row r="979" spans="1:15" s="3" customFormat="1">
      <c r="A979" s="4"/>
      <c r="C979" s="2"/>
      <c r="D979" s="2"/>
      <c r="E979" s="2"/>
      <c r="F979" s="2"/>
      <c r="G979" s="2"/>
      <c r="H979" s="2"/>
      <c r="I979" s="2"/>
      <c r="J979" s="2"/>
      <c r="K979" s="2"/>
      <c r="L979" s="2"/>
      <c r="M979" s="2"/>
      <c r="N979" s="2"/>
      <c r="O979" s="2"/>
    </row>
    <row r="980" spans="1:15" s="3" customFormat="1">
      <c r="A980" s="4"/>
      <c r="C980" s="2"/>
      <c r="D980" s="2"/>
      <c r="E980" s="2"/>
      <c r="F980" s="2"/>
      <c r="G980" s="2"/>
      <c r="H980" s="2"/>
      <c r="I980" s="2"/>
      <c r="J980" s="2"/>
      <c r="K980" s="2"/>
      <c r="L980" s="2"/>
      <c r="M980" s="2"/>
      <c r="N980" s="2"/>
      <c r="O980" s="2"/>
    </row>
    <row r="981" spans="1:15" s="3" customFormat="1">
      <c r="A981" s="4"/>
      <c r="C981" s="2"/>
      <c r="D981" s="2"/>
      <c r="E981" s="2"/>
      <c r="F981" s="2"/>
      <c r="G981" s="2"/>
      <c r="H981" s="2"/>
      <c r="I981" s="2"/>
      <c r="J981" s="2"/>
      <c r="K981" s="2"/>
      <c r="L981" s="2"/>
      <c r="M981" s="2"/>
      <c r="N981" s="2"/>
      <c r="O981" s="2"/>
    </row>
    <row r="982" spans="1:15" s="3" customFormat="1">
      <c r="A982" s="4"/>
      <c r="C982" s="2"/>
      <c r="D982" s="2"/>
      <c r="E982" s="2"/>
      <c r="F982" s="2"/>
      <c r="G982" s="2"/>
      <c r="H982" s="2"/>
      <c r="I982" s="2"/>
      <c r="J982" s="2"/>
      <c r="K982" s="2"/>
      <c r="L982" s="2"/>
      <c r="M982" s="2"/>
      <c r="N982" s="2"/>
      <c r="O982" s="2"/>
    </row>
    <row r="983" spans="1:15" s="3" customFormat="1">
      <c r="A983" s="4"/>
      <c r="C983" s="2"/>
      <c r="D983" s="2"/>
      <c r="E983" s="2"/>
      <c r="F983" s="2"/>
      <c r="G983" s="2"/>
      <c r="H983" s="2"/>
      <c r="I983" s="2"/>
      <c r="J983" s="2"/>
      <c r="K983" s="2"/>
      <c r="L983" s="2"/>
      <c r="M983" s="2"/>
      <c r="N983" s="2"/>
      <c r="O983" s="2"/>
    </row>
    <row r="984" spans="1:15" s="3" customFormat="1">
      <c r="A984" s="4"/>
      <c r="C984" s="2"/>
      <c r="D984" s="2"/>
      <c r="E984" s="2"/>
      <c r="F984" s="2"/>
      <c r="G984" s="2"/>
      <c r="H984" s="2"/>
      <c r="I984" s="2"/>
      <c r="J984" s="2"/>
      <c r="K984" s="2"/>
      <c r="L984" s="2"/>
      <c r="M984" s="2"/>
      <c r="N984" s="2"/>
      <c r="O984" s="2"/>
    </row>
    <row r="985" spans="1:15" s="3" customFormat="1">
      <c r="A985" s="4"/>
      <c r="C985" s="2"/>
      <c r="D985" s="2"/>
      <c r="E985" s="2"/>
      <c r="F985" s="2"/>
      <c r="G985" s="2"/>
      <c r="H985" s="2"/>
      <c r="I985" s="2"/>
      <c r="J985" s="2"/>
      <c r="K985" s="2"/>
      <c r="L985" s="2"/>
      <c r="M985" s="2"/>
      <c r="N985" s="2"/>
      <c r="O985" s="2"/>
    </row>
    <row r="986" spans="1:15" s="3" customFormat="1">
      <c r="A986" s="4"/>
      <c r="C986" s="2"/>
      <c r="D986" s="2"/>
      <c r="E986" s="2"/>
      <c r="F986" s="2"/>
      <c r="G986" s="2"/>
      <c r="H986" s="2"/>
      <c r="I986" s="2"/>
      <c r="J986" s="2"/>
      <c r="K986" s="2"/>
      <c r="L986" s="2"/>
      <c r="M986" s="2"/>
      <c r="N986" s="2"/>
      <c r="O986" s="2"/>
    </row>
    <row r="987" spans="1:15" s="3" customFormat="1">
      <c r="A987" s="4"/>
      <c r="C987" s="2"/>
      <c r="D987" s="2"/>
      <c r="E987" s="2"/>
      <c r="F987" s="2"/>
      <c r="G987" s="2"/>
      <c r="H987" s="2"/>
      <c r="I987" s="2"/>
      <c r="J987" s="2"/>
      <c r="K987" s="2"/>
      <c r="L987" s="2"/>
      <c r="M987" s="2"/>
      <c r="N987" s="2"/>
      <c r="O987" s="2"/>
    </row>
    <row r="988" spans="1:15" s="3" customFormat="1">
      <c r="A988" s="4"/>
      <c r="C988" s="2"/>
      <c r="D988" s="2"/>
      <c r="E988" s="2"/>
      <c r="F988" s="2"/>
      <c r="G988" s="2"/>
      <c r="H988" s="2"/>
      <c r="I988" s="2"/>
      <c r="J988" s="2"/>
      <c r="K988" s="2"/>
      <c r="L988" s="2"/>
      <c r="M988" s="2"/>
      <c r="N988" s="2"/>
      <c r="O988" s="2"/>
    </row>
    <row r="989" spans="1:15" s="3" customFormat="1">
      <c r="A989" s="4"/>
      <c r="C989" s="2"/>
      <c r="D989" s="2"/>
      <c r="E989" s="2"/>
      <c r="F989" s="2"/>
      <c r="G989" s="2"/>
      <c r="H989" s="2"/>
      <c r="I989" s="2"/>
      <c r="J989" s="2"/>
      <c r="K989" s="2"/>
      <c r="L989" s="2"/>
      <c r="M989" s="2"/>
      <c r="N989" s="2"/>
      <c r="O989" s="2"/>
    </row>
    <row r="990" spans="1:15" s="3" customFormat="1">
      <c r="A990" s="4"/>
      <c r="C990" s="2"/>
      <c r="D990" s="2"/>
      <c r="E990" s="2"/>
      <c r="F990" s="2"/>
      <c r="G990" s="2"/>
      <c r="H990" s="2"/>
      <c r="I990" s="2"/>
      <c r="J990" s="2"/>
      <c r="K990" s="2"/>
      <c r="L990" s="2"/>
      <c r="M990" s="2"/>
      <c r="N990" s="2"/>
      <c r="O990" s="2"/>
    </row>
    <row r="991" spans="1:15" s="3" customFormat="1">
      <c r="A991" s="4"/>
      <c r="C991" s="2"/>
      <c r="D991" s="2"/>
      <c r="E991" s="2"/>
      <c r="F991" s="2"/>
      <c r="G991" s="2"/>
      <c r="H991" s="2"/>
      <c r="I991" s="2"/>
      <c r="J991" s="2"/>
      <c r="K991" s="2"/>
      <c r="L991" s="2"/>
      <c r="M991" s="2"/>
      <c r="N991" s="2"/>
      <c r="O991" s="2"/>
    </row>
    <row r="992" spans="1:15" s="3" customFormat="1">
      <c r="A992" s="4"/>
      <c r="C992" s="2"/>
      <c r="D992" s="2"/>
      <c r="E992" s="2"/>
      <c r="F992" s="2"/>
      <c r="G992" s="2"/>
      <c r="H992" s="2"/>
      <c r="I992" s="2"/>
      <c r="J992" s="2"/>
      <c r="K992" s="2"/>
      <c r="L992" s="2"/>
      <c r="M992" s="2"/>
      <c r="N992" s="2"/>
      <c r="O992" s="2"/>
    </row>
    <row r="993" spans="1:15" s="3" customFormat="1">
      <c r="A993" s="4"/>
      <c r="C993" s="2"/>
      <c r="D993" s="2"/>
      <c r="E993" s="2"/>
      <c r="F993" s="2"/>
      <c r="G993" s="2"/>
      <c r="H993" s="2"/>
      <c r="I993" s="2"/>
      <c r="J993" s="2"/>
      <c r="K993" s="2"/>
      <c r="L993" s="2"/>
      <c r="M993" s="2"/>
      <c r="N993" s="2"/>
      <c r="O993" s="2"/>
    </row>
    <row r="994" spans="1:15" s="3" customFormat="1">
      <c r="A994" s="4"/>
      <c r="C994" s="2"/>
      <c r="D994" s="2"/>
      <c r="E994" s="2"/>
      <c r="F994" s="2"/>
      <c r="G994" s="2"/>
      <c r="H994" s="2"/>
      <c r="I994" s="2"/>
      <c r="J994" s="2"/>
      <c r="K994" s="2"/>
      <c r="L994" s="2"/>
      <c r="M994" s="2"/>
      <c r="N994" s="2"/>
      <c r="O994" s="2"/>
    </row>
    <row r="995" spans="1:15" s="3" customFormat="1">
      <c r="A995" s="4"/>
      <c r="C995" s="2"/>
      <c r="D995" s="2"/>
      <c r="E995" s="2"/>
      <c r="F995" s="2"/>
      <c r="G995" s="2"/>
      <c r="H995" s="2"/>
      <c r="I995" s="2"/>
      <c r="J995" s="2"/>
      <c r="K995" s="2"/>
      <c r="L995" s="2"/>
      <c r="M995" s="2"/>
      <c r="N995" s="2"/>
      <c r="O995" s="2"/>
    </row>
    <row r="996" spans="1:15" s="3" customFormat="1">
      <c r="A996" s="4"/>
      <c r="C996" s="2"/>
      <c r="D996" s="2"/>
      <c r="E996" s="2"/>
      <c r="F996" s="2"/>
      <c r="G996" s="2"/>
      <c r="H996" s="2"/>
      <c r="I996" s="2"/>
      <c r="J996" s="2"/>
      <c r="K996" s="2"/>
      <c r="L996" s="2"/>
      <c r="M996" s="2"/>
      <c r="N996" s="2"/>
      <c r="O996" s="2"/>
    </row>
    <row r="997" spans="1:15" s="3" customFormat="1">
      <c r="A997" s="4"/>
      <c r="C997" s="2"/>
      <c r="D997" s="2"/>
      <c r="E997" s="2"/>
      <c r="F997" s="2"/>
      <c r="G997" s="2"/>
      <c r="H997" s="2"/>
      <c r="I997" s="2"/>
      <c r="J997" s="2"/>
      <c r="K997" s="2"/>
      <c r="L997" s="2"/>
      <c r="M997" s="2"/>
      <c r="N997" s="2"/>
      <c r="O997" s="2"/>
    </row>
    <row r="998" spans="1:15" s="3" customFormat="1">
      <c r="A998" s="4"/>
      <c r="C998" s="2"/>
      <c r="D998" s="2"/>
      <c r="E998" s="2"/>
      <c r="F998" s="2"/>
      <c r="G998" s="2"/>
      <c r="H998" s="2"/>
      <c r="I998" s="2"/>
      <c r="J998" s="2"/>
      <c r="K998" s="2"/>
      <c r="L998" s="2"/>
      <c r="M998" s="2"/>
      <c r="N998" s="2"/>
      <c r="O998" s="2"/>
    </row>
  </sheetData>
  <mergeCells count="6">
    <mergeCell ref="A286:O286"/>
    <mergeCell ref="A380:O380"/>
    <mergeCell ref="A1:O1"/>
    <mergeCell ref="A2:O2"/>
    <mergeCell ref="A98:O98"/>
    <mergeCell ref="A192:O192"/>
  </mergeCells>
  <phoneticPr fontId="6" type="noConversion"/>
  <pageMargins left="0.75" right="0.75" top="1" bottom="1" header="0.5" footer="0.5"/>
  <pageSetup scale="54" orientation="landscape" r:id="rId1"/>
  <headerFooter alignWithMargins="0"/>
  <rowBreaks count="4" manualBreakCount="4">
    <brk id="97" max="14" man="1"/>
    <brk id="191" max="14" man="1"/>
    <brk id="285" max="14" man="1"/>
    <brk id="379" max="14" man="1"/>
  </rowBreaks>
</worksheet>
</file>

<file path=xl/worksheets/sheet5.xml><?xml version="1.0" encoding="utf-8"?>
<worksheet xmlns="http://schemas.openxmlformats.org/spreadsheetml/2006/main" xmlns:r="http://schemas.openxmlformats.org/officeDocument/2006/relationships">
  <dimension ref="A1:N87"/>
  <sheetViews>
    <sheetView view="pageBreakPreview" topLeftCell="A52" zoomScale="60" zoomScaleNormal="100" workbookViewId="0">
      <selection activeCell="X78" sqref="X78"/>
    </sheetView>
  </sheetViews>
  <sheetFormatPr defaultRowHeight="12.75"/>
  <cols>
    <col min="1" max="1" width="16.140625" bestFit="1" customWidth="1"/>
    <col min="2" max="2" width="9.42578125" bestFit="1" customWidth="1"/>
    <col min="3" max="6" width="11.42578125" bestFit="1" customWidth="1"/>
    <col min="7" max="7" width="10.42578125" bestFit="1" customWidth="1"/>
    <col min="8" max="13" width="9.42578125" bestFit="1" customWidth="1"/>
    <col min="14" max="14" width="9.7109375" bestFit="1" customWidth="1"/>
  </cols>
  <sheetData>
    <row r="1" spans="1:13" ht="18">
      <c r="A1" s="590" t="s">
        <v>158</v>
      </c>
      <c r="B1" s="591"/>
      <c r="C1" s="591"/>
      <c r="D1" s="591"/>
      <c r="E1" s="591"/>
      <c r="F1" s="591"/>
      <c r="G1" s="591"/>
      <c r="H1" s="591"/>
      <c r="I1" s="591"/>
      <c r="J1" s="591"/>
      <c r="K1" s="591"/>
      <c r="L1" s="591"/>
      <c r="M1" s="591"/>
    </row>
    <row r="2" spans="1:13" hidden="1">
      <c r="A2" s="591">
        <v>2007</v>
      </c>
      <c r="B2" s="591"/>
      <c r="C2" s="591"/>
      <c r="D2" s="591"/>
      <c r="E2" s="591"/>
      <c r="F2" s="591"/>
      <c r="G2" s="591"/>
      <c r="H2" s="591"/>
      <c r="I2" s="591"/>
      <c r="J2" s="591"/>
      <c r="K2" s="591"/>
      <c r="L2" s="591"/>
      <c r="M2" s="591"/>
    </row>
    <row r="3" spans="1:13" hidden="1">
      <c r="B3" t="s">
        <v>34</v>
      </c>
      <c r="C3" t="s">
        <v>35</v>
      </c>
      <c r="D3" t="s">
        <v>36</v>
      </c>
      <c r="E3" t="s">
        <v>37</v>
      </c>
      <c r="F3" t="s">
        <v>33</v>
      </c>
      <c r="G3" t="s">
        <v>23</v>
      </c>
      <c r="H3" t="s">
        <v>24</v>
      </c>
      <c r="I3" t="s">
        <v>40</v>
      </c>
      <c r="J3" t="s">
        <v>159</v>
      </c>
      <c r="K3" t="s">
        <v>42</v>
      </c>
      <c r="L3" t="s">
        <v>43</v>
      </c>
      <c r="M3" t="s">
        <v>44</v>
      </c>
    </row>
    <row r="4" spans="1:13" hidden="1">
      <c r="B4" t="s">
        <v>160</v>
      </c>
      <c r="C4" t="s">
        <v>160</v>
      </c>
      <c r="D4" t="s">
        <v>160</v>
      </c>
      <c r="E4" t="s">
        <v>160</v>
      </c>
      <c r="F4" t="s">
        <v>160</v>
      </c>
      <c r="G4" t="s">
        <v>160</v>
      </c>
      <c r="H4" t="s">
        <v>160</v>
      </c>
      <c r="I4" t="s">
        <v>160</v>
      </c>
      <c r="J4" t="s">
        <v>160</v>
      </c>
      <c r="K4" t="s">
        <v>160</v>
      </c>
      <c r="L4" t="s">
        <v>160</v>
      </c>
      <c r="M4" t="s">
        <v>160</v>
      </c>
    </row>
    <row r="5" spans="1:13" hidden="1">
      <c r="A5" s="276" t="s">
        <v>127</v>
      </c>
      <c r="B5" s="276"/>
      <c r="C5" s="276">
        <v>900</v>
      </c>
      <c r="D5" s="276">
        <v>4110</v>
      </c>
      <c r="E5" s="276">
        <v>2390</v>
      </c>
      <c r="F5" s="276"/>
      <c r="G5" s="276">
        <v>200</v>
      </c>
      <c r="H5" s="276"/>
      <c r="I5" s="276"/>
      <c r="J5" s="276">
        <v>0</v>
      </c>
      <c r="K5" s="276">
        <v>0</v>
      </c>
      <c r="L5" s="276">
        <v>0</v>
      </c>
      <c r="M5" s="276"/>
    </row>
    <row r="6" spans="1:13" hidden="1">
      <c r="A6" s="276" t="s">
        <v>61</v>
      </c>
      <c r="B6" s="276">
        <v>246</v>
      </c>
      <c r="C6" s="276">
        <v>313</v>
      </c>
      <c r="D6" s="276">
        <v>158</v>
      </c>
      <c r="E6" s="276">
        <v>104</v>
      </c>
      <c r="F6" s="276">
        <v>66</v>
      </c>
      <c r="G6" s="276">
        <v>65</v>
      </c>
      <c r="H6" s="276"/>
      <c r="I6" s="276">
        <v>83</v>
      </c>
      <c r="J6" s="276">
        <v>107</v>
      </c>
      <c r="K6" s="276">
        <v>187</v>
      </c>
      <c r="L6" s="276">
        <v>70</v>
      </c>
      <c r="M6" s="276"/>
    </row>
    <row r="7" spans="1:13" hidden="1">
      <c r="A7" s="276" t="s">
        <v>129</v>
      </c>
      <c r="B7" s="276">
        <v>471</v>
      </c>
      <c r="C7" s="276">
        <v>414</v>
      </c>
      <c r="D7" s="276">
        <v>378</v>
      </c>
      <c r="E7" s="276">
        <v>563</v>
      </c>
      <c r="F7" s="276">
        <v>12</v>
      </c>
      <c r="G7" s="276">
        <v>158</v>
      </c>
      <c r="H7" s="276"/>
      <c r="I7" s="276">
        <v>-46</v>
      </c>
      <c r="J7" s="276">
        <v>302</v>
      </c>
      <c r="K7" s="276">
        <v>260</v>
      </c>
      <c r="L7" s="276">
        <v>295</v>
      </c>
      <c r="M7" s="276"/>
    </row>
    <row r="8" spans="1:13" hidden="1">
      <c r="A8" s="276" t="s">
        <v>161</v>
      </c>
      <c r="B8" s="276">
        <v>377</v>
      </c>
      <c r="C8" s="276">
        <v>1114</v>
      </c>
      <c r="D8" s="276">
        <v>1100</v>
      </c>
      <c r="E8" s="276">
        <v>977</v>
      </c>
      <c r="F8" s="276">
        <v>1650</v>
      </c>
      <c r="G8" s="276">
        <v>650</v>
      </c>
      <c r="H8" s="276"/>
      <c r="I8" s="276"/>
      <c r="J8" s="276">
        <v>0</v>
      </c>
      <c r="K8" s="276"/>
      <c r="L8" s="276">
        <v>0</v>
      </c>
      <c r="M8" s="276"/>
    </row>
    <row r="9" spans="1:13" hidden="1">
      <c r="A9" s="276" t="s">
        <v>162</v>
      </c>
      <c r="B9" s="276">
        <v>3967</v>
      </c>
      <c r="C9" s="276">
        <v>364</v>
      </c>
      <c r="D9" s="276">
        <v>625</v>
      </c>
      <c r="E9" s="276">
        <v>2508</v>
      </c>
      <c r="F9" s="276">
        <v>2502</v>
      </c>
      <c r="G9" s="276">
        <v>593</v>
      </c>
      <c r="H9" s="276"/>
      <c r="I9" s="276">
        <v>2502</v>
      </c>
      <c r="J9" s="276">
        <v>4239</v>
      </c>
      <c r="K9" s="276">
        <v>6944</v>
      </c>
      <c r="L9" s="276">
        <v>4019</v>
      </c>
      <c r="M9" s="276"/>
    </row>
    <row r="10" spans="1:13" hidden="1">
      <c r="A10" s="591">
        <v>2008</v>
      </c>
      <c r="B10" s="591"/>
      <c r="C10" s="591"/>
      <c r="D10" s="591"/>
      <c r="E10" s="591"/>
      <c r="F10" s="591"/>
      <c r="G10" s="591"/>
      <c r="H10" s="591"/>
      <c r="I10" s="591"/>
      <c r="J10" s="591"/>
      <c r="K10" s="591"/>
      <c r="L10" s="591"/>
      <c r="M10" s="591"/>
    </row>
    <row r="11" spans="1:13" hidden="1">
      <c r="B11" t="s">
        <v>34</v>
      </c>
      <c r="C11" t="s">
        <v>35</v>
      </c>
      <c r="D11" t="s">
        <v>36</v>
      </c>
      <c r="E11" t="s">
        <v>37</v>
      </c>
      <c r="F11" t="s">
        <v>33</v>
      </c>
      <c r="G11" t="s">
        <v>23</v>
      </c>
      <c r="H11" t="s">
        <v>24</v>
      </c>
      <c r="I11" t="s">
        <v>40</v>
      </c>
      <c r="J11" t="s">
        <v>159</v>
      </c>
      <c r="K11" t="s">
        <v>42</v>
      </c>
      <c r="L11" t="s">
        <v>43</v>
      </c>
      <c r="M11" t="s">
        <v>44</v>
      </c>
    </row>
    <row r="12" spans="1:13" hidden="1">
      <c r="B12" t="s">
        <v>160</v>
      </c>
      <c r="C12" t="s">
        <v>160</v>
      </c>
      <c r="D12" t="s">
        <v>160</v>
      </c>
      <c r="E12" t="s">
        <v>160</v>
      </c>
      <c r="F12" t="s">
        <v>160</v>
      </c>
      <c r="G12" t="s">
        <v>160</v>
      </c>
      <c r="H12" t="s">
        <v>160</v>
      </c>
      <c r="I12" t="s">
        <v>160</v>
      </c>
      <c r="J12" t="s">
        <v>160</v>
      </c>
      <c r="K12" t="s">
        <v>160</v>
      </c>
      <c r="L12" t="s">
        <v>160</v>
      </c>
      <c r="M12" t="s">
        <v>160</v>
      </c>
    </row>
    <row r="13" spans="1:13" hidden="1">
      <c r="A13" s="276" t="s">
        <v>127</v>
      </c>
      <c r="B13" s="276"/>
      <c r="C13" s="276"/>
      <c r="D13" s="276"/>
      <c r="E13" s="276"/>
      <c r="F13" s="276">
        <v>1400</v>
      </c>
      <c r="G13" s="276"/>
      <c r="H13" s="276"/>
      <c r="I13" s="276"/>
      <c r="J13" s="276"/>
      <c r="K13" s="276"/>
      <c r="L13" s="276"/>
      <c r="M13" s="276"/>
    </row>
    <row r="14" spans="1:13" hidden="1">
      <c r="A14" s="276" t="s">
        <v>61</v>
      </c>
      <c r="B14" s="276">
        <v>107</v>
      </c>
      <c r="C14" s="276">
        <v>127</v>
      </c>
      <c r="D14" s="276">
        <v>147</v>
      </c>
      <c r="E14" s="276">
        <v>115</v>
      </c>
      <c r="F14" s="276">
        <v>86</v>
      </c>
      <c r="G14" s="276">
        <v>201</v>
      </c>
      <c r="H14" s="276">
        <v>119</v>
      </c>
      <c r="I14" s="276">
        <v>1330</v>
      </c>
      <c r="J14" s="276">
        <v>81</v>
      </c>
      <c r="K14" s="276">
        <v>102</v>
      </c>
      <c r="L14" s="276">
        <v>317</v>
      </c>
      <c r="M14" s="276">
        <v>112</v>
      </c>
    </row>
    <row r="15" spans="1:13" hidden="1">
      <c r="A15" s="276" t="s">
        <v>129</v>
      </c>
      <c r="B15" s="276">
        <v>301</v>
      </c>
      <c r="C15" s="276">
        <v>421</v>
      </c>
      <c r="D15" s="276">
        <v>396</v>
      </c>
      <c r="E15" s="276">
        <v>514</v>
      </c>
      <c r="F15" s="276">
        <v>530</v>
      </c>
      <c r="G15" s="276">
        <v>173</v>
      </c>
      <c r="H15" s="276">
        <v>419</v>
      </c>
      <c r="I15" s="276">
        <v>215</v>
      </c>
      <c r="J15" s="276">
        <v>163</v>
      </c>
      <c r="K15" s="276">
        <v>186</v>
      </c>
      <c r="L15" s="276">
        <v>209</v>
      </c>
      <c r="M15" s="276">
        <v>428</v>
      </c>
    </row>
    <row r="16" spans="1:13" hidden="1">
      <c r="A16" s="276" t="s">
        <v>161</v>
      </c>
      <c r="B16" s="276">
        <v>846</v>
      </c>
      <c r="C16" s="276"/>
      <c r="D16" s="276"/>
      <c r="E16" s="276">
        <v>1100</v>
      </c>
      <c r="F16" s="276">
        <v>1493</v>
      </c>
      <c r="G16" s="276">
        <v>157</v>
      </c>
      <c r="H16" s="276"/>
      <c r="I16" s="276"/>
      <c r="J16" s="276"/>
      <c r="K16" s="276">
        <v>65</v>
      </c>
      <c r="L16" s="276">
        <v>73</v>
      </c>
      <c r="M16" s="276">
        <v>1010</v>
      </c>
    </row>
    <row r="17" spans="1:13" hidden="1">
      <c r="A17" s="276" t="s">
        <v>162</v>
      </c>
      <c r="B17" s="279">
        <v>4868</v>
      </c>
      <c r="C17" s="279">
        <v>5157</v>
      </c>
      <c r="D17" s="276">
        <v>3613</v>
      </c>
      <c r="E17" s="279">
        <v>2101</v>
      </c>
      <c r="F17" s="279">
        <v>3886</v>
      </c>
      <c r="G17" s="279">
        <v>2399</v>
      </c>
      <c r="H17" s="185">
        <v>5000</v>
      </c>
      <c r="I17" s="279">
        <v>2959</v>
      </c>
      <c r="J17" s="279">
        <v>2659</v>
      </c>
      <c r="K17" s="279">
        <v>7123</v>
      </c>
      <c r="L17" s="279">
        <v>5988</v>
      </c>
      <c r="M17" s="279">
        <v>3972</v>
      </c>
    </row>
    <row r="18" spans="1:13" hidden="1">
      <c r="A18" s="591">
        <v>2009</v>
      </c>
      <c r="B18" s="591"/>
      <c r="C18" s="591"/>
      <c r="D18" s="591"/>
      <c r="E18" s="591"/>
      <c r="F18" s="591"/>
      <c r="G18" s="591"/>
      <c r="H18" s="591"/>
      <c r="I18" s="591"/>
      <c r="J18" s="591"/>
      <c r="K18" s="591"/>
      <c r="L18" s="591"/>
      <c r="M18" s="591"/>
    </row>
    <row r="19" spans="1:13" hidden="1">
      <c r="B19" t="s">
        <v>34</v>
      </c>
      <c r="C19" t="s">
        <v>35</v>
      </c>
      <c r="D19" t="s">
        <v>36</v>
      </c>
      <c r="E19" t="s">
        <v>37</v>
      </c>
      <c r="F19" t="s">
        <v>33</v>
      </c>
      <c r="G19" t="s">
        <v>23</v>
      </c>
      <c r="H19" t="s">
        <v>24</v>
      </c>
      <c r="I19" t="s">
        <v>40</v>
      </c>
      <c r="J19" t="s">
        <v>159</v>
      </c>
      <c r="K19" t="s">
        <v>42</v>
      </c>
      <c r="L19" t="s">
        <v>43</v>
      </c>
      <c r="M19" t="s">
        <v>44</v>
      </c>
    </row>
    <row r="20" spans="1:13" hidden="1">
      <c r="B20" t="s">
        <v>160</v>
      </c>
      <c r="C20" t="s">
        <v>160</v>
      </c>
      <c r="D20" t="s">
        <v>160</v>
      </c>
      <c r="E20" t="s">
        <v>160</v>
      </c>
      <c r="F20" t="s">
        <v>160</v>
      </c>
      <c r="G20" t="s">
        <v>160</v>
      </c>
      <c r="H20" t="s">
        <v>160</v>
      </c>
      <c r="I20" t="s">
        <v>160</v>
      </c>
      <c r="J20" t="s">
        <v>160</v>
      </c>
      <c r="K20" t="s">
        <v>160</v>
      </c>
      <c r="L20" t="s">
        <v>160</v>
      </c>
      <c r="M20" t="s">
        <v>160</v>
      </c>
    </row>
    <row r="21" spans="1:13" hidden="1">
      <c r="A21" s="276" t="s">
        <v>127</v>
      </c>
      <c r="B21" s="276"/>
      <c r="C21" s="276"/>
      <c r="D21" s="276"/>
      <c r="E21" s="276"/>
      <c r="F21" s="276"/>
      <c r="G21" s="276"/>
      <c r="H21" s="276"/>
      <c r="I21" s="276"/>
      <c r="J21" s="276"/>
      <c r="K21" s="276"/>
      <c r="L21" s="276"/>
      <c r="M21" s="276"/>
    </row>
    <row r="22" spans="1:13" hidden="1">
      <c r="A22" s="276" t="s">
        <v>61</v>
      </c>
      <c r="B22" s="276">
        <v>30</v>
      </c>
      <c r="C22" s="276">
        <v>254</v>
      </c>
      <c r="D22" s="276">
        <v>144</v>
      </c>
      <c r="E22" s="276">
        <v>223</v>
      </c>
      <c r="F22" s="276">
        <v>186</v>
      </c>
      <c r="G22" s="276"/>
      <c r="H22" s="276"/>
      <c r="I22" s="276"/>
      <c r="J22" s="276"/>
      <c r="K22" s="276"/>
      <c r="L22" s="276"/>
      <c r="M22" s="276"/>
    </row>
    <row r="23" spans="1:13" hidden="1">
      <c r="A23" s="276" t="s">
        <v>129</v>
      </c>
      <c r="B23" s="276">
        <v>453</v>
      </c>
      <c r="C23" s="276">
        <v>383</v>
      </c>
      <c r="D23" s="276">
        <v>283</v>
      </c>
      <c r="E23" s="276">
        <v>385</v>
      </c>
      <c r="F23" s="276">
        <v>321</v>
      </c>
      <c r="G23" s="276"/>
      <c r="H23" s="276"/>
      <c r="I23" s="276"/>
      <c r="J23" s="276"/>
      <c r="K23" s="276"/>
      <c r="L23" s="276"/>
      <c r="M23" s="276"/>
    </row>
    <row r="24" spans="1:13" hidden="1">
      <c r="A24" s="276" t="s">
        <v>161</v>
      </c>
      <c r="B24" s="276">
        <v>383</v>
      </c>
      <c r="C24" s="276"/>
      <c r="D24" s="276">
        <v>119</v>
      </c>
      <c r="E24" s="276">
        <v>404</v>
      </c>
      <c r="F24" s="276">
        <v>1162</v>
      </c>
      <c r="G24" s="276"/>
      <c r="H24" s="276"/>
      <c r="I24" s="276"/>
      <c r="J24" s="276"/>
      <c r="K24" s="276"/>
      <c r="L24" s="276"/>
      <c r="M24" s="276"/>
    </row>
    <row r="25" spans="1:13" hidden="1">
      <c r="A25" s="276" t="s">
        <v>162</v>
      </c>
      <c r="B25" s="279">
        <v>2445</v>
      </c>
      <c r="C25" s="279">
        <v>2853</v>
      </c>
      <c r="D25" s="279">
        <v>1240</v>
      </c>
      <c r="E25" s="279">
        <v>6641</v>
      </c>
      <c r="F25" s="279">
        <v>1404</v>
      </c>
      <c r="G25" s="276"/>
      <c r="H25" s="276"/>
      <c r="I25" s="276"/>
      <c r="J25" s="276"/>
      <c r="K25" s="276"/>
      <c r="L25" s="276"/>
      <c r="M25" s="276"/>
    </row>
    <row r="26" spans="1:13" ht="14.25" hidden="1" customHeight="1">
      <c r="A26" s="276"/>
      <c r="B26" s="279"/>
      <c r="C26" s="279"/>
      <c r="D26" s="279"/>
      <c r="E26" s="279"/>
      <c r="F26" s="279"/>
      <c r="G26" s="276"/>
      <c r="H26" s="276"/>
      <c r="I26" s="276"/>
      <c r="J26" s="276"/>
      <c r="K26" s="276"/>
      <c r="L26" s="276"/>
      <c r="M26" s="276"/>
    </row>
    <row r="27" spans="1:13">
      <c r="A27" s="591">
        <v>2010</v>
      </c>
      <c r="B27" s="591"/>
      <c r="C27" s="591"/>
      <c r="D27" s="591"/>
      <c r="E27" s="591"/>
      <c r="F27" s="591"/>
      <c r="G27" s="591"/>
      <c r="H27" s="591"/>
      <c r="I27" s="591"/>
      <c r="J27" s="591"/>
      <c r="K27" s="591"/>
      <c r="L27" s="591"/>
      <c r="M27" s="591"/>
    </row>
    <row r="28" spans="1:13">
      <c r="B28" t="s">
        <v>34</v>
      </c>
      <c r="C28" t="s">
        <v>35</v>
      </c>
      <c r="D28" t="s">
        <v>36</v>
      </c>
      <c r="E28" t="s">
        <v>37</v>
      </c>
      <c r="F28" t="s">
        <v>33</v>
      </c>
      <c r="G28" t="s">
        <v>23</v>
      </c>
      <c r="H28" t="s">
        <v>24</v>
      </c>
      <c r="I28" t="s">
        <v>40</v>
      </c>
      <c r="J28" t="s">
        <v>159</v>
      </c>
      <c r="K28" t="s">
        <v>42</v>
      </c>
      <c r="L28" t="s">
        <v>43</v>
      </c>
      <c r="M28" t="s">
        <v>44</v>
      </c>
    </row>
    <row r="29" spans="1:13">
      <c r="B29" t="s">
        <v>160</v>
      </c>
      <c r="C29" t="s">
        <v>160</v>
      </c>
      <c r="D29" t="s">
        <v>160</v>
      </c>
      <c r="E29" t="s">
        <v>160</v>
      </c>
      <c r="F29" t="s">
        <v>160</v>
      </c>
      <c r="G29" t="s">
        <v>160</v>
      </c>
      <c r="H29" t="s">
        <v>160</v>
      </c>
      <c r="I29" t="s">
        <v>160</v>
      </c>
      <c r="J29" t="s">
        <v>160</v>
      </c>
      <c r="K29" t="s">
        <v>160</v>
      </c>
      <c r="L29" t="s">
        <v>160</v>
      </c>
      <c r="M29" t="s">
        <v>160</v>
      </c>
    </row>
    <row r="30" spans="1:13">
      <c r="A30" s="276" t="s">
        <v>127</v>
      </c>
      <c r="B30" s="276"/>
      <c r="C30" s="276"/>
      <c r="D30" s="276"/>
      <c r="E30" s="276"/>
      <c r="F30" s="276"/>
      <c r="G30" s="276"/>
      <c r="H30" s="276"/>
      <c r="I30" s="276"/>
      <c r="J30" s="276"/>
      <c r="K30" s="276"/>
      <c r="L30" s="276"/>
      <c r="M30" s="276"/>
    </row>
    <row r="31" spans="1:13">
      <c r="A31" s="276" t="s">
        <v>61</v>
      </c>
      <c r="B31" s="276">
        <v>146</v>
      </c>
      <c r="C31" s="276">
        <v>148</v>
      </c>
      <c r="D31" s="276">
        <v>131</v>
      </c>
      <c r="E31" s="276">
        <v>135</v>
      </c>
      <c r="F31" s="276">
        <v>221</v>
      </c>
      <c r="G31" s="87">
        <v>336</v>
      </c>
      <c r="H31" s="87">
        <v>163</v>
      </c>
      <c r="I31" s="87">
        <v>139</v>
      </c>
      <c r="J31" s="87">
        <v>125</v>
      </c>
      <c r="K31" s="87">
        <v>143</v>
      </c>
      <c r="L31" s="87">
        <v>325</v>
      </c>
      <c r="M31" s="87">
        <v>229</v>
      </c>
    </row>
    <row r="32" spans="1:13">
      <c r="A32" s="276" t="s">
        <v>129</v>
      </c>
      <c r="B32" s="276">
        <v>279</v>
      </c>
      <c r="C32" s="276">
        <v>219</v>
      </c>
      <c r="D32" s="276">
        <v>239</v>
      </c>
      <c r="E32" s="276">
        <v>206</v>
      </c>
      <c r="F32" s="276">
        <v>579</v>
      </c>
      <c r="G32" s="87">
        <v>327</v>
      </c>
      <c r="H32" s="87">
        <v>322</v>
      </c>
      <c r="I32" s="87">
        <v>261</v>
      </c>
      <c r="J32" s="87">
        <v>400</v>
      </c>
      <c r="K32" s="87">
        <v>86</v>
      </c>
      <c r="L32" s="87">
        <v>304</v>
      </c>
      <c r="M32" s="87">
        <v>479</v>
      </c>
    </row>
    <row r="33" spans="1:13">
      <c r="A33" s="276" t="s">
        <v>161</v>
      </c>
      <c r="B33" s="276"/>
      <c r="C33" s="276"/>
      <c r="D33" s="276"/>
      <c r="E33" s="276"/>
      <c r="F33" s="276">
        <v>254</v>
      </c>
      <c r="G33" s="276">
        <v>83</v>
      </c>
      <c r="H33" s="276">
        <v>1471</v>
      </c>
      <c r="I33" s="276"/>
      <c r="J33" s="276"/>
      <c r="K33" s="276"/>
      <c r="L33" s="276">
        <v>228</v>
      </c>
      <c r="M33" s="276"/>
    </row>
    <row r="34" spans="1:13">
      <c r="A34" s="276" t="s">
        <v>162</v>
      </c>
      <c r="B34" s="279">
        <v>4552</v>
      </c>
      <c r="C34" s="279">
        <v>1904</v>
      </c>
      <c r="D34" s="279">
        <v>41</v>
      </c>
      <c r="E34" s="279">
        <v>1318</v>
      </c>
      <c r="F34" s="279">
        <v>1987</v>
      </c>
      <c r="G34" s="185">
        <v>4333</v>
      </c>
      <c r="H34" s="185">
        <v>3475</v>
      </c>
      <c r="I34" s="185">
        <v>6002</v>
      </c>
      <c r="J34" s="185">
        <v>3527</v>
      </c>
      <c r="K34" s="185">
        <v>7302</v>
      </c>
      <c r="L34" s="185">
        <v>6208</v>
      </c>
      <c r="M34" s="185">
        <v>2601</v>
      </c>
    </row>
    <row r="35" spans="1:13">
      <c r="A35" s="276"/>
      <c r="B35" s="279"/>
      <c r="C35" s="279"/>
      <c r="D35" s="279"/>
      <c r="E35" s="279"/>
      <c r="F35" s="279"/>
      <c r="G35" s="276"/>
      <c r="H35" s="276"/>
      <c r="I35" s="276"/>
      <c r="J35" s="276"/>
      <c r="K35" s="276"/>
      <c r="L35" s="276"/>
      <c r="M35" s="276"/>
    </row>
    <row r="36" spans="1:13">
      <c r="A36" s="591">
        <v>2011</v>
      </c>
      <c r="B36" s="591"/>
      <c r="C36" s="591"/>
      <c r="D36" s="591"/>
      <c r="E36" s="591"/>
      <c r="F36" s="591"/>
      <c r="G36" s="591"/>
      <c r="H36" s="591"/>
      <c r="I36" s="591"/>
      <c r="J36" s="591"/>
      <c r="K36" s="591"/>
      <c r="L36" s="591"/>
      <c r="M36" s="591"/>
    </row>
    <row r="37" spans="1:13">
      <c r="B37" t="s">
        <v>34</v>
      </c>
      <c r="C37" t="s">
        <v>35</v>
      </c>
      <c r="D37" t="s">
        <v>36</v>
      </c>
      <c r="E37" t="s">
        <v>37</v>
      </c>
      <c r="F37" t="s">
        <v>33</v>
      </c>
      <c r="G37" t="s">
        <v>23</v>
      </c>
      <c r="H37" t="s">
        <v>24</v>
      </c>
      <c r="I37" t="s">
        <v>40</v>
      </c>
      <c r="J37" t="s">
        <v>159</v>
      </c>
      <c r="K37" t="s">
        <v>42</v>
      </c>
      <c r="L37" t="s">
        <v>43</v>
      </c>
      <c r="M37" t="s">
        <v>44</v>
      </c>
    </row>
    <row r="38" spans="1:13">
      <c r="B38" t="s">
        <v>160</v>
      </c>
      <c r="C38" t="s">
        <v>160</v>
      </c>
      <c r="D38" t="s">
        <v>160</v>
      </c>
      <c r="E38" t="s">
        <v>160</v>
      </c>
      <c r="F38" t="s">
        <v>160</v>
      </c>
      <c r="G38" t="s">
        <v>160</v>
      </c>
      <c r="H38" t="s">
        <v>160</v>
      </c>
      <c r="I38" t="s">
        <v>160</v>
      </c>
      <c r="J38" t="s">
        <v>160</v>
      </c>
      <c r="K38" t="s">
        <v>160</v>
      </c>
      <c r="L38" t="s">
        <v>160</v>
      </c>
      <c r="M38" t="s">
        <v>160</v>
      </c>
    </row>
    <row r="39" spans="1:13">
      <c r="A39" s="276" t="s">
        <v>127</v>
      </c>
      <c r="B39" s="276"/>
      <c r="C39" s="276"/>
      <c r="D39" s="276"/>
      <c r="E39" s="276"/>
      <c r="F39" s="276"/>
      <c r="G39" s="276"/>
      <c r="H39" s="276"/>
      <c r="I39" s="276"/>
      <c r="J39" s="276"/>
      <c r="K39" s="276"/>
      <c r="L39" s="276"/>
      <c r="M39" s="276"/>
    </row>
    <row r="40" spans="1:13">
      <c r="A40" s="276" t="s">
        <v>61</v>
      </c>
      <c r="B40" s="276">
        <v>238</v>
      </c>
      <c r="C40" s="276">
        <v>244</v>
      </c>
      <c r="D40" s="276">
        <v>420</v>
      </c>
      <c r="E40" s="276">
        <v>372</v>
      </c>
      <c r="F40" s="276">
        <v>294</v>
      </c>
      <c r="G40" s="87">
        <v>196</v>
      </c>
      <c r="H40" s="87">
        <v>108</v>
      </c>
      <c r="I40" s="87">
        <v>141</v>
      </c>
      <c r="J40" s="87">
        <v>183</v>
      </c>
      <c r="K40" s="87">
        <v>146</v>
      </c>
      <c r="L40" s="87">
        <v>251</v>
      </c>
      <c r="M40" s="87">
        <v>329</v>
      </c>
    </row>
    <row r="41" spans="1:13">
      <c r="A41" s="276" t="s">
        <v>129</v>
      </c>
      <c r="B41" s="276">
        <v>449</v>
      </c>
      <c r="C41" s="276">
        <v>498</v>
      </c>
      <c r="D41" s="276">
        <v>954</v>
      </c>
      <c r="E41" s="276">
        <v>843</v>
      </c>
      <c r="F41" s="276">
        <v>632</v>
      </c>
      <c r="G41" s="87">
        <v>395</v>
      </c>
      <c r="H41" s="87">
        <v>199</v>
      </c>
      <c r="I41" s="87">
        <v>231</v>
      </c>
      <c r="J41" s="87">
        <v>295</v>
      </c>
      <c r="K41" s="87">
        <v>237</v>
      </c>
      <c r="L41" s="87">
        <v>486</v>
      </c>
      <c r="M41" s="87">
        <v>725</v>
      </c>
    </row>
    <row r="42" spans="1:13">
      <c r="A42" s="276" t="s">
        <v>161</v>
      </c>
      <c r="B42" s="276">
        <v>825</v>
      </c>
      <c r="C42" s="276">
        <v>492</v>
      </c>
      <c r="D42" s="276"/>
      <c r="E42" s="276">
        <v>1173</v>
      </c>
      <c r="F42" s="276">
        <v>307</v>
      </c>
      <c r="G42" s="87">
        <v>117</v>
      </c>
      <c r="H42" s="276"/>
      <c r="I42" s="87">
        <v>0</v>
      </c>
      <c r="J42" s="87">
        <v>0</v>
      </c>
      <c r="K42" s="87">
        <v>0</v>
      </c>
      <c r="L42" s="87">
        <v>0</v>
      </c>
      <c r="M42" s="87">
        <v>0</v>
      </c>
    </row>
    <row r="43" spans="1:13">
      <c r="A43" s="276" t="s">
        <v>162</v>
      </c>
      <c r="B43" s="279">
        <v>3358</v>
      </c>
      <c r="C43" s="279">
        <v>1539</v>
      </c>
      <c r="D43" s="279"/>
      <c r="E43" s="279"/>
      <c r="F43" s="279">
        <v>3903</v>
      </c>
      <c r="G43" s="185">
        <v>647</v>
      </c>
      <c r="H43" s="185">
        <v>4120</v>
      </c>
      <c r="I43" s="185">
        <v>5000</v>
      </c>
      <c r="J43" s="185">
        <v>3074</v>
      </c>
      <c r="K43" s="185">
        <v>6096</v>
      </c>
      <c r="L43" s="185">
        <v>3074</v>
      </c>
      <c r="M43" s="185">
        <v>1190</v>
      </c>
    </row>
    <row r="44" spans="1:13">
      <c r="A44" s="276"/>
      <c r="B44" s="279"/>
      <c r="C44" s="279"/>
      <c r="D44" s="279"/>
      <c r="E44" s="279"/>
      <c r="F44" s="279"/>
      <c r="G44" s="276"/>
      <c r="H44" s="276"/>
      <c r="I44" s="276"/>
      <c r="J44" s="276"/>
      <c r="K44" s="276"/>
      <c r="L44" s="276"/>
      <c r="M44" s="276"/>
    </row>
    <row r="45" spans="1:13">
      <c r="A45" s="591">
        <v>2012</v>
      </c>
      <c r="B45" s="591"/>
      <c r="C45" s="591"/>
      <c r="D45" s="591"/>
      <c r="E45" s="591"/>
      <c r="F45" s="591"/>
      <c r="G45" s="591"/>
      <c r="H45" s="591"/>
      <c r="I45" s="591"/>
      <c r="J45" s="591"/>
      <c r="K45" s="591"/>
      <c r="L45" s="591"/>
      <c r="M45" s="591"/>
    </row>
    <row r="46" spans="1:13">
      <c r="B46" t="s">
        <v>34</v>
      </c>
      <c r="C46" t="s">
        <v>35</v>
      </c>
      <c r="D46" t="s">
        <v>36</v>
      </c>
      <c r="E46" t="s">
        <v>37</v>
      </c>
      <c r="F46" t="s">
        <v>33</v>
      </c>
      <c r="G46" t="s">
        <v>23</v>
      </c>
      <c r="H46" t="s">
        <v>24</v>
      </c>
      <c r="I46" t="s">
        <v>40</v>
      </c>
      <c r="J46" t="s">
        <v>159</v>
      </c>
      <c r="K46" t="s">
        <v>42</v>
      </c>
      <c r="L46" t="s">
        <v>43</v>
      </c>
      <c r="M46" t="s">
        <v>44</v>
      </c>
    </row>
    <row r="47" spans="1:13">
      <c r="B47" t="s">
        <v>160</v>
      </c>
      <c r="C47" t="s">
        <v>160</v>
      </c>
      <c r="D47" t="s">
        <v>160</v>
      </c>
      <c r="E47" t="s">
        <v>160</v>
      </c>
      <c r="F47" t="s">
        <v>160</v>
      </c>
      <c r="G47" t="s">
        <v>160</v>
      </c>
      <c r="H47" t="s">
        <v>160</v>
      </c>
      <c r="I47" t="s">
        <v>160</v>
      </c>
      <c r="J47" t="s">
        <v>160</v>
      </c>
      <c r="K47" t="s">
        <v>160</v>
      </c>
      <c r="L47" t="s">
        <v>160</v>
      </c>
      <c r="M47" t="s">
        <v>160</v>
      </c>
    </row>
    <row r="48" spans="1:13">
      <c r="A48" s="276" t="s">
        <v>127</v>
      </c>
      <c r="B48" s="276"/>
      <c r="C48" s="276"/>
      <c r="D48" s="276"/>
      <c r="E48" s="276"/>
      <c r="F48" s="276"/>
      <c r="G48" s="276"/>
      <c r="H48" s="276"/>
      <c r="I48" s="276"/>
      <c r="J48" s="276"/>
      <c r="K48" s="276"/>
      <c r="L48" s="276"/>
      <c r="M48" s="276"/>
    </row>
    <row r="49" spans="1:13">
      <c r="A49" s="276" t="s">
        <v>61</v>
      </c>
      <c r="B49" s="276">
        <v>272</v>
      </c>
      <c r="C49" s="276">
        <v>166</v>
      </c>
      <c r="D49" s="276">
        <v>284</v>
      </c>
      <c r="E49" s="276">
        <v>150</v>
      </c>
      <c r="F49" s="276"/>
      <c r="G49" s="87"/>
      <c r="H49" s="87"/>
      <c r="I49" s="276"/>
      <c r="J49" s="276"/>
      <c r="K49" s="276"/>
      <c r="L49" s="276"/>
      <c r="M49" s="276"/>
    </row>
    <row r="50" spans="1:13">
      <c r="A50" s="276" t="s">
        <v>129</v>
      </c>
      <c r="B50" s="276">
        <v>549</v>
      </c>
      <c r="C50" s="276">
        <v>322</v>
      </c>
      <c r="D50" s="276">
        <v>519</v>
      </c>
      <c r="E50" s="276">
        <v>239</v>
      </c>
      <c r="F50" s="276"/>
      <c r="G50" s="87"/>
      <c r="H50" s="87"/>
      <c r="I50" s="276"/>
      <c r="J50" s="276"/>
      <c r="K50" s="276"/>
      <c r="L50" s="276"/>
      <c r="M50" s="276"/>
    </row>
    <row r="51" spans="1:13">
      <c r="A51" s="276" t="s">
        <v>161</v>
      </c>
      <c r="B51" s="276">
        <v>0</v>
      </c>
      <c r="C51" s="276">
        <v>5537</v>
      </c>
      <c r="D51" s="276">
        <v>0</v>
      </c>
      <c r="E51" s="276">
        <v>0</v>
      </c>
      <c r="F51" s="276"/>
      <c r="G51" s="87"/>
      <c r="H51" s="276"/>
      <c r="I51" s="276"/>
      <c r="J51" s="276"/>
      <c r="K51" s="276"/>
      <c r="L51" s="276"/>
      <c r="M51" s="276"/>
    </row>
    <row r="52" spans="1:13">
      <c r="A52" s="276" t="s">
        <v>162</v>
      </c>
      <c r="B52" s="279">
        <v>1868</v>
      </c>
      <c r="C52" s="279">
        <v>1539</v>
      </c>
      <c r="D52" s="279">
        <v>1696</v>
      </c>
      <c r="E52" s="279">
        <v>2080</v>
      </c>
      <c r="F52" s="279"/>
      <c r="G52" s="185"/>
      <c r="H52" s="185"/>
      <c r="I52" s="276"/>
      <c r="J52" s="276"/>
      <c r="K52" s="276"/>
      <c r="L52" s="276"/>
      <c r="M52" s="276"/>
    </row>
    <row r="53" spans="1:13">
      <c r="A53" s="276"/>
      <c r="B53" s="279"/>
      <c r="C53" s="279"/>
      <c r="D53" s="279"/>
      <c r="E53" s="279"/>
      <c r="F53" s="279"/>
      <c r="G53" s="276"/>
      <c r="H53" s="276"/>
      <c r="I53" s="276"/>
      <c r="J53" s="276"/>
      <c r="K53" s="276"/>
      <c r="L53" s="276"/>
      <c r="M53" s="276"/>
    </row>
    <row r="54" spans="1:13">
      <c r="A54" s="591" t="s">
        <v>156</v>
      </c>
      <c r="B54" s="591"/>
      <c r="C54" s="591"/>
      <c r="D54" s="591"/>
      <c r="E54" s="591"/>
      <c r="F54" s="591"/>
      <c r="G54" s="591"/>
      <c r="H54" s="591"/>
      <c r="I54" s="591"/>
      <c r="J54" s="591"/>
      <c r="K54" s="591"/>
      <c r="L54" s="591"/>
      <c r="M54" s="591"/>
    </row>
    <row r="55" spans="1:13">
      <c r="A55" s="226"/>
      <c r="B55" s="226">
        <v>2013</v>
      </c>
      <c r="C55" s="226">
        <v>2014</v>
      </c>
      <c r="D55" s="226"/>
      <c r="E55" s="226"/>
      <c r="F55" s="226"/>
      <c r="G55" s="226"/>
    </row>
    <row r="56" spans="1:13">
      <c r="A56" s="276" t="s">
        <v>127</v>
      </c>
      <c r="B56" s="280">
        <f>'Price Changes'!D75</f>
        <v>0</v>
      </c>
      <c r="C56" s="280">
        <f>'Price Changes'!F75</f>
        <v>0</v>
      </c>
      <c r="D56" s="277"/>
      <c r="E56" s="277"/>
      <c r="F56" s="277"/>
      <c r="G56" s="277"/>
    </row>
    <row r="57" spans="1:13">
      <c r="A57" s="276" t="s">
        <v>61</v>
      </c>
      <c r="B57" s="280">
        <f>'Price Changes'!D77</f>
        <v>0.43049999999999999</v>
      </c>
      <c r="C57" s="280">
        <f>'Price Changes'!F77</f>
        <v>0.443415</v>
      </c>
      <c r="D57" s="277"/>
      <c r="E57" s="277"/>
      <c r="F57" s="277"/>
      <c r="G57" s="277"/>
    </row>
    <row r="58" spans="1:13">
      <c r="A58" s="276" t="s">
        <v>129</v>
      </c>
      <c r="B58" s="280">
        <f>'Price Changes'!D79</f>
        <v>0.505</v>
      </c>
      <c r="C58" s="280">
        <f>'Price Changes'!F79</f>
        <v>0.52015</v>
      </c>
      <c r="D58" s="277"/>
      <c r="E58" s="277"/>
      <c r="F58" s="277"/>
      <c r="G58" s="277"/>
    </row>
    <row r="59" spans="1:13">
      <c r="A59" s="276" t="s">
        <v>161</v>
      </c>
      <c r="B59" s="280">
        <f>'Price Changes'!D78</f>
        <v>2.5754999999999999</v>
      </c>
      <c r="C59" s="280">
        <f>'Price Changes'!F78</f>
        <v>2.652765</v>
      </c>
      <c r="D59" s="277"/>
      <c r="E59" s="277"/>
      <c r="F59" s="277"/>
      <c r="G59" s="277"/>
    </row>
    <row r="60" spans="1:13">
      <c r="A60" s="276" t="s">
        <v>162</v>
      </c>
      <c r="B60" s="280">
        <f>'Price Changes'!D76</f>
        <v>0.22220000000000001</v>
      </c>
      <c r="C60" s="280">
        <f>'Price Changes'!F76</f>
        <v>0.22886600000000001</v>
      </c>
      <c r="D60" s="277"/>
      <c r="E60" s="277"/>
      <c r="F60" s="277"/>
      <c r="G60" s="277"/>
    </row>
    <row r="61" spans="1:13">
      <c r="A61" s="276"/>
      <c r="B61" s="279"/>
      <c r="C61" s="279"/>
      <c r="D61" s="279"/>
      <c r="E61" s="279"/>
      <c r="F61" s="279"/>
      <c r="G61" s="276"/>
      <c r="H61" s="276"/>
      <c r="I61" s="276"/>
      <c r="J61" s="276"/>
      <c r="K61" s="276"/>
      <c r="L61" s="276"/>
      <c r="M61" s="276"/>
    </row>
    <row r="62" spans="1:13">
      <c r="A62" s="591" t="s">
        <v>163</v>
      </c>
      <c r="B62" s="591"/>
      <c r="C62" s="591"/>
      <c r="D62" s="591"/>
      <c r="E62" s="591"/>
      <c r="F62" s="591"/>
      <c r="G62" s="591"/>
      <c r="H62" s="591"/>
      <c r="I62" s="591"/>
      <c r="J62" s="591"/>
      <c r="K62" s="591"/>
      <c r="L62" s="591"/>
      <c r="M62" s="591"/>
    </row>
    <row r="63" spans="1:13">
      <c r="B63" t="s">
        <v>34</v>
      </c>
      <c r="C63" t="s">
        <v>35</v>
      </c>
      <c r="D63" t="s">
        <v>36</v>
      </c>
      <c r="E63" t="s">
        <v>37</v>
      </c>
      <c r="F63" t="s">
        <v>33</v>
      </c>
      <c r="G63" t="s">
        <v>23</v>
      </c>
      <c r="H63" t="s">
        <v>24</v>
      </c>
      <c r="I63" t="s">
        <v>40</v>
      </c>
      <c r="J63" t="s">
        <v>159</v>
      </c>
      <c r="K63" t="s">
        <v>42</v>
      </c>
      <c r="L63" t="s">
        <v>43</v>
      </c>
      <c r="M63" t="s">
        <v>44</v>
      </c>
    </row>
    <row r="64" spans="1:13">
      <c r="B64" t="s">
        <v>160</v>
      </c>
      <c r="C64" t="s">
        <v>160</v>
      </c>
      <c r="D64" t="s">
        <v>160</v>
      </c>
      <c r="E64" t="s">
        <v>160</v>
      </c>
      <c r="F64" t="s">
        <v>160</v>
      </c>
      <c r="G64" t="s">
        <v>160</v>
      </c>
      <c r="H64" t="s">
        <v>160</v>
      </c>
      <c r="I64" t="s">
        <v>160</v>
      </c>
      <c r="J64" t="s">
        <v>160</v>
      </c>
      <c r="K64" t="s">
        <v>160</v>
      </c>
      <c r="L64" t="s">
        <v>160</v>
      </c>
      <c r="M64" t="s">
        <v>160</v>
      </c>
    </row>
    <row r="65" spans="1:14">
      <c r="A65" s="276" t="s">
        <v>127</v>
      </c>
      <c r="B65" s="277">
        <v>4600</v>
      </c>
      <c r="C65" s="277">
        <v>4600</v>
      </c>
      <c r="D65" s="277">
        <v>4600</v>
      </c>
      <c r="E65" s="277">
        <v>4600</v>
      </c>
      <c r="F65" s="277">
        <v>4600</v>
      </c>
      <c r="G65" s="277">
        <v>4600</v>
      </c>
      <c r="H65" s="277">
        <v>4600</v>
      </c>
      <c r="I65" s="277">
        <v>4600</v>
      </c>
      <c r="J65" s="277">
        <v>4600</v>
      </c>
      <c r="K65" s="277">
        <v>4600</v>
      </c>
      <c r="L65" s="277">
        <v>4600</v>
      </c>
      <c r="M65" s="277">
        <v>4600</v>
      </c>
    </row>
    <row r="66" spans="1:14">
      <c r="A66" s="276" t="s">
        <v>61</v>
      </c>
      <c r="B66" s="277">
        <f>AVERAGE(B31,B40,B49)</f>
        <v>218.66666666666666</v>
      </c>
      <c r="C66" s="277">
        <f t="shared" ref="C66:M66" si="0">AVERAGE(C31,C40,C49)</f>
        <v>186</v>
      </c>
      <c r="D66" s="277">
        <f t="shared" si="0"/>
        <v>278.33333333333331</v>
      </c>
      <c r="E66" s="277">
        <f t="shared" si="0"/>
        <v>219</v>
      </c>
      <c r="F66" s="277">
        <f t="shared" si="0"/>
        <v>257.5</v>
      </c>
      <c r="G66" s="277">
        <f t="shared" si="0"/>
        <v>266</v>
      </c>
      <c r="H66" s="277">
        <f t="shared" si="0"/>
        <v>135.5</v>
      </c>
      <c r="I66" s="277">
        <f t="shared" si="0"/>
        <v>140</v>
      </c>
      <c r="J66" s="277">
        <f t="shared" si="0"/>
        <v>154</v>
      </c>
      <c r="K66" s="277">
        <f t="shared" si="0"/>
        <v>144.5</v>
      </c>
      <c r="L66" s="277">
        <f t="shared" si="0"/>
        <v>288</v>
      </c>
      <c r="M66" s="277">
        <f t="shared" si="0"/>
        <v>279</v>
      </c>
    </row>
    <row r="67" spans="1:14">
      <c r="A67" s="276" t="s">
        <v>129</v>
      </c>
      <c r="B67" s="277">
        <f>AVERAGE(B32,B41,B50)</f>
        <v>425.66666666666669</v>
      </c>
      <c r="C67" s="277">
        <f t="shared" ref="C67:M67" si="1">AVERAGE(C32,C41,C50)</f>
        <v>346.33333333333331</v>
      </c>
      <c r="D67" s="277">
        <f t="shared" si="1"/>
        <v>570.66666666666663</v>
      </c>
      <c r="E67" s="277">
        <f t="shared" si="1"/>
        <v>429.33333333333331</v>
      </c>
      <c r="F67" s="277">
        <f t="shared" si="1"/>
        <v>605.5</v>
      </c>
      <c r="G67" s="277">
        <f t="shared" si="1"/>
        <v>361</v>
      </c>
      <c r="H67" s="277">
        <f t="shared" si="1"/>
        <v>260.5</v>
      </c>
      <c r="I67" s="277">
        <f t="shared" si="1"/>
        <v>246</v>
      </c>
      <c r="J67" s="277">
        <f t="shared" si="1"/>
        <v>347.5</v>
      </c>
      <c r="K67" s="277">
        <f t="shared" si="1"/>
        <v>161.5</v>
      </c>
      <c r="L67" s="277">
        <f t="shared" si="1"/>
        <v>395</v>
      </c>
      <c r="M67" s="277">
        <f t="shared" si="1"/>
        <v>602</v>
      </c>
    </row>
    <row r="68" spans="1:14">
      <c r="A68" s="276" t="s">
        <v>161</v>
      </c>
      <c r="B68" s="277">
        <f>AVERAGE(B33,B42,B51)</f>
        <v>412.5</v>
      </c>
      <c r="C68" s="277">
        <f t="shared" ref="C68:M68" si="2">AVERAGE(C33,C42,C51)</f>
        <v>3014.5</v>
      </c>
      <c r="D68" s="277">
        <f t="shared" si="2"/>
        <v>0</v>
      </c>
      <c r="E68" s="277">
        <f t="shared" si="2"/>
        <v>586.5</v>
      </c>
      <c r="F68" s="277">
        <f t="shared" si="2"/>
        <v>280.5</v>
      </c>
      <c r="G68" s="277">
        <f t="shared" si="2"/>
        <v>100</v>
      </c>
      <c r="H68" s="277">
        <f t="shared" si="2"/>
        <v>1471</v>
      </c>
      <c r="I68" s="277">
        <f t="shared" si="2"/>
        <v>0</v>
      </c>
      <c r="J68" s="277">
        <f t="shared" si="2"/>
        <v>0</v>
      </c>
      <c r="K68" s="277">
        <f t="shared" si="2"/>
        <v>0</v>
      </c>
      <c r="L68" s="277">
        <f t="shared" si="2"/>
        <v>114</v>
      </c>
      <c r="M68" s="277">
        <f t="shared" si="2"/>
        <v>0</v>
      </c>
    </row>
    <row r="69" spans="1:14">
      <c r="A69" s="276" t="s">
        <v>162</v>
      </c>
      <c r="B69" s="277">
        <f>AVERAGE(B34,B43,B52)</f>
        <v>3259.3333333333335</v>
      </c>
      <c r="C69" s="277">
        <f t="shared" ref="C69:M69" si="3">AVERAGE(C34,C43,C52)</f>
        <v>1660.6666666666667</v>
      </c>
      <c r="D69" s="277">
        <f t="shared" si="3"/>
        <v>868.5</v>
      </c>
      <c r="E69" s="277">
        <f t="shared" si="3"/>
        <v>1699</v>
      </c>
      <c r="F69" s="277">
        <f t="shared" si="3"/>
        <v>2945</v>
      </c>
      <c r="G69" s="277">
        <f t="shared" si="3"/>
        <v>2490</v>
      </c>
      <c r="H69" s="277">
        <f t="shared" si="3"/>
        <v>3797.5</v>
      </c>
      <c r="I69" s="277">
        <f t="shared" si="3"/>
        <v>5501</v>
      </c>
      <c r="J69" s="277">
        <f t="shared" si="3"/>
        <v>3300.5</v>
      </c>
      <c r="K69" s="277">
        <f t="shared" si="3"/>
        <v>6699</v>
      </c>
      <c r="L69" s="277">
        <f t="shared" si="3"/>
        <v>4641</v>
      </c>
      <c r="M69" s="277">
        <f t="shared" si="3"/>
        <v>1895.5</v>
      </c>
    </row>
    <row r="70" spans="1:14">
      <c r="A70" s="591">
        <v>2013</v>
      </c>
      <c r="B70" s="591"/>
      <c r="C70" s="591"/>
      <c r="D70" s="591"/>
      <c r="E70" s="591"/>
      <c r="F70" s="591"/>
      <c r="G70" s="591"/>
      <c r="H70" s="591"/>
      <c r="I70" s="591"/>
      <c r="J70" s="591"/>
      <c r="K70" s="591"/>
      <c r="L70" s="591"/>
      <c r="M70" s="591"/>
    </row>
    <row r="71" spans="1:14">
      <c r="B71" t="s">
        <v>34</v>
      </c>
      <c r="C71" t="s">
        <v>35</v>
      </c>
      <c r="D71" t="s">
        <v>36</v>
      </c>
      <c r="E71" t="s">
        <v>37</v>
      </c>
      <c r="F71" t="s">
        <v>33</v>
      </c>
      <c r="G71" t="s">
        <v>23</v>
      </c>
      <c r="H71" t="s">
        <v>24</v>
      </c>
      <c r="I71" t="s">
        <v>40</v>
      </c>
      <c r="J71" t="s">
        <v>159</v>
      </c>
      <c r="K71" t="s">
        <v>42</v>
      </c>
      <c r="L71" t="s">
        <v>43</v>
      </c>
      <c r="M71" t="s">
        <v>44</v>
      </c>
    </row>
    <row r="72" spans="1:14">
      <c r="B72" t="s">
        <v>164</v>
      </c>
      <c r="C72" t="s">
        <v>164</v>
      </c>
      <c r="D72" t="s">
        <v>164</v>
      </c>
      <c r="E72" t="s">
        <v>164</v>
      </c>
      <c r="F72" t="s">
        <v>164</v>
      </c>
      <c r="G72" t="s">
        <v>164</v>
      </c>
      <c r="H72" t="s">
        <v>164</v>
      </c>
      <c r="I72" t="s">
        <v>164</v>
      </c>
      <c r="J72" t="s">
        <v>164</v>
      </c>
      <c r="K72" t="s">
        <v>164</v>
      </c>
      <c r="L72" t="s">
        <v>164</v>
      </c>
      <c r="M72" t="s">
        <v>164</v>
      </c>
    </row>
    <row r="73" spans="1:14">
      <c r="A73" s="276" t="s">
        <v>127</v>
      </c>
      <c r="B73" s="379">
        <f t="shared" ref="B73:M73" si="4">B65*$B56</f>
        <v>0</v>
      </c>
      <c r="C73" s="379">
        <f t="shared" si="4"/>
        <v>0</v>
      </c>
      <c r="D73" s="379">
        <f t="shared" si="4"/>
        <v>0</v>
      </c>
      <c r="E73" s="379">
        <f t="shared" si="4"/>
        <v>0</v>
      </c>
      <c r="F73" s="379">
        <f t="shared" si="4"/>
        <v>0</v>
      </c>
      <c r="G73" s="379">
        <f t="shared" si="4"/>
        <v>0</v>
      </c>
      <c r="H73" s="379">
        <f t="shared" si="4"/>
        <v>0</v>
      </c>
      <c r="I73" s="379">
        <f t="shared" si="4"/>
        <v>0</v>
      </c>
      <c r="J73" s="379">
        <f t="shared" si="4"/>
        <v>0</v>
      </c>
      <c r="K73" s="379">
        <f t="shared" si="4"/>
        <v>0</v>
      </c>
      <c r="L73" s="379">
        <f t="shared" si="4"/>
        <v>0</v>
      </c>
      <c r="M73" s="379">
        <f t="shared" si="4"/>
        <v>0</v>
      </c>
    </row>
    <row r="74" spans="1:14">
      <c r="A74" s="276" t="s">
        <v>61</v>
      </c>
      <c r="B74" s="379">
        <f t="shared" ref="B74:M74" si="5">B66*$B57</f>
        <v>94.135999999999996</v>
      </c>
      <c r="C74" s="379">
        <f t="shared" si="5"/>
        <v>80.072999999999993</v>
      </c>
      <c r="D74" s="379">
        <f t="shared" si="5"/>
        <v>119.82249999999999</v>
      </c>
      <c r="E74" s="379">
        <f t="shared" si="5"/>
        <v>94.279499999999999</v>
      </c>
      <c r="F74" s="379">
        <f t="shared" si="5"/>
        <v>110.85375000000001</v>
      </c>
      <c r="G74" s="379">
        <f t="shared" si="5"/>
        <v>114.51300000000001</v>
      </c>
      <c r="H74" s="379">
        <f t="shared" si="5"/>
        <v>58.332749999999997</v>
      </c>
      <c r="I74" s="379">
        <f t="shared" si="5"/>
        <v>60.269999999999996</v>
      </c>
      <c r="J74" s="379">
        <f t="shared" si="5"/>
        <v>66.296999999999997</v>
      </c>
      <c r="K74" s="379">
        <f t="shared" si="5"/>
        <v>62.207250000000002</v>
      </c>
      <c r="L74" s="379">
        <f t="shared" si="5"/>
        <v>123.98399999999999</v>
      </c>
      <c r="M74" s="379">
        <f t="shared" si="5"/>
        <v>120.1095</v>
      </c>
    </row>
    <row r="75" spans="1:14">
      <c r="A75" s="276" t="s">
        <v>129</v>
      </c>
      <c r="B75" s="379">
        <f t="shared" ref="B75:M75" si="6">B67*$B58</f>
        <v>214.96166666666667</v>
      </c>
      <c r="C75" s="379">
        <f t="shared" si="6"/>
        <v>174.89833333333331</v>
      </c>
      <c r="D75" s="379">
        <f t="shared" si="6"/>
        <v>288.18666666666667</v>
      </c>
      <c r="E75" s="379">
        <f t="shared" si="6"/>
        <v>216.81333333333333</v>
      </c>
      <c r="F75" s="379">
        <f t="shared" si="6"/>
        <v>305.77749999999997</v>
      </c>
      <c r="G75" s="379">
        <f t="shared" si="6"/>
        <v>182.30500000000001</v>
      </c>
      <c r="H75" s="379">
        <f t="shared" si="6"/>
        <v>131.55250000000001</v>
      </c>
      <c r="I75" s="379">
        <f t="shared" si="6"/>
        <v>124.23</v>
      </c>
      <c r="J75" s="379">
        <f t="shared" si="6"/>
        <v>175.48750000000001</v>
      </c>
      <c r="K75" s="379">
        <f t="shared" si="6"/>
        <v>81.557500000000005</v>
      </c>
      <c r="L75" s="379">
        <f t="shared" si="6"/>
        <v>199.47499999999999</v>
      </c>
      <c r="M75" s="379">
        <f t="shared" si="6"/>
        <v>304.01</v>
      </c>
    </row>
    <row r="76" spans="1:14">
      <c r="A76" s="276" t="s">
        <v>161</v>
      </c>
      <c r="B76" s="379">
        <f t="shared" ref="B76:M76" si="7">B68*$B59</f>
        <v>1062.39375</v>
      </c>
      <c r="C76" s="379">
        <f t="shared" si="7"/>
        <v>7763.8447499999993</v>
      </c>
      <c r="D76" s="379">
        <f t="shared" si="7"/>
        <v>0</v>
      </c>
      <c r="E76" s="379">
        <f t="shared" si="7"/>
        <v>1510.5307499999999</v>
      </c>
      <c r="F76" s="379">
        <f t="shared" si="7"/>
        <v>722.42774999999995</v>
      </c>
      <c r="G76" s="379">
        <f t="shared" si="7"/>
        <v>257.55</v>
      </c>
      <c r="H76" s="379">
        <f t="shared" si="7"/>
        <v>3788.5605</v>
      </c>
      <c r="I76" s="379">
        <f t="shared" si="7"/>
        <v>0</v>
      </c>
      <c r="J76" s="379">
        <f t="shared" si="7"/>
        <v>0</v>
      </c>
      <c r="K76" s="379">
        <f t="shared" si="7"/>
        <v>0</v>
      </c>
      <c r="L76" s="379">
        <f t="shared" si="7"/>
        <v>293.60699999999997</v>
      </c>
      <c r="M76" s="379">
        <f t="shared" si="7"/>
        <v>0</v>
      </c>
    </row>
    <row r="77" spans="1:14">
      <c r="A77" s="276" t="s">
        <v>162</v>
      </c>
      <c r="B77" s="379">
        <f t="shared" ref="B77:M77" si="8">B69*$B60</f>
        <v>724.22386666666671</v>
      </c>
      <c r="C77" s="379">
        <f t="shared" si="8"/>
        <v>369.00013333333334</v>
      </c>
      <c r="D77" s="379">
        <f t="shared" si="8"/>
        <v>192.98070000000001</v>
      </c>
      <c r="E77" s="379">
        <f t="shared" si="8"/>
        <v>377.51780000000002</v>
      </c>
      <c r="F77" s="379">
        <f t="shared" si="8"/>
        <v>654.37900000000002</v>
      </c>
      <c r="G77" s="379">
        <f t="shared" si="8"/>
        <v>553.27800000000002</v>
      </c>
      <c r="H77" s="379">
        <f t="shared" si="8"/>
        <v>843.80450000000008</v>
      </c>
      <c r="I77" s="379">
        <f t="shared" si="8"/>
        <v>1222.3222000000001</v>
      </c>
      <c r="J77" s="379">
        <f t="shared" si="8"/>
        <v>733.37110000000007</v>
      </c>
      <c r="K77" s="379">
        <f t="shared" si="8"/>
        <v>1488.5178000000001</v>
      </c>
      <c r="L77" s="379">
        <f t="shared" si="8"/>
        <v>1031.2302</v>
      </c>
      <c r="M77" s="379">
        <f t="shared" si="8"/>
        <v>421.18010000000004</v>
      </c>
    </row>
    <row r="78" spans="1:14">
      <c r="A78" s="87" t="s">
        <v>13</v>
      </c>
      <c r="B78" s="380">
        <f t="shared" ref="B78:M78" si="9">SUM(B73:B77)</f>
        <v>2095.7152833333334</v>
      </c>
      <c r="C78" s="380">
        <f t="shared" si="9"/>
        <v>8387.8162166666662</v>
      </c>
      <c r="D78" s="380">
        <f t="shared" si="9"/>
        <v>600.98986666666667</v>
      </c>
      <c r="E78" s="380">
        <f t="shared" si="9"/>
        <v>2199.1413833333331</v>
      </c>
      <c r="F78" s="380">
        <f t="shared" si="9"/>
        <v>1793.4380000000001</v>
      </c>
      <c r="G78" s="380">
        <f t="shared" si="9"/>
        <v>1107.646</v>
      </c>
      <c r="H78" s="380">
        <f t="shared" si="9"/>
        <v>4822.2502500000001</v>
      </c>
      <c r="I78" s="380">
        <f t="shared" si="9"/>
        <v>1406.8222000000001</v>
      </c>
      <c r="J78" s="380">
        <f t="shared" si="9"/>
        <v>975.15560000000005</v>
      </c>
      <c r="K78" s="380">
        <f t="shared" si="9"/>
        <v>1632.2825500000001</v>
      </c>
      <c r="L78" s="380">
        <f t="shared" si="9"/>
        <v>1648.2962</v>
      </c>
      <c r="M78" s="380">
        <f t="shared" si="9"/>
        <v>845.29960000000005</v>
      </c>
      <c r="N78" s="281">
        <f>SUM(B78:M78)</f>
        <v>27514.853149999995</v>
      </c>
    </row>
    <row r="79" spans="1:14">
      <c r="A79" s="591">
        <v>2014</v>
      </c>
      <c r="B79" s="591"/>
      <c r="C79" s="591"/>
      <c r="D79" s="591"/>
      <c r="E79" s="591"/>
      <c r="F79" s="591"/>
      <c r="G79" s="591"/>
      <c r="H79" s="591"/>
      <c r="I79" s="591"/>
      <c r="J79" s="591"/>
      <c r="K79" s="591"/>
      <c r="L79" s="591"/>
      <c r="M79" s="591"/>
    </row>
    <row r="80" spans="1:14">
      <c r="B80" t="s">
        <v>34</v>
      </c>
      <c r="C80" t="s">
        <v>35</v>
      </c>
      <c r="D80" t="s">
        <v>36</v>
      </c>
      <c r="E80" t="s">
        <v>37</v>
      </c>
      <c r="F80" t="s">
        <v>33</v>
      </c>
      <c r="G80" t="s">
        <v>23</v>
      </c>
      <c r="H80" t="s">
        <v>24</v>
      </c>
      <c r="I80" t="s">
        <v>40</v>
      </c>
      <c r="J80" t="s">
        <v>159</v>
      </c>
      <c r="K80" t="s">
        <v>42</v>
      </c>
      <c r="L80" t="s">
        <v>43</v>
      </c>
      <c r="M80" t="s">
        <v>44</v>
      </c>
    </row>
    <row r="81" spans="1:14">
      <c r="B81" t="s">
        <v>164</v>
      </c>
      <c r="C81" t="s">
        <v>164</v>
      </c>
      <c r="D81" t="s">
        <v>164</v>
      </c>
      <c r="E81" t="s">
        <v>164</v>
      </c>
      <c r="F81" t="s">
        <v>164</v>
      </c>
      <c r="G81" t="s">
        <v>164</v>
      </c>
      <c r="H81" t="s">
        <v>164</v>
      </c>
      <c r="I81" t="s">
        <v>164</v>
      </c>
      <c r="J81" t="s">
        <v>164</v>
      </c>
      <c r="K81" t="s">
        <v>164</v>
      </c>
      <c r="L81" t="s">
        <v>164</v>
      </c>
      <c r="M81" t="s">
        <v>164</v>
      </c>
    </row>
    <row r="82" spans="1:14">
      <c r="A82" s="276" t="s">
        <v>127</v>
      </c>
      <c r="B82" s="379">
        <f t="shared" ref="B82:M82" si="10">B65*$C56</f>
        <v>0</v>
      </c>
      <c r="C82" s="379">
        <f t="shared" si="10"/>
        <v>0</v>
      </c>
      <c r="D82" s="379">
        <f t="shared" si="10"/>
        <v>0</v>
      </c>
      <c r="E82" s="379">
        <f t="shared" si="10"/>
        <v>0</v>
      </c>
      <c r="F82" s="379">
        <f t="shared" si="10"/>
        <v>0</v>
      </c>
      <c r="G82" s="379">
        <f t="shared" si="10"/>
        <v>0</v>
      </c>
      <c r="H82" s="379">
        <f t="shared" si="10"/>
        <v>0</v>
      </c>
      <c r="I82" s="379">
        <f t="shared" si="10"/>
        <v>0</v>
      </c>
      <c r="J82" s="379">
        <f t="shared" si="10"/>
        <v>0</v>
      </c>
      <c r="K82" s="379">
        <f t="shared" si="10"/>
        <v>0</v>
      </c>
      <c r="L82" s="379">
        <f t="shared" si="10"/>
        <v>0</v>
      </c>
      <c r="M82" s="379">
        <f t="shared" si="10"/>
        <v>0</v>
      </c>
    </row>
    <row r="83" spans="1:14">
      <c r="A83" s="276" t="s">
        <v>61</v>
      </c>
      <c r="B83" s="379">
        <f t="shared" ref="B83:M83" si="11">B66*$C57</f>
        <v>96.960079999999991</v>
      </c>
      <c r="C83" s="379">
        <f t="shared" si="11"/>
        <v>82.475189999999998</v>
      </c>
      <c r="D83" s="379">
        <f t="shared" si="11"/>
        <v>123.41717499999999</v>
      </c>
      <c r="E83" s="379">
        <f t="shared" si="11"/>
        <v>97.107884999999996</v>
      </c>
      <c r="F83" s="379">
        <f t="shared" si="11"/>
        <v>114.1793625</v>
      </c>
      <c r="G83" s="379">
        <f t="shared" si="11"/>
        <v>117.94839</v>
      </c>
      <c r="H83" s="379">
        <f t="shared" si="11"/>
        <v>60.082732499999999</v>
      </c>
      <c r="I83" s="379">
        <f t="shared" si="11"/>
        <v>62.078099999999999</v>
      </c>
      <c r="J83" s="379">
        <f t="shared" si="11"/>
        <v>68.285910000000001</v>
      </c>
      <c r="K83" s="379">
        <f t="shared" si="11"/>
        <v>64.073467500000007</v>
      </c>
      <c r="L83" s="379">
        <f t="shared" si="11"/>
        <v>127.70352</v>
      </c>
      <c r="M83" s="379">
        <f t="shared" si="11"/>
        <v>123.712785</v>
      </c>
    </row>
    <row r="84" spans="1:14">
      <c r="A84" s="276" t="s">
        <v>129</v>
      </c>
      <c r="B84" s="379">
        <f t="shared" ref="B84:M84" si="12">B67*$C58</f>
        <v>221.41051666666667</v>
      </c>
      <c r="C84" s="379">
        <f t="shared" si="12"/>
        <v>180.14528333333331</v>
      </c>
      <c r="D84" s="379">
        <f t="shared" si="12"/>
        <v>296.83226666666667</v>
      </c>
      <c r="E84" s="379">
        <f t="shared" si="12"/>
        <v>223.31773333333334</v>
      </c>
      <c r="F84" s="379">
        <f t="shared" si="12"/>
        <v>314.95082500000001</v>
      </c>
      <c r="G84" s="379">
        <f t="shared" si="12"/>
        <v>187.77414999999999</v>
      </c>
      <c r="H84" s="379">
        <f t="shared" si="12"/>
        <v>135.499075</v>
      </c>
      <c r="I84" s="379">
        <f t="shared" si="12"/>
        <v>127.9569</v>
      </c>
      <c r="J84" s="379">
        <f t="shared" si="12"/>
        <v>180.75212500000001</v>
      </c>
      <c r="K84" s="379">
        <f t="shared" si="12"/>
        <v>84.004225000000005</v>
      </c>
      <c r="L84" s="379">
        <f t="shared" si="12"/>
        <v>205.45925</v>
      </c>
      <c r="M84" s="379">
        <f t="shared" si="12"/>
        <v>313.13029999999998</v>
      </c>
    </row>
    <row r="85" spans="1:14">
      <c r="A85" s="276" t="s">
        <v>161</v>
      </c>
      <c r="B85" s="379">
        <f t="shared" ref="B85:M85" si="13">B68*$C59</f>
        <v>1094.2655625</v>
      </c>
      <c r="C85" s="379">
        <f t="shared" si="13"/>
        <v>7996.7600924999997</v>
      </c>
      <c r="D85" s="379">
        <f t="shared" si="13"/>
        <v>0</v>
      </c>
      <c r="E85" s="379">
        <f t="shared" si="13"/>
        <v>1555.8466725000001</v>
      </c>
      <c r="F85" s="379">
        <f t="shared" si="13"/>
        <v>744.10058249999997</v>
      </c>
      <c r="G85" s="379">
        <f t="shared" si="13"/>
        <v>265.2765</v>
      </c>
      <c r="H85" s="379">
        <f t="shared" si="13"/>
        <v>3902.2173149999999</v>
      </c>
      <c r="I85" s="379">
        <f t="shared" si="13"/>
        <v>0</v>
      </c>
      <c r="J85" s="379">
        <f t="shared" si="13"/>
        <v>0</v>
      </c>
      <c r="K85" s="379">
        <f t="shared" si="13"/>
        <v>0</v>
      </c>
      <c r="L85" s="379">
        <f t="shared" si="13"/>
        <v>302.41521</v>
      </c>
      <c r="M85" s="379">
        <f t="shared" si="13"/>
        <v>0</v>
      </c>
    </row>
    <row r="86" spans="1:14">
      <c r="A86" s="276" t="s">
        <v>162</v>
      </c>
      <c r="B86" s="379">
        <f t="shared" ref="B86:M86" si="14">B69*$C60</f>
        <v>745.95058266666672</v>
      </c>
      <c r="C86" s="379">
        <f t="shared" si="14"/>
        <v>380.07013733333338</v>
      </c>
      <c r="D86" s="379">
        <f t="shared" si="14"/>
        <v>198.77012100000002</v>
      </c>
      <c r="E86" s="379">
        <f t="shared" si="14"/>
        <v>388.84333400000003</v>
      </c>
      <c r="F86" s="379">
        <f t="shared" si="14"/>
        <v>674.01037000000008</v>
      </c>
      <c r="G86" s="379">
        <f t="shared" si="14"/>
        <v>569.87634000000003</v>
      </c>
      <c r="H86" s="379">
        <f t="shared" si="14"/>
        <v>869.11863500000004</v>
      </c>
      <c r="I86" s="379">
        <f t="shared" si="14"/>
        <v>1258.9918660000001</v>
      </c>
      <c r="J86" s="379">
        <f t="shared" si="14"/>
        <v>755.37223300000005</v>
      </c>
      <c r="K86" s="379">
        <f t="shared" si="14"/>
        <v>1533.1733340000001</v>
      </c>
      <c r="L86" s="379">
        <f t="shared" si="14"/>
        <v>1062.1671060000001</v>
      </c>
      <c r="M86" s="379">
        <f t="shared" si="14"/>
        <v>433.81550300000004</v>
      </c>
    </row>
    <row r="87" spans="1:14">
      <c r="A87" s="87" t="s">
        <v>13</v>
      </c>
      <c r="B87" s="380">
        <f t="shared" ref="B87:M87" si="15">SUM(B82:B86)</f>
        <v>2158.5867418333332</v>
      </c>
      <c r="C87" s="380">
        <f t="shared" si="15"/>
        <v>8639.4507031666672</v>
      </c>
      <c r="D87" s="380">
        <f t="shared" si="15"/>
        <v>619.01956266666662</v>
      </c>
      <c r="E87" s="380">
        <f t="shared" si="15"/>
        <v>2265.1156248333336</v>
      </c>
      <c r="F87" s="380">
        <f t="shared" si="15"/>
        <v>1847.2411400000001</v>
      </c>
      <c r="G87" s="380">
        <f t="shared" si="15"/>
        <v>1140.87538</v>
      </c>
      <c r="H87" s="380">
        <f t="shared" si="15"/>
        <v>4966.9177574999994</v>
      </c>
      <c r="I87" s="380">
        <f t="shared" si="15"/>
        <v>1449.0268660000002</v>
      </c>
      <c r="J87" s="380">
        <f t="shared" si="15"/>
        <v>1004.4102680000001</v>
      </c>
      <c r="K87" s="380">
        <f t="shared" si="15"/>
        <v>1681.2510265000001</v>
      </c>
      <c r="L87" s="380">
        <f t="shared" si="15"/>
        <v>1697.7450860000001</v>
      </c>
      <c r="M87" s="380">
        <f t="shared" si="15"/>
        <v>870.65858800000001</v>
      </c>
      <c r="N87" s="281">
        <f>SUM(B87:M87)</f>
        <v>28340.2987445</v>
      </c>
    </row>
  </sheetData>
  <mergeCells count="11">
    <mergeCell ref="A70:M70"/>
    <mergeCell ref="A79:M79"/>
    <mergeCell ref="A62:M62"/>
    <mergeCell ref="A54:M54"/>
    <mergeCell ref="A27:M27"/>
    <mergeCell ref="A36:M36"/>
    <mergeCell ref="A1:M1"/>
    <mergeCell ref="A2:M2"/>
    <mergeCell ref="A10:M10"/>
    <mergeCell ref="A18:M18"/>
    <mergeCell ref="A45:M45"/>
  </mergeCells>
  <phoneticPr fontId="6" type="noConversion"/>
  <pageMargins left="0.75" right="0.75" top="1" bottom="1" header="0.5" footer="0.5"/>
  <pageSetup scale="61" orientation="portrait" r:id="rId1"/>
  <headerFooter alignWithMargins="0"/>
</worksheet>
</file>

<file path=xl/worksheets/sheet6.xml><?xml version="1.0" encoding="utf-8"?>
<worksheet xmlns="http://schemas.openxmlformats.org/spreadsheetml/2006/main" xmlns:r="http://schemas.openxmlformats.org/officeDocument/2006/relationships">
  <dimension ref="A1:N42"/>
  <sheetViews>
    <sheetView view="pageBreakPreview" zoomScale="60" zoomScaleNormal="100" workbookViewId="0">
      <selection activeCell="B27" sqref="B27"/>
    </sheetView>
  </sheetViews>
  <sheetFormatPr defaultRowHeight="12.75"/>
  <cols>
    <col min="1" max="1" width="16.140625" bestFit="1" customWidth="1"/>
    <col min="2" max="2" width="11.42578125" bestFit="1" customWidth="1"/>
    <col min="3" max="3" width="9.7109375" bestFit="1" customWidth="1"/>
    <col min="4" max="5" width="9.85546875" bestFit="1" customWidth="1"/>
    <col min="6" max="7" width="10.42578125" bestFit="1" customWidth="1"/>
    <col min="8" max="8" width="9.7109375" bestFit="1" customWidth="1"/>
    <col min="9" max="9" width="10.42578125" bestFit="1" customWidth="1"/>
    <col min="10" max="10" width="9.85546875" bestFit="1" customWidth="1"/>
    <col min="11" max="12" width="10.42578125" bestFit="1" customWidth="1"/>
    <col min="13" max="13" width="9.85546875" bestFit="1" customWidth="1"/>
    <col min="14" max="14" width="12" bestFit="1" customWidth="1"/>
  </cols>
  <sheetData>
    <row r="1" spans="1:13">
      <c r="A1" s="591">
        <v>2007</v>
      </c>
      <c r="B1" s="591"/>
      <c r="C1" s="591"/>
      <c r="D1" s="591"/>
      <c r="E1" s="591"/>
      <c r="F1" s="591"/>
      <c r="G1" s="591"/>
      <c r="H1" s="591"/>
      <c r="I1" s="591"/>
      <c r="J1" s="591"/>
      <c r="K1" s="591"/>
      <c r="L1" s="591"/>
      <c r="M1" s="591"/>
    </row>
    <row r="2" spans="1:13">
      <c r="B2" t="s">
        <v>34</v>
      </c>
      <c r="C2" t="s">
        <v>35</v>
      </c>
      <c r="D2" t="s">
        <v>36</v>
      </c>
      <c r="E2" t="s">
        <v>32</v>
      </c>
      <c r="F2" t="s">
        <v>33</v>
      </c>
      <c r="G2" t="s">
        <v>23</v>
      </c>
      <c r="H2" t="s">
        <v>24</v>
      </c>
      <c r="I2" t="s">
        <v>40</v>
      </c>
      <c r="J2" t="s">
        <v>41</v>
      </c>
      <c r="K2" t="s">
        <v>42</v>
      </c>
      <c r="L2" t="s">
        <v>43</v>
      </c>
      <c r="M2" t="s">
        <v>44</v>
      </c>
    </row>
    <row r="3" spans="1:13">
      <c r="A3" t="s">
        <v>109</v>
      </c>
      <c r="B3">
        <v>171</v>
      </c>
      <c r="C3">
        <v>96</v>
      </c>
      <c r="D3">
        <v>17</v>
      </c>
      <c r="E3">
        <v>133</v>
      </c>
      <c r="F3">
        <v>85</v>
      </c>
      <c r="G3">
        <v>76</v>
      </c>
      <c r="H3">
        <v>65</v>
      </c>
      <c r="I3">
        <v>100</v>
      </c>
      <c r="J3">
        <v>76</v>
      </c>
      <c r="K3">
        <v>81</v>
      </c>
      <c r="L3">
        <v>89</v>
      </c>
      <c r="M3">
        <v>50</v>
      </c>
    </row>
    <row r="4" spans="1:13">
      <c r="A4" t="s">
        <v>154</v>
      </c>
      <c r="B4">
        <v>126</v>
      </c>
      <c r="C4">
        <v>56</v>
      </c>
      <c r="D4">
        <v>67</v>
      </c>
      <c r="E4">
        <v>91</v>
      </c>
      <c r="F4">
        <v>135</v>
      </c>
      <c r="G4">
        <v>65</v>
      </c>
      <c r="H4">
        <v>131</v>
      </c>
      <c r="I4">
        <v>60</v>
      </c>
      <c r="J4">
        <v>146</v>
      </c>
      <c r="K4">
        <v>112</v>
      </c>
      <c r="L4">
        <v>132</v>
      </c>
      <c r="M4">
        <v>42</v>
      </c>
    </row>
    <row r="5" spans="1:13">
      <c r="A5" s="591">
        <v>2008</v>
      </c>
      <c r="B5" s="591"/>
      <c r="C5" s="591"/>
      <c r="D5" s="591"/>
      <c r="E5" s="591"/>
      <c r="F5" s="591"/>
      <c r="G5" s="591"/>
      <c r="H5" s="591"/>
      <c r="I5" s="591"/>
      <c r="J5" s="591"/>
      <c r="K5" s="591"/>
      <c r="L5" s="591"/>
      <c r="M5" s="591"/>
    </row>
    <row r="6" spans="1:13">
      <c r="B6" t="s">
        <v>34</v>
      </c>
      <c r="C6" t="s">
        <v>35</v>
      </c>
      <c r="D6" t="s">
        <v>36</v>
      </c>
      <c r="E6" t="s">
        <v>32</v>
      </c>
      <c r="F6" t="s">
        <v>33</v>
      </c>
      <c r="G6" t="s">
        <v>23</v>
      </c>
      <c r="H6" t="s">
        <v>24</v>
      </c>
      <c r="I6" t="s">
        <v>40</v>
      </c>
      <c r="J6" t="s">
        <v>41</v>
      </c>
      <c r="K6" t="s">
        <v>42</v>
      </c>
      <c r="L6" t="s">
        <v>43</v>
      </c>
      <c r="M6" t="s">
        <v>44</v>
      </c>
    </row>
    <row r="7" spans="1:13">
      <c r="A7" t="s">
        <v>109</v>
      </c>
      <c r="B7">
        <v>57</v>
      </c>
      <c r="C7">
        <v>37</v>
      </c>
      <c r="D7">
        <v>75</v>
      </c>
      <c r="E7">
        <v>55</v>
      </c>
      <c r="F7">
        <v>31</v>
      </c>
      <c r="G7">
        <v>20</v>
      </c>
      <c r="H7">
        <v>14</v>
      </c>
      <c r="I7">
        <v>80</v>
      </c>
      <c r="J7">
        <v>52</v>
      </c>
      <c r="K7">
        <v>17</v>
      </c>
      <c r="L7">
        <v>66</v>
      </c>
      <c r="M7">
        <v>66</v>
      </c>
    </row>
    <row r="8" spans="1:13">
      <c r="A8" t="s">
        <v>154</v>
      </c>
      <c r="B8">
        <v>68</v>
      </c>
      <c r="C8">
        <v>44</v>
      </c>
      <c r="D8">
        <v>35</v>
      </c>
      <c r="E8">
        <v>74</v>
      </c>
      <c r="F8">
        <v>55</v>
      </c>
      <c r="G8">
        <v>13</v>
      </c>
      <c r="H8">
        <v>27</v>
      </c>
      <c r="I8">
        <v>8</v>
      </c>
      <c r="J8">
        <v>156</v>
      </c>
      <c r="K8">
        <v>66</v>
      </c>
      <c r="L8">
        <v>197</v>
      </c>
      <c r="M8">
        <v>83</v>
      </c>
    </row>
    <row r="9" spans="1:13">
      <c r="A9" s="591">
        <v>2009</v>
      </c>
      <c r="B9" s="591"/>
      <c r="C9" s="591"/>
      <c r="D9" s="591"/>
      <c r="E9" s="591"/>
      <c r="F9" s="591"/>
      <c r="G9" s="591"/>
      <c r="H9" s="591"/>
      <c r="I9" s="591"/>
      <c r="J9" s="591"/>
      <c r="K9" s="591"/>
      <c r="L9" s="591"/>
      <c r="M9" s="591"/>
    </row>
    <row r="10" spans="1:13">
      <c r="B10" t="s">
        <v>34</v>
      </c>
      <c r="C10" t="s">
        <v>35</v>
      </c>
      <c r="D10" t="s">
        <v>36</v>
      </c>
      <c r="E10" t="s">
        <v>32</v>
      </c>
      <c r="F10" t="s">
        <v>33</v>
      </c>
      <c r="G10" t="s">
        <v>23</v>
      </c>
      <c r="H10" t="s">
        <v>24</v>
      </c>
      <c r="I10" t="s">
        <v>40</v>
      </c>
      <c r="J10" t="s">
        <v>41</v>
      </c>
      <c r="K10" t="s">
        <v>42</v>
      </c>
      <c r="L10" t="s">
        <v>43</v>
      </c>
      <c r="M10" t="s">
        <v>44</v>
      </c>
    </row>
    <row r="11" spans="1:13">
      <c r="A11" t="s">
        <v>109</v>
      </c>
      <c r="B11">
        <v>88</v>
      </c>
      <c r="C11">
        <v>16</v>
      </c>
      <c r="D11">
        <v>20</v>
      </c>
      <c r="E11">
        <v>55</v>
      </c>
      <c r="F11">
        <v>131</v>
      </c>
      <c r="G11">
        <v>54</v>
      </c>
      <c r="H11">
        <v>20</v>
      </c>
      <c r="I11">
        <v>54</v>
      </c>
      <c r="J11">
        <v>146</v>
      </c>
      <c r="K11">
        <v>69</v>
      </c>
      <c r="L11">
        <v>58</v>
      </c>
      <c r="M11">
        <v>85</v>
      </c>
    </row>
    <row r="12" spans="1:13">
      <c r="A12" t="s">
        <v>154</v>
      </c>
      <c r="B12">
        <v>128</v>
      </c>
      <c r="C12">
        <v>43</v>
      </c>
      <c r="D12">
        <v>100</v>
      </c>
      <c r="E12">
        <v>119</v>
      </c>
      <c r="F12">
        <v>140</v>
      </c>
      <c r="G12">
        <v>135</v>
      </c>
      <c r="H12">
        <v>76</v>
      </c>
      <c r="I12">
        <v>123</v>
      </c>
      <c r="J12">
        <v>147</v>
      </c>
      <c r="K12">
        <v>152</v>
      </c>
      <c r="L12">
        <v>49</v>
      </c>
      <c r="M12">
        <v>64</v>
      </c>
    </row>
    <row r="13" spans="1:13">
      <c r="A13" s="591">
        <v>2010</v>
      </c>
      <c r="B13" s="591"/>
      <c r="C13" s="591"/>
      <c r="D13" s="591"/>
      <c r="E13" s="591"/>
      <c r="F13" s="591"/>
      <c r="G13" s="591"/>
      <c r="H13" s="591"/>
      <c r="I13" s="591"/>
      <c r="J13" s="591"/>
      <c r="K13" s="591"/>
      <c r="L13" s="591"/>
      <c r="M13" s="591"/>
    </row>
    <row r="14" spans="1:13">
      <c r="B14" t="s">
        <v>34</v>
      </c>
      <c r="C14" t="s">
        <v>35</v>
      </c>
      <c r="D14" t="s">
        <v>36</v>
      </c>
      <c r="E14" t="s">
        <v>32</v>
      </c>
      <c r="F14" t="s">
        <v>33</v>
      </c>
      <c r="G14" t="s">
        <v>23</v>
      </c>
      <c r="H14" t="s">
        <v>24</v>
      </c>
      <c r="I14" t="s">
        <v>40</v>
      </c>
      <c r="J14" t="s">
        <v>41</v>
      </c>
      <c r="K14" t="s">
        <v>42</v>
      </c>
      <c r="L14" t="s">
        <v>43</v>
      </c>
      <c r="M14" t="s">
        <v>44</v>
      </c>
    </row>
    <row r="15" spans="1:13">
      <c r="A15" t="s">
        <v>109</v>
      </c>
      <c r="B15">
        <v>62</v>
      </c>
      <c r="C15">
        <v>23</v>
      </c>
      <c r="D15">
        <v>63</v>
      </c>
      <c r="E15">
        <v>47</v>
      </c>
      <c r="F15">
        <v>77</v>
      </c>
      <c r="G15">
        <v>58</v>
      </c>
      <c r="H15">
        <v>54</v>
      </c>
      <c r="I15">
        <v>98</v>
      </c>
      <c r="J15">
        <v>73</v>
      </c>
      <c r="K15">
        <v>225</v>
      </c>
      <c r="L15">
        <v>180</v>
      </c>
      <c r="M15">
        <v>90</v>
      </c>
    </row>
    <row r="16" spans="1:13">
      <c r="A16" t="s">
        <v>154</v>
      </c>
      <c r="B16">
        <v>113</v>
      </c>
      <c r="C16">
        <v>195</v>
      </c>
      <c r="D16">
        <v>58</v>
      </c>
      <c r="E16">
        <v>44</v>
      </c>
      <c r="F16">
        <v>123</v>
      </c>
      <c r="G16">
        <v>188</v>
      </c>
      <c r="H16">
        <v>105</v>
      </c>
      <c r="I16">
        <v>221</v>
      </c>
      <c r="J16">
        <v>121</v>
      </c>
      <c r="K16">
        <v>213</v>
      </c>
      <c r="L16">
        <v>33</v>
      </c>
      <c r="M16">
        <v>180</v>
      </c>
    </row>
    <row r="17" spans="1:13">
      <c r="A17" s="591">
        <v>2011</v>
      </c>
      <c r="B17" s="591"/>
      <c r="C17" s="591"/>
      <c r="D17" s="591"/>
      <c r="E17" s="591"/>
      <c r="F17" s="591"/>
      <c r="G17" s="591"/>
      <c r="H17" s="591"/>
      <c r="I17" s="591"/>
      <c r="J17" s="591"/>
      <c r="K17" s="591"/>
      <c r="L17" s="591"/>
      <c r="M17" s="591"/>
    </row>
    <row r="18" spans="1:13">
      <c r="B18" t="s">
        <v>34</v>
      </c>
      <c r="C18" t="s">
        <v>35</v>
      </c>
      <c r="D18" t="s">
        <v>36</v>
      </c>
      <c r="E18" t="s">
        <v>32</v>
      </c>
      <c r="F18" t="s">
        <v>33</v>
      </c>
      <c r="G18" t="s">
        <v>23</v>
      </c>
      <c r="H18" t="s">
        <v>24</v>
      </c>
      <c r="I18" t="s">
        <v>40</v>
      </c>
      <c r="J18" t="s">
        <v>41</v>
      </c>
      <c r="K18" t="s">
        <v>42</v>
      </c>
      <c r="L18" t="s">
        <v>43</v>
      </c>
      <c r="M18" t="s">
        <v>44</v>
      </c>
    </row>
    <row r="19" spans="1:13">
      <c r="A19" t="s">
        <v>109</v>
      </c>
      <c r="B19">
        <v>34</v>
      </c>
      <c r="C19">
        <v>101</v>
      </c>
      <c r="D19">
        <v>45</v>
      </c>
      <c r="E19">
        <v>90</v>
      </c>
      <c r="F19">
        <v>75</v>
      </c>
      <c r="G19">
        <v>150</v>
      </c>
      <c r="H19">
        <v>55</v>
      </c>
      <c r="I19">
        <v>70</v>
      </c>
      <c r="J19">
        <v>15</v>
      </c>
      <c r="K19">
        <v>88</v>
      </c>
      <c r="L19">
        <v>198</v>
      </c>
      <c r="M19">
        <v>67</v>
      </c>
    </row>
    <row r="20" spans="1:13">
      <c r="A20" t="s">
        <v>154</v>
      </c>
      <c r="B20">
        <v>45</v>
      </c>
      <c r="C20">
        <v>90</v>
      </c>
      <c r="D20">
        <v>180</v>
      </c>
      <c r="E20">
        <v>90</v>
      </c>
      <c r="F20">
        <v>75</v>
      </c>
      <c r="G20">
        <v>150</v>
      </c>
      <c r="H20">
        <v>30</v>
      </c>
      <c r="I20">
        <v>50</v>
      </c>
      <c r="J20">
        <v>20</v>
      </c>
      <c r="K20">
        <v>88</v>
      </c>
      <c r="L20">
        <v>67</v>
      </c>
      <c r="M20">
        <v>57</v>
      </c>
    </row>
    <row r="21" spans="1:13">
      <c r="A21" s="591">
        <v>2012</v>
      </c>
      <c r="B21" s="591"/>
      <c r="C21" s="591"/>
      <c r="D21" s="591"/>
      <c r="E21" s="591"/>
      <c r="F21" s="591"/>
      <c r="G21" s="591"/>
      <c r="H21" s="591"/>
      <c r="I21" s="591"/>
      <c r="J21" s="591"/>
      <c r="K21" s="591"/>
      <c r="L21" s="591"/>
      <c r="M21" s="591"/>
    </row>
    <row r="22" spans="1:13">
      <c r="B22" t="s">
        <v>34</v>
      </c>
      <c r="C22" t="s">
        <v>35</v>
      </c>
      <c r="D22" t="s">
        <v>36</v>
      </c>
      <c r="E22" t="s">
        <v>32</v>
      </c>
      <c r="F22" t="s">
        <v>33</v>
      </c>
      <c r="G22" t="s">
        <v>23</v>
      </c>
      <c r="H22" t="s">
        <v>24</v>
      </c>
      <c r="I22" t="s">
        <v>40</v>
      </c>
      <c r="J22" t="s">
        <v>41</v>
      </c>
      <c r="K22" t="s">
        <v>42</v>
      </c>
      <c r="L22" t="s">
        <v>43</v>
      </c>
      <c r="M22" t="s">
        <v>44</v>
      </c>
    </row>
    <row r="23" spans="1:13">
      <c r="A23" t="s">
        <v>109</v>
      </c>
      <c r="B23">
        <v>34</v>
      </c>
      <c r="C23">
        <v>23</v>
      </c>
      <c r="D23">
        <v>34</v>
      </c>
      <c r="E23">
        <v>25</v>
      </c>
    </row>
    <row r="24" spans="1:13">
      <c r="A24" t="s">
        <v>154</v>
      </c>
      <c r="B24">
        <v>78</v>
      </c>
      <c r="C24">
        <v>30</v>
      </c>
      <c r="D24">
        <v>48</v>
      </c>
      <c r="E24">
        <v>40</v>
      </c>
    </row>
    <row r="25" spans="1:13">
      <c r="A25" s="591" t="s">
        <v>155</v>
      </c>
      <c r="B25" s="591"/>
      <c r="C25" s="591"/>
      <c r="D25" s="591"/>
      <c r="E25" s="591"/>
      <c r="F25" s="591"/>
      <c r="G25" s="591"/>
      <c r="H25" s="591"/>
      <c r="I25" s="591"/>
      <c r="J25" s="591"/>
      <c r="K25" s="591"/>
      <c r="L25" s="591"/>
      <c r="M25" s="591"/>
    </row>
    <row r="26" spans="1:13">
      <c r="B26" t="s">
        <v>34</v>
      </c>
      <c r="C26" t="s">
        <v>35</v>
      </c>
      <c r="D26" t="s">
        <v>36</v>
      </c>
      <c r="E26" t="s">
        <v>32</v>
      </c>
      <c r="F26" t="s">
        <v>33</v>
      </c>
      <c r="G26" t="s">
        <v>23</v>
      </c>
      <c r="H26" t="s">
        <v>24</v>
      </c>
      <c r="I26" t="s">
        <v>40</v>
      </c>
      <c r="J26" t="s">
        <v>41</v>
      </c>
      <c r="K26" t="s">
        <v>42</v>
      </c>
      <c r="L26" t="s">
        <v>43</v>
      </c>
      <c r="M26" t="s">
        <v>44</v>
      </c>
    </row>
    <row r="27" spans="1:13">
      <c r="A27" t="s">
        <v>109</v>
      </c>
      <c r="B27" s="7">
        <f>AVERAGE(B11,B15,B19, B23)</f>
        <v>54.5</v>
      </c>
      <c r="C27" s="7">
        <f t="shared" ref="C27:M28" si="0">AVERAGE(C11,C15,C19, C23)</f>
        <v>40.75</v>
      </c>
      <c r="D27" s="7">
        <f t="shared" si="0"/>
        <v>40.5</v>
      </c>
      <c r="E27" s="7">
        <f t="shared" si="0"/>
        <v>54.25</v>
      </c>
      <c r="F27" s="7">
        <f t="shared" si="0"/>
        <v>94.333333333333329</v>
      </c>
      <c r="G27" s="7">
        <f t="shared" si="0"/>
        <v>87.333333333333329</v>
      </c>
      <c r="H27" s="7">
        <f t="shared" si="0"/>
        <v>43</v>
      </c>
      <c r="I27" s="7">
        <f t="shared" si="0"/>
        <v>74</v>
      </c>
      <c r="J27" s="7">
        <f t="shared" si="0"/>
        <v>78</v>
      </c>
      <c r="K27" s="7">
        <f t="shared" si="0"/>
        <v>127.33333333333333</v>
      </c>
      <c r="L27" s="7">
        <f t="shared" si="0"/>
        <v>145.33333333333334</v>
      </c>
      <c r="M27" s="7">
        <f t="shared" si="0"/>
        <v>80.666666666666671</v>
      </c>
    </row>
    <row r="28" spans="1:13">
      <c r="A28" t="s">
        <v>154</v>
      </c>
      <c r="B28" s="7">
        <f>AVERAGE(B12,B16,B20, B24)</f>
        <v>91</v>
      </c>
      <c r="C28" s="7">
        <f t="shared" si="0"/>
        <v>89.5</v>
      </c>
      <c r="D28" s="7">
        <f t="shared" si="0"/>
        <v>96.5</v>
      </c>
      <c r="E28" s="7">
        <f t="shared" si="0"/>
        <v>73.25</v>
      </c>
      <c r="F28" s="7">
        <f t="shared" si="0"/>
        <v>112.66666666666667</v>
      </c>
      <c r="G28" s="7">
        <f t="shared" si="0"/>
        <v>157.66666666666666</v>
      </c>
      <c r="H28" s="7">
        <f t="shared" si="0"/>
        <v>70.333333333333329</v>
      </c>
      <c r="I28" s="7">
        <f t="shared" si="0"/>
        <v>131.33333333333334</v>
      </c>
      <c r="J28" s="7">
        <f t="shared" si="0"/>
        <v>96</v>
      </c>
      <c r="K28" s="7">
        <f t="shared" si="0"/>
        <v>151</v>
      </c>
      <c r="L28" s="7">
        <f t="shared" si="0"/>
        <v>49.666666666666664</v>
      </c>
      <c r="M28" s="7">
        <f t="shared" si="0"/>
        <v>100.33333333333333</v>
      </c>
    </row>
    <row r="29" spans="1:13">
      <c r="A29" s="591" t="s">
        <v>156</v>
      </c>
      <c r="B29" s="591"/>
      <c r="C29" s="591"/>
      <c r="D29" s="591"/>
      <c r="E29" s="591"/>
      <c r="F29" s="591"/>
      <c r="G29" s="591"/>
      <c r="H29" s="591"/>
      <c r="I29" s="591"/>
      <c r="J29" s="591"/>
      <c r="K29" s="591"/>
      <c r="L29" s="591"/>
      <c r="M29" s="591"/>
    </row>
    <row r="30" spans="1:13">
      <c r="A30" s="226"/>
      <c r="B30" s="226">
        <v>2013</v>
      </c>
      <c r="C30" s="226">
        <v>2014</v>
      </c>
      <c r="D30" s="226"/>
      <c r="E30" s="226"/>
      <c r="F30" s="226"/>
      <c r="G30" s="226"/>
    </row>
    <row r="31" spans="1:13">
      <c r="A31" s="276" t="s">
        <v>61</v>
      </c>
      <c r="B31" s="280">
        <f>'Price Changes'!D82</f>
        <v>2.016</v>
      </c>
      <c r="C31" s="280">
        <f>'Price Changes'!F82</f>
        <v>2.1168</v>
      </c>
      <c r="D31" s="277"/>
      <c r="E31" s="277"/>
      <c r="F31" s="277"/>
      <c r="G31" s="277"/>
    </row>
    <row r="32" spans="1:13">
      <c r="A32" s="276" t="s">
        <v>157</v>
      </c>
      <c r="B32" s="280">
        <f>'Price Changes'!D83</f>
        <v>0.5454</v>
      </c>
      <c r="C32" s="280">
        <f>'Price Changes'!F83</f>
        <v>0.56176199999999998</v>
      </c>
      <c r="D32" s="277"/>
      <c r="E32" s="277"/>
      <c r="F32" s="277"/>
      <c r="G32" s="277"/>
    </row>
    <row r="33" spans="1:14">
      <c r="A33" s="591">
        <v>2013</v>
      </c>
      <c r="B33" s="591"/>
      <c r="C33" s="591"/>
      <c r="D33" s="591"/>
      <c r="E33" s="591"/>
      <c r="F33" s="591"/>
      <c r="G33" s="591"/>
      <c r="H33" s="591"/>
      <c r="I33" s="591"/>
      <c r="J33" s="591"/>
      <c r="K33" s="591"/>
      <c r="L33" s="591"/>
      <c r="M33" s="591"/>
    </row>
    <row r="34" spans="1:14">
      <c r="B34" t="s">
        <v>34</v>
      </c>
      <c r="C34" t="s">
        <v>35</v>
      </c>
      <c r="D34" t="s">
        <v>36</v>
      </c>
      <c r="E34" t="s">
        <v>32</v>
      </c>
      <c r="F34" t="s">
        <v>33</v>
      </c>
      <c r="G34" t="s">
        <v>23</v>
      </c>
      <c r="H34" t="s">
        <v>24</v>
      </c>
      <c r="I34" t="s">
        <v>40</v>
      </c>
      <c r="J34" t="s">
        <v>41</v>
      </c>
      <c r="K34" t="s">
        <v>42</v>
      </c>
      <c r="L34" t="s">
        <v>43</v>
      </c>
      <c r="M34" t="s">
        <v>44</v>
      </c>
    </row>
    <row r="35" spans="1:14">
      <c r="A35" t="s">
        <v>109</v>
      </c>
      <c r="B35" s="278">
        <f t="shared" ref="B35:M35" si="1">B27*$B31</f>
        <v>109.872</v>
      </c>
      <c r="C35" s="278">
        <f t="shared" si="1"/>
        <v>82.152000000000001</v>
      </c>
      <c r="D35" s="278">
        <f t="shared" si="1"/>
        <v>81.647999999999996</v>
      </c>
      <c r="E35" s="278">
        <f t="shared" si="1"/>
        <v>109.36799999999999</v>
      </c>
      <c r="F35" s="278">
        <f t="shared" si="1"/>
        <v>190.17599999999999</v>
      </c>
      <c r="G35" s="278">
        <f t="shared" si="1"/>
        <v>176.06399999999999</v>
      </c>
      <c r="H35" s="278">
        <f t="shared" si="1"/>
        <v>86.688000000000002</v>
      </c>
      <c r="I35" s="278">
        <f t="shared" si="1"/>
        <v>149.184</v>
      </c>
      <c r="J35" s="278">
        <f t="shared" si="1"/>
        <v>157.24799999999999</v>
      </c>
      <c r="K35" s="278">
        <f t="shared" si="1"/>
        <v>256.70400000000001</v>
      </c>
      <c r="L35" s="278">
        <f t="shared" si="1"/>
        <v>292.99200000000002</v>
      </c>
      <c r="M35" s="278">
        <f t="shared" si="1"/>
        <v>162.62400000000002</v>
      </c>
      <c r="N35" s="278"/>
    </row>
    <row r="36" spans="1:14">
      <c r="A36" t="s">
        <v>154</v>
      </c>
      <c r="B36" s="278">
        <f t="shared" ref="B36:M36" si="2">B28*$B32</f>
        <v>49.631399999999999</v>
      </c>
      <c r="C36" s="278">
        <f t="shared" si="2"/>
        <v>48.813299999999998</v>
      </c>
      <c r="D36" s="278">
        <f t="shared" si="2"/>
        <v>52.631099999999996</v>
      </c>
      <c r="E36" s="278">
        <f t="shared" si="2"/>
        <v>39.95055</v>
      </c>
      <c r="F36" s="278">
        <f t="shared" si="2"/>
        <v>61.448399999999999</v>
      </c>
      <c r="G36" s="278">
        <f t="shared" si="2"/>
        <v>85.991399999999999</v>
      </c>
      <c r="H36" s="278">
        <f t="shared" si="2"/>
        <v>38.3598</v>
      </c>
      <c r="I36" s="278">
        <f t="shared" si="2"/>
        <v>71.629200000000012</v>
      </c>
      <c r="J36" s="278">
        <f t="shared" si="2"/>
        <v>52.358400000000003</v>
      </c>
      <c r="K36" s="278">
        <f t="shared" si="2"/>
        <v>82.355400000000003</v>
      </c>
      <c r="L36" s="278">
        <f t="shared" si="2"/>
        <v>27.088199999999997</v>
      </c>
      <c r="M36" s="278">
        <f t="shared" si="2"/>
        <v>54.721799999999995</v>
      </c>
      <c r="N36" s="278"/>
    </row>
    <row r="37" spans="1:14">
      <c r="A37" t="s">
        <v>19</v>
      </c>
      <c r="B37" s="278">
        <f t="shared" ref="B37:M37" si="3">SUM(B35:B36)</f>
        <v>159.5034</v>
      </c>
      <c r="C37" s="278">
        <f t="shared" si="3"/>
        <v>130.96530000000001</v>
      </c>
      <c r="D37" s="278">
        <f t="shared" si="3"/>
        <v>134.2791</v>
      </c>
      <c r="E37" s="278">
        <f t="shared" si="3"/>
        <v>149.31854999999999</v>
      </c>
      <c r="F37" s="278">
        <f t="shared" si="3"/>
        <v>251.62439999999998</v>
      </c>
      <c r="G37" s="278">
        <f t="shared" si="3"/>
        <v>262.05539999999996</v>
      </c>
      <c r="H37" s="278">
        <f t="shared" si="3"/>
        <v>125.0478</v>
      </c>
      <c r="I37" s="278">
        <f t="shared" si="3"/>
        <v>220.81319999999999</v>
      </c>
      <c r="J37" s="278">
        <f t="shared" si="3"/>
        <v>209.60640000000001</v>
      </c>
      <c r="K37" s="278">
        <f t="shared" si="3"/>
        <v>339.05939999999998</v>
      </c>
      <c r="L37" s="278">
        <f t="shared" si="3"/>
        <v>320.08019999999999</v>
      </c>
      <c r="M37" s="278">
        <f t="shared" si="3"/>
        <v>217.34580000000003</v>
      </c>
      <c r="N37" s="278">
        <f>SUM(B37:M37)</f>
        <v>2519.69895</v>
      </c>
    </row>
    <row r="38" spans="1:14">
      <c r="A38" s="591">
        <v>2014</v>
      </c>
      <c r="B38" s="591"/>
      <c r="C38" s="591"/>
      <c r="D38" s="591"/>
      <c r="E38" s="591"/>
      <c r="F38" s="591"/>
      <c r="G38" s="591"/>
      <c r="H38" s="591"/>
      <c r="I38" s="591"/>
      <c r="J38" s="591"/>
      <c r="K38" s="591"/>
      <c r="L38" s="591"/>
      <c r="M38" s="591"/>
    </row>
    <row r="39" spans="1:14">
      <c r="B39" t="s">
        <v>34</v>
      </c>
      <c r="C39" t="s">
        <v>35</v>
      </c>
      <c r="D39" t="s">
        <v>36</v>
      </c>
      <c r="E39" t="s">
        <v>32</v>
      </c>
      <c r="F39" t="s">
        <v>33</v>
      </c>
      <c r="G39" t="s">
        <v>23</v>
      </c>
      <c r="H39" t="s">
        <v>24</v>
      </c>
      <c r="I39" t="s">
        <v>40</v>
      </c>
      <c r="J39" t="s">
        <v>41</v>
      </c>
      <c r="K39" t="s">
        <v>42</v>
      </c>
      <c r="L39" t="s">
        <v>43</v>
      </c>
      <c r="M39" t="s">
        <v>44</v>
      </c>
    </row>
    <row r="40" spans="1:14">
      <c r="A40" t="s">
        <v>109</v>
      </c>
      <c r="B40" s="278">
        <f t="shared" ref="B40:M40" si="4">B27*$C31</f>
        <v>115.3656</v>
      </c>
      <c r="C40" s="278">
        <f t="shared" si="4"/>
        <v>86.259600000000006</v>
      </c>
      <c r="D40" s="278">
        <f t="shared" si="4"/>
        <v>85.730400000000003</v>
      </c>
      <c r="E40" s="278">
        <f t="shared" si="4"/>
        <v>114.8364</v>
      </c>
      <c r="F40" s="278">
        <f t="shared" si="4"/>
        <v>199.6848</v>
      </c>
      <c r="G40" s="278">
        <f t="shared" si="4"/>
        <v>184.8672</v>
      </c>
      <c r="H40" s="278">
        <f t="shared" si="4"/>
        <v>91.022400000000005</v>
      </c>
      <c r="I40" s="278">
        <f t="shared" si="4"/>
        <v>156.64320000000001</v>
      </c>
      <c r="J40" s="278">
        <f t="shared" si="4"/>
        <v>165.1104</v>
      </c>
      <c r="K40" s="278">
        <f t="shared" si="4"/>
        <v>269.53919999999999</v>
      </c>
      <c r="L40" s="278">
        <f t="shared" si="4"/>
        <v>307.64160000000004</v>
      </c>
      <c r="M40" s="278">
        <f t="shared" si="4"/>
        <v>170.7552</v>
      </c>
      <c r="N40" s="278"/>
    </row>
    <row r="41" spans="1:14">
      <c r="A41" t="s">
        <v>154</v>
      </c>
      <c r="B41" s="278">
        <f t="shared" ref="B41:M41" si="5">B28*$C32</f>
        <v>51.120342000000001</v>
      </c>
      <c r="C41" s="278">
        <f t="shared" si="5"/>
        <v>50.277698999999998</v>
      </c>
      <c r="D41" s="278">
        <f t="shared" si="5"/>
        <v>54.210032999999996</v>
      </c>
      <c r="E41" s="278">
        <f t="shared" si="5"/>
        <v>41.149066499999996</v>
      </c>
      <c r="F41" s="278">
        <f t="shared" si="5"/>
        <v>63.291851999999999</v>
      </c>
      <c r="G41" s="278">
        <f t="shared" si="5"/>
        <v>88.571141999999995</v>
      </c>
      <c r="H41" s="278">
        <f t="shared" si="5"/>
        <v>39.510593999999998</v>
      </c>
      <c r="I41" s="278">
        <f t="shared" si="5"/>
        <v>73.778075999999999</v>
      </c>
      <c r="J41" s="278">
        <f t="shared" si="5"/>
        <v>53.929152000000002</v>
      </c>
      <c r="K41" s="278">
        <f t="shared" si="5"/>
        <v>84.826061999999993</v>
      </c>
      <c r="L41" s="278">
        <f t="shared" si="5"/>
        <v>27.900845999999998</v>
      </c>
      <c r="M41" s="278">
        <f t="shared" si="5"/>
        <v>56.363453999999997</v>
      </c>
      <c r="N41" s="278"/>
    </row>
    <row r="42" spans="1:14">
      <c r="A42" t="s">
        <v>19</v>
      </c>
      <c r="B42" s="278">
        <f t="shared" ref="B42:M42" si="6">SUM(B40:B41)</f>
        <v>166.48594199999999</v>
      </c>
      <c r="C42" s="278">
        <f t="shared" si="6"/>
        <v>136.53729900000002</v>
      </c>
      <c r="D42" s="278">
        <f t="shared" si="6"/>
        <v>139.94043299999998</v>
      </c>
      <c r="E42" s="278">
        <f t="shared" si="6"/>
        <v>155.9854665</v>
      </c>
      <c r="F42" s="278">
        <f t="shared" si="6"/>
        <v>262.976652</v>
      </c>
      <c r="G42" s="278">
        <f t="shared" si="6"/>
        <v>273.43834199999998</v>
      </c>
      <c r="H42" s="278">
        <f t="shared" si="6"/>
        <v>130.532994</v>
      </c>
      <c r="I42" s="278">
        <f t="shared" si="6"/>
        <v>230.42127600000001</v>
      </c>
      <c r="J42" s="278">
        <f t="shared" si="6"/>
        <v>219.03955200000001</v>
      </c>
      <c r="K42" s="278">
        <f t="shared" si="6"/>
        <v>354.36526199999997</v>
      </c>
      <c r="L42" s="278">
        <f t="shared" si="6"/>
        <v>335.54244600000004</v>
      </c>
      <c r="M42" s="278">
        <f t="shared" si="6"/>
        <v>227.11865399999999</v>
      </c>
      <c r="N42" s="278">
        <f>SUM(B42:M42)</f>
        <v>2632.3843184999996</v>
      </c>
    </row>
  </sheetData>
  <mergeCells count="10">
    <mergeCell ref="A33:M33"/>
    <mergeCell ref="A38:M38"/>
    <mergeCell ref="A5:M5"/>
    <mergeCell ref="A1:M1"/>
    <mergeCell ref="A9:M9"/>
    <mergeCell ref="A25:M25"/>
    <mergeCell ref="A29:M29"/>
    <mergeCell ref="A13:M13"/>
    <mergeCell ref="A17:M17"/>
    <mergeCell ref="A21:M21"/>
  </mergeCells>
  <phoneticPr fontId="6" type="noConversion"/>
  <pageMargins left="0.75" right="0.75" top="1" bottom="1" header="0.5" footer="0.5"/>
  <pageSetup scale="5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dimension ref="A1:F47"/>
  <sheetViews>
    <sheetView view="pageBreakPreview" topLeftCell="A4" zoomScale="60" zoomScaleNormal="154" workbookViewId="0">
      <selection activeCell="A11" sqref="A11"/>
    </sheetView>
  </sheetViews>
  <sheetFormatPr defaultRowHeight="12.75"/>
  <cols>
    <col min="1" max="1" width="89" bestFit="1" customWidth="1"/>
    <col min="2" max="2" width="26.85546875" customWidth="1"/>
    <col min="3" max="6" width="10.7109375" customWidth="1"/>
  </cols>
  <sheetData>
    <row r="1" spans="1:6" ht="18">
      <c r="A1" s="391" t="s">
        <v>472</v>
      </c>
      <c r="B1" s="391"/>
      <c r="C1" s="391"/>
      <c r="D1" s="391"/>
      <c r="E1" s="391"/>
      <c r="F1" s="391"/>
    </row>
    <row r="2" spans="1:6" ht="18">
      <c r="A2" s="391" t="s">
        <v>512</v>
      </c>
      <c r="B2" s="391"/>
      <c r="C2" s="391"/>
      <c r="D2" s="391"/>
      <c r="E2" s="391"/>
      <c r="F2" s="391"/>
    </row>
    <row r="3" spans="1:6" ht="18">
      <c r="A3" s="391" t="s">
        <v>513</v>
      </c>
      <c r="B3" s="391"/>
      <c r="C3" s="391"/>
      <c r="D3" s="391"/>
      <c r="E3" s="391"/>
      <c r="F3" s="391"/>
    </row>
    <row r="4" spans="1:6" ht="16.5" customHeight="1"/>
    <row r="5" spans="1:6" ht="16.5" customHeight="1" thickBot="1">
      <c r="A5" s="392"/>
      <c r="B5" s="392"/>
      <c r="C5" s="392"/>
      <c r="D5" s="392"/>
      <c r="E5" s="392"/>
      <c r="F5" s="392"/>
    </row>
    <row r="6" spans="1:6" ht="18" customHeight="1" thickBot="1">
      <c r="A6" s="393" t="s">
        <v>473</v>
      </c>
      <c r="B6" s="592" t="s">
        <v>474</v>
      </c>
      <c r="C6" s="593"/>
      <c r="D6" s="593"/>
      <c r="E6" s="593"/>
      <c r="F6" s="594"/>
    </row>
    <row r="7" spans="1:6" ht="22.5" customHeight="1" thickBot="1">
      <c r="A7" s="415" t="s">
        <v>475</v>
      </c>
      <c r="B7" s="416">
        <v>2013</v>
      </c>
      <c r="C7" s="416">
        <v>2014</v>
      </c>
      <c r="D7" s="416">
        <v>2015</v>
      </c>
      <c r="E7" s="416">
        <v>2016</v>
      </c>
      <c r="F7" s="416">
        <v>2017</v>
      </c>
    </row>
    <row r="8" spans="1:6" ht="18.75" customHeight="1" thickBot="1">
      <c r="A8" s="417" t="s">
        <v>476</v>
      </c>
      <c r="B8" s="418">
        <v>0.05</v>
      </c>
      <c r="C8" s="418">
        <v>0.02</v>
      </c>
      <c r="D8" s="418">
        <v>0.02</v>
      </c>
      <c r="E8" s="418">
        <v>0.05</v>
      </c>
      <c r="F8" s="419">
        <v>0.02</v>
      </c>
    </row>
    <row r="9" spans="1:6" ht="18.75" customHeight="1" thickBot="1">
      <c r="A9" s="417" t="s">
        <v>477</v>
      </c>
      <c r="B9" s="418">
        <v>0.05</v>
      </c>
      <c r="C9" s="418">
        <v>0.05</v>
      </c>
      <c r="D9" s="418">
        <v>0.04</v>
      </c>
      <c r="E9" s="418">
        <v>0.04</v>
      </c>
      <c r="F9" s="419">
        <v>0.05</v>
      </c>
    </row>
    <row r="10" spans="1:6" ht="20.25" customHeight="1" thickBot="1">
      <c r="A10" s="417" t="s">
        <v>478</v>
      </c>
      <c r="B10" s="418">
        <v>0.05</v>
      </c>
      <c r="C10" s="418">
        <v>0.03</v>
      </c>
      <c r="D10" s="418">
        <v>0.03</v>
      </c>
      <c r="E10" s="418">
        <v>0.03</v>
      </c>
      <c r="F10" s="419">
        <v>0.03</v>
      </c>
    </row>
    <row r="11" spans="1:6" ht="21.75" customHeight="1" thickBot="1">
      <c r="A11" s="417" t="s">
        <v>479</v>
      </c>
      <c r="B11" s="418">
        <v>0.01</v>
      </c>
      <c r="C11" s="418">
        <v>0.02</v>
      </c>
      <c r="D11" s="418">
        <v>0.01</v>
      </c>
      <c r="E11" s="418">
        <v>0.01</v>
      </c>
      <c r="F11" s="419">
        <v>0.01</v>
      </c>
    </row>
    <row r="12" spans="1:6" ht="21" customHeight="1" thickBot="1">
      <c r="A12" s="417" t="s">
        <v>480</v>
      </c>
      <c r="B12" s="418">
        <v>0.02</v>
      </c>
      <c r="C12" s="418">
        <v>0.01</v>
      </c>
      <c r="D12" s="418">
        <v>0.01</v>
      </c>
      <c r="E12" s="418">
        <v>0.01</v>
      </c>
      <c r="F12" s="419">
        <v>0.01</v>
      </c>
    </row>
    <row r="13" spans="1:6" ht="21" customHeight="1" thickBot="1">
      <c r="A13" s="417" t="s">
        <v>481</v>
      </c>
      <c r="B13" s="420">
        <v>-0.05</v>
      </c>
      <c r="C13" s="418">
        <v>0</v>
      </c>
      <c r="D13" s="418">
        <v>0</v>
      </c>
      <c r="E13" s="418">
        <v>0.03</v>
      </c>
      <c r="F13" s="419">
        <v>0.03</v>
      </c>
    </row>
    <row r="14" spans="1:6" ht="19.5" customHeight="1" thickBot="1">
      <c r="A14" s="417" t="s">
        <v>482</v>
      </c>
      <c r="B14" s="418">
        <v>0.02</v>
      </c>
      <c r="C14" s="418">
        <v>0.01</v>
      </c>
      <c r="D14" s="418">
        <v>0.02</v>
      </c>
      <c r="E14" s="418">
        <v>0.01</v>
      </c>
      <c r="F14" s="419">
        <v>0.02</v>
      </c>
    </row>
    <row r="15" spans="1:6" ht="21" customHeight="1" thickBot="1">
      <c r="A15" s="417" t="s">
        <v>483</v>
      </c>
      <c r="B15" s="420">
        <v>-0.02</v>
      </c>
      <c r="C15" s="420">
        <v>-0.02</v>
      </c>
      <c r="D15" s="418">
        <v>0.01</v>
      </c>
      <c r="E15" s="418">
        <v>0.01</v>
      </c>
      <c r="F15" s="419">
        <v>0.01</v>
      </c>
    </row>
    <row r="16" spans="1:6" ht="21" customHeight="1" thickBot="1">
      <c r="A16" s="417" t="s">
        <v>484</v>
      </c>
      <c r="B16" s="418">
        <v>0.1</v>
      </c>
      <c r="C16" s="418">
        <v>0.08</v>
      </c>
      <c r="D16" s="418">
        <v>0.05</v>
      </c>
      <c r="E16" s="418">
        <v>0.08</v>
      </c>
      <c r="F16" s="419">
        <v>0.05</v>
      </c>
    </row>
    <row r="17" spans="1:6" ht="23.25" customHeight="1" thickBot="1">
      <c r="A17" s="417" t="s">
        <v>485</v>
      </c>
      <c r="B17" s="418">
        <v>0.05</v>
      </c>
      <c r="C17" s="418">
        <v>0.05</v>
      </c>
      <c r="D17" s="418">
        <v>0.05</v>
      </c>
      <c r="E17" s="418">
        <v>0.05</v>
      </c>
      <c r="F17" s="419">
        <v>0.05</v>
      </c>
    </row>
    <row r="18" spans="1:6" ht="18.75" customHeight="1" thickBot="1">
      <c r="A18" s="421" t="s">
        <v>486</v>
      </c>
      <c r="B18" s="418">
        <v>0.01</v>
      </c>
      <c r="C18" s="418">
        <v>0.03</v>
      </c>
      <c r="D18" s="418">
        <v>0.01</v>
      </c>
      <c r="E18" s="418">
        <v>0.03</v>
      </c>
      <c r="F18" s="418">
        <v>0.03</v>
      </c>
    </row>
    <row r="19" spans="1:6" ht="13.5" thickBot="1">
      <c r="A19" s="417"/>
      <c r="B19" s="394"/>
      <c r="C19" s="394"/>
      <c r="D19" s="394"/>
      <c r="E19" s="394"/>
      <c r="F19" s="394"/>
    </row>
    <row r="20" spans="1:6" ht="27" customHeight="1" thickBot="1">
      <c r="A20" s="422" t="s">
        <v>487</v>
      </c>
      <c r="B20" s="416">
        <v>2013</v>
      </c>
      <c r="C20" s="416">
        <v>2014</v>
      </c>
      <c r="D20" s="416">
        <v>2015</v>
      </c>
      <c r="E20" s="416">
        <v>2016</v>
      </c>
      <c r="F20" s="416">
        <v>2017</v>
      </c>
    </row>
    <row r="21" spans="1:6" ht="15.75" customHeight="1" thickBot="1">
      <c r="A21" s="423" t="s">
        <v>488</v>
      </c>
      <c r="B21" s="418" t="s">
        <v>489</v>
      </c>
      <c r="C21" s="424">
        <v>0.02</v>
      </c>
      <c r="D21" s="424">
        <v>0.02</v>
      </c>
      <c r="E21" s="424">
        <v>0.04</v>
      </c>
      <c r="F21" s="424">
        <v>0.04</v>
      </c>
    </row>
    <row r="22" spans="1:6" ht="17.25" customHeight="1" thickBot="1">
      <c r="A22" s="425" t="s">
        <v>490</v>
      </c>
      <c r="B22" s="418">
        <v>0.09</v>
      </c>
      <c r="C22" s="424">
        <v>0.03</v>
      </c>
      <c r="D22" s="424">
        <v>0.03</v>
      </c>
      <c r="E22" s="424">
        <v>0.03</v>
      </c>
      <c r="F22" s="424">
        <v>0.03</v>
      </c>
    </row>
    <row r="23" spans="1:6" ht="13.5" thickBot="1">
      <c r="A23" s="417"/>
      <c r="B23" s="394"/>
      <c r="C23" s="394"/>
      <c r="D23" s="394"/>
      <c r="E23" s="394"/>
      <c r="F23" s="394"/>
    </row>
    <row r="24" spans="1:6" ht="26.25" customHeight="1" thickBot="1">
      <c r="A24" s="422" t="s">
        <v>491</v>
      </c>
      <c r="B24" s="416">
        <v>2013</v>
      </c>
      <c r="C24" s="416">
        <v>2014</v>
      </c>
      <c r="D24" s="416">
        <v>2015</v>
      </c>
      <c r="E24" s="416">
        <v>2016</v>
      </c>
      <c r="F24" s="416">
        <v>2017</v>
      </c>
    </row>
    <row r="25" spans="1:6" ht="20.25" customHeight="1" thickBot="1">
      <c r="A25" s="423" t="s">
        <v>514</v>
      </c>
      <c r="B25" s="418">
        <v>7.0000000000000007E-2</v>
      </c>
      <c r="C25" s="424">
        <v>0.02</v>
      </c>
      <c r="D25" s="424">
        <v>-0.02</v>
      </c>
      <c r="E25" s="424">
        <v>-0.02</v>
      </c>
      <c r="F25" s="426">
        <v>0</v>
      </c>
    </row>
    <row r="26" spans="1:6" ht="20.25" customHeight="1" thickBot="1">
      <c r="A26" s="425" t="s">
        <v>492</v>
      </c>
      <c r="B26" s="418">
        <v>0.03</v>
      </c>
      <c r="C26" s="424">
        <v>0.03</v>
      </c>
      <c r="D26" s="424">
        <v>0.03</v>
      </c>
      <c r="E26" s="424">
        <v>0.03</v>
      </c>
      <c r="F26" s="427">
        <v>0.03</v>
      </c>
    </row>
    <row r="27" spans="1:6" ht="13.5" thickBot="1">
      <c r="A27" s="417"/>
      <c r="B27" s="394"/>
      <c r="C27" s="428"/>
      <c r="D27" s="428"/>
      <c r="E27" s="428"/>
      <c r="F27" s="428"/>
    </row>
    <row r="28" spans="1:6" ht="26.25" customHeight="1" thickBot="1">
      <c r="A28" s="429" t="s">
        <v>493</v>
      </c>
      <c r="B28" s="416">
        <v>2013</v>
      </c>
      <c r="C28" s="416">
        <v>2014</v>
      </c>
      <c r="D28" s="416">
        <v>2015</v>
      </c>
      <c r="E28" s="416">
        <v>2016</v>
      </c>
      <c r="F28" s="416">
        <v>2017</v>
      </c>
    </row>
    <row r="29" spans="1:6" ht="21.75" customHeight="1" thickBot="1">
      <c r="A29" s="423" t="s">
        <v>515</v>
      </c>
      <c r="B29" s="418">
        <v>0.01</v>
      </c>
      <c r="C29" s="418">
        <v>0.02</v>
      </c>
      <c r="D29" s="418">
        <v>0.02</v>
      </c>
      <c r="E29" s="418">
        <v>0.02</v>
      </c>
      <c r="F29" s="418">
        <v>0.02</v>
      </c>
    </row>
    <row r="30" spans="1:6" ht="21" customHeight="1" thickBot="1">
      <c r="A30" s="430" t="s">
        <v>516</v>
      </c>
      <c r="B30" s="418">
        <v>0.01</v>
      </c>
      <c r="C30" s="418">
        <v>0.02</v>
      </c>
      <c r="D30" s="418">
        <v>0.02</v>
      </c>
      <c r="E30" s="418">
        <v>0.02</v>
      </c>
      <c r="F30" s="418">
        <v>0.02</v>
      </c>
    </row>
    <row r="31" spans="1:6" ht="13.5" thickBot="1">
      <c r="A31" s="395"/>
      <c r="B31" s="396"/>
      <c r="C31" s="394"/>
      <c r="D31" s="394"/>
      <c r="E31" s="394"/>
      <c r="F31" s="394"/>
    </row>
    <row r="32" spans="1:6" ht="18" customHeight="1" thickBot="1">
      <c r="A32" s="429" t="s">
        <v>494</v>
      </c>
      <c r="B32" s="416">
        <v>2013</v>
      </c>
      <c r="C32" s="416">
        <v>2014</v>
      </c>
      <c r="D32" s="416">
        <v>2015</v>
      </c>
      <c r="E32" s="416">
        <v>2016</v>
      </c>
      <c r="F32" s="416">
        <v>2017</v>
      </c>
    </row>
    <row r="33" spans="1:6" ht="19.5" customHeight="1" thickBot="1">
      <c r="A33" s="423" t="s">
        <v>495</v>
      </c>
      <c r="B33" s="431">
        <v>0.06</v>
      </c>
      <c r="C33" s="432">
        <v>0.02</v>
      </c>
      <c r="D33" s="432">
        <v>0.02</v>
      </c>
      <c r="E33" s="432">
        <v>0.02</v>
      </c>
      <c r="F33" s="432">
        <v>0.02</v>
      </c>
    </row>
    <row r="34" spans="1:6" ht="18.75" customHeight="1" thickBot="1">
      <c r="A34" s="430" t="s">
        <v>496</v>
      </c>
      <c r="B34" s="433">
        <v>0.12</v>
      </c>
      <c r="C34" s="432">
        <v>0.06</v>
      </c>
      <c r="D34" s="432">
        <v>0.06</v>
      </c>
      <c r="E34" s="432">
        <v>0.06</v>
      </c>
      <c r="F34" s="432">
        <v>0.06</v>
      </c>
    </row>
    <row r="35" spans="1:6">
      <c r="A35" s="4"/>
    </row>
    <row r="36" spans="1:6" ht="13.5" thickBot="1">
      <c r="A36" s="4"/>
      <c r="B36" s="595"/>
      <c r="C36" s="595"/>
      <c r="D36" s="595"/>
      <c r="E36" s="595"/>
      <c r="F36" s="595"/>
    </row>
    <row r="37" spans="1:6" ht="23.25" customHeight="1" thickBot="1">
      <c r="A37" s="429" t="s">
        <v>497</v>
      </c>
      <c r="B37" s="416">
        <v>2013</v>
      </c>
      <c r="C37" s="416">
        <v>2014</v>
      </c>
      <c r="D37" s="416">
        <v>2015</v>
      </c>
      <c r="E37" s="416">
        <v>2016</v>
      </c>
      <c r="F37" s="416">
        <v>2017</v>
      </c>
    </row>
    <row r="38" spans="1:6" ht="20.25" customHeight="1" thickBot="1">
      <c r="A38" s="434" t="s">
        <v>517</v>
      </c>
      <c r="B38" s="435">
        <v>1.7000000000000001E-2</v>
      </c>
      <c r="C38" s="435">
        <v>1.6E-2</v>
      </c>
      <c r="D38" s="435">
        <v>1.7999999999999999E-2</v>
      </c>
      <c r="E38" s="435">
        <v>1.7999999999999999E-2</v>
      </c>
      <c r="F38" s="435">
        <v>1.7999999999999999E-2</v>
      </c>
    </row>
    <row r="39" spans="1:6" ht="18" customHeight="1" thickBot="1">
      <c r="A39" s="434" t="s">
        <v>518</v>
      </c>
      <c r="B39" s="435">
        <v>1.9E-2</v>
      </c>
      <c r="C39" s="435">
        <v>0.02</v>
      </c>
      <c r="D39" s="435">
        <v>0.02</v>
      </c>
      <c r="E39" s="435">
        <v>2.1000000000000001E-2</v>
      </c>
      <c r="F39" s="435">
        <v>2.1000000000000001E-2</v>
      </c>
    </row>
    <row r="40" spans="1:6" ht="30" customHeight="1" thickBot="1">
      <c r="A40" s="436" t="s">
        <v>519</v>
      </c>
      <c r="B40" s="435">
        <v>3.3000000000000002E-2</v>
      </c>
      <c r="C40" s="435">
        <v>3.5000000000000003E-2</v>
      </c>
      <c r="D40" s="435">
        <v>3.5999999999999997E-2</v>
      </c>
      <c r="E40" s="435">
        <v>3.5000000000000003E-2</v>
      </c>
      <c r="F40" s="435">
        <v>3.4000000000000002E-2</v>
      </c>
    </row>
    <row r="41" spans="1:6" ht="15" customHeight="1">
      <c r="A41" s="180"/>
    </row>
    <row r="42" spans="1:6" ht="18" customHeight="1" thickBot="1">
      <c r="A42" s="397" t="s">
        <v>498</v>
      </c>
    </row>
    <row r="43" spans="1:6" ht="44.25" customHeight="1" thickBot="1">
      <c r="A43" s="437" t="s">
        <v>520</v>
      </c>
      <c r="B43" s="438"/>
      <c r="D43" s="398"/>
      <c r="E43" s="439"/>
    </row>
    <row r="44" spans="1:6" ht="13.5" thickBot="1">
      <c r="A44" s="399"/>
    </row>
    <row r="45" spans="1:6" ht="42" customHeight="1" thickBot="1">
      <c r="A45" s="440" t="s">
        <v>521</v>
      </c>
    </row>
    <row r="46" spans="1:6" ht="12.75" customHeight="1" thickBot="1">
      <c r="A46" s="403"/>
    </row>
    <row r="47" spans="1:6" ht="30" customHeight="1" thickBot="1">
      <c r="A47" s="440" t="s">
        <v>522</v>
      </c>
    </row>
  </sheetData>
  <mergeCells count="2">
    <mergeCell ref="B6:F6"/>
    <mergeCell ref="B36:F36"/>
  </mergeCells>
  <phoneticPr fontId="6" type="noConversion"/>
  <printOptions horizontalCentered="1" verticalCentered="1"/>
  <pageMargins left="0" right="0" top="0" bottom="0" header="0.5" footer="0.5"/>
  <pageSetup scale="86"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dimension ref="A1:AI580"/>
  <sheetViews>
    <sheetView view="pageBreakPreview" topLeftCell="A53" zoomScale="60" zoomScaleNormal="200" workbookViewId="0">
      <selection activeCell="F84" sqref="A1:F84"/>
    </sheetView>
  </sheetViews>
  <sheetFormatPr defaultColWidth="21" defaultRowHeight="12.75"/>
  <cols>
    <col min="1" max="1" width="32.85546875" style="264" customWidth="1"/>
    <col min="2" max="2" width="7.140625" style="261" customWidth="1"/>
    <col min="3" max="3" width="8.28515625" style="262" customWidth="1"/>
    <col min="4" max="4" width="9.42578125" style="261" bestFit="1" customWidth="1"/>
    <col min="5" max="5" width="8.42578125" style="262" bestFit="1" customWidth="1"/>
    <col min="6" max="6" width="7.7109375" style="261" bestFit="1" customWidth="1"/>
    <col min="7" max="7" width="48.140625" style="227" customWidth="1"/>
    <col min="8" max="8" width="21" style="227"/>
    <col min="9" max="9" width="4.85546875" style="227" customWidth="1"/>
    <col min="10" max="12" width="17.7109375" style="227" customWidth="1"/>
    <col min="13" max="13" width="16.42578125" style="227" customWidth="1"/>
    <col min="14" max="14" width="13.85546875" style="227" customWidth="1"/>
    <col min="15" max="23" width="21" style="227"/>
    <col min="24" max="26" width="16.42578125" style="227" customWidth="1"/>
    <col min="27" max="27" width="19" style="227" customWidth="1"/>
    <col min="28" max="16384" width="21" style="227"/>
  </cols>
  <sheetData>
    <row r="1" spans="1:35" ht="21" thickBot="1">
      <c r="A1" s="603" t="s">
        <v>46</v>
      </c>
      <c r="B1" s="604"/>
      <c r="C1" s="604"/>
      <c r="D1" s="604"/>
      <c r="E1" s="604"/>
      <c r="F1" s="605"/>
      <c r="L1" s="228"/>
      <c r="N1" s="228"/>
      <c r="Q1" s="229"/>
      <c r="R1" s="230"/>
      <c r="S1" s="230"/>
      <c r="T1" s="230"/>
      <c r="U1" s="230"/>
      <c r="V1" s="230"/>
      <c r="W1" s="230"/>
      <c r="X1" s="230"/>
      <c r="Y1" s="230"/>
      <c r="Z1" s="230"/>
      <c r="AA1" s="230"/>
      <c r="AB1" s="230"/>
      <c r="AC1" s="230"/>
      <c r="AD1" s="230"/>
      <c r="AE1" s="230"/>
      <c r="AF1" s="230"/>
      <c r="AG1" s="230"/>
      <c r="AH1" s="230"/>
      <c r="AI1" s="229"/>
    </row>
    <row r="2" spans="1:35" ht="25.5">
      <c r="A2" s="231"/>
      <c r="B2" s="233" t="s">
        <v>123</v>
      </c>
      <c r="C2" s="232" t="s">
        <v>122</v>
      </c>
      <c r="D2" s="233" t="s">
        <v>124</v>
      </c>
      <c r="E2" s="232" t="s">
        <v>122</v>
      </c>
      <c r="F2" s="234" t="s">
        <v>125</v>
      </c>
      <c r="J2" s="228"/>
      <c r="K2" s="228"/>
      <c r="L2" s="228"/>
      <c r="M2" s="228"/>
      <c r="N2" s="228"/>
      <c r="Q2" s="228"/>
      <c r="U2" s="229"/>
      <c r="V2" s="229"/>
      <c r="AI2" s="228"/>
    </row>
    <row r="3" spans="1:35" ht="15">
      <c r="A3" s="235" t="s">
        <v>54</v>
      </c>
      <c r="B3" s="237">
        <v>0.54</v>
      </c>
      <c r="C3" s="236">
        <f>'Supply Chain Assumptions'!$B$18</f>
        <v>0.01</v>
      </c>
      <c r="D3" s="237">
        <f>B3*(1+C3)</f>
        <v>0.5454</v>
      </c>
      <c r="E3" s="236">
        <f>'Supply Chain Assumptions'!$C$18</f>
        <v>0.03</v>
      </c>
      <c r="F3" s="254">
        <f>D3*(1+E3)</f>
        <v>0.56176199999999998</v>
      </c>
      <c r="G3" s="228"/>
      <c r="I3" s="238"/>
      <c r="J3" s="239"/>
      <c r="K3" s="239"/>
      <c r="L3" s="240"/>
      <c r="M3" s="240"/>
      <c r="N3" s="241"/>
      <c r="O3" s="229"/>
    </row>
    <row r="4" spans="1:35" ht="15">
      <c r="A4" s="235" t="s">
        <v>60</v>
      </c>
      <c r="B4" s="237">
        <v>0.86</v>
      </c>
      <c r="C4" s="236">
        <f>'Supply Chain Assumptions'!$B$18</f>
        <v>0.01</v>
      </c>
      <c r="D4" s="237">
        <f t="shared" ref="D4:D18" si="0">B4*(1+C4)</f>
        <v>0.86860000000000004</v>
      </c>
      <c r="E4" s="236">
        <f>'Supply Chain Assumptions'!$C$18</f>
        <v>0.03</v>
      </c>
      <c r="F4" s="254">
        <f t="shared" ref="F4:F18" si="1">D4*(1+E4)</f>
        <v>0.89465800000000006</v>
      </c>
      <c r="G4" s="228"/>
      <c r="I4" s="238"/>
      <c r="J4" s="239"/>
      <c r="K4" s="239"/>
      <c r="L4" s="240"/>
      <c r="M4" s="240"/>
      <c r="N4" s="241"/>
      <c r="O4" s="229"/>
    </row>
    <row r="5" spans="1:35" ht="15">
      <c r="A5" s="235" t="s">
        <v>61</v>
      </c>
      <c r="B5" s="237">
        <v>0.2</v>
      </c>
      <c r="C5" s="236">
        <f>'Supply Chain Assumptions'!$B$10</f>
        <v>0.05</v>
      </c>
      <c r="D5" s="237">
        <f t="shared" si="0"/>
        <v>0.21000000000000002</v>
      </c>
      <c r="E5" s="236">
        <f>'Supply Chain Assumptions'!$C$10</f>
        <v>0.03</v>
      </c>
      <c r="F5" s="254">
        <f t="shared" si="1"/>
        <v>0.21630000000000002</v>
      </c>
      <c r="G5" s="228"/>
      <c r="I5" s="238"/>
      <c r="J5" s="239"/>
      <c r="K5" s="239"/>
      <c r="L5" s="240"/>
      <c r="M5" s="240"/>
      <c r="N5" s="241"/>
      <c r="O5" s="242"/>
      <c r="P5" s="243"/>
      <c r="Q5" s="244"/>
      <c r="R5" s="243"/>
      <c r="S5" s="243"/>
      <c r="T5" s="243"/>
      <c r="U5" s="243"/>
      <c r="V5" s="243"/>
      <c r="AI5" s="228"/>
    </row>
    <row r="6" spans="1:35" ht="15">
      <c r="A6" s="235" t="s">
        <v>62</v>
      </c>
      <c r="B6" s="237">
        <v>0.72</v>
      </c>
      <c r="C6" s="236">
        <f>'Supply Chain Assumptions'!$B$18</f>
        <v>0.01</v>
      </c>
      <c r="D6" s="237">
        <f t="shared" si="0"/>
        <v>0.72719999999999996</v>
      </c>
      <c r="E6" s="236">
        <f>'Supply Chain Assumptions'!$C$18</f>
        <v>0.03</v>
      </c>
      <c r="F6" s="254">
        <f t="shared" si="1"/>
        <v>0.74901600000000002</v>
      </c>
      <c r="G6" s="228"/>
      <c r="I6" s="238"/>
      <c r="J6" s="239"/>
      <c r="K6" s="239"/>
      <c r="L6" s="240"/>
      <c r="M6" s="240"/>
      <c r="N6" s="241"/>
      <c r="O6" s="229"/>
    </row>
    <row r="7" spans="1:35">
      <c r="A7" s="235" t="s">
        <v>63</v>
      </c>
      <c r="B7" s="237">
        <v>0.36</v>
      </c>
      <c r="C7" s="236">
        <f>'Supply Chain Assumptions'!$B$15</f>
        <v>-0.02</v>
      </c>
      <c r="D7" s="237">
        <f t="shared" si="0"/>
        <v>0.3528</v>
      </c>
      <c r="E7" s="236">
        <f>'Supply Chain Assumptions'!$C$15</f>
        <v>-0.02</v>
      </c>
      <c r="F7" s="254">
        <f t="shared" si="1"/>
        <v>0.345744</v>
      </c>
    </row>
    <row r="8" spans="1:35" ht="15">
      <c r="A8" s="235" t="s">
        <v>65</v>
      </c>
      <c r="B8" s="237">
        <v>0</v>
      </c>
      <c r="C8" s="236">
        <f>'Supply Chain Assumptions'!$B$11</f>
        <v>0.01</v>
      </c>
      <c r="D8" s="237">
        <f t="shared" si="0"/>
        <v>0</v>
      </c>
      <c r="E8" s="236">
        <f>'Supply Chain Assumptions'!$C$11</f>
        <v>0.02</v>
      </c>
      <c r="F8" s="254">
        <f t="shared" si="1"/>
        <v>0</v>
      </c>
      <c r="G8" s="228"/>
      <c r="I8" s="238"/>
      <c r="J8" s="239"/>
      <c r="K8" s="239"/>
      <c r="L8" s="245"/>
      <c r="M8" s="240"/>
      <c r="N8" s="241"/>
      <c r="O8" s="229"/>
    </row>
    <row r="9" spans="1:35" ht="15">
      <c r="A9" s="235" t="s">
        <v>66</v>
      </c>
      <c r="B9" s="237">
        <v>0.23</v>
      </c>
      <c r="C9" s="236">
        <f>'Supply Chain Assumptions'!$B$13</f>
        <v>-0.05</v>
      </c>
      <c r="D9" s="237">
        <f t="shared" si="0"/>
        <v>0.2185</v>
      </c>
      <c r="E9" s="236">
        <f>'Supply Chain Assumptions'!$C$13</f>
        <v>0</v>
      </c>
      <c r="F9" s="254">
        <f t="shared" si="1"/>
        <v>0.2185</v>
      </c>
      <c r="G9" s="228"/>
      <c r="I9" s="238"/>
      <c r="J9" s="239"/>
      <c r="K9" s="239"/>
      <c r="L9" s="240"/>
      <c r="M9" s="240"/>
      <c r="N9" s="241"/>
      <c r="O9" s="229"/>
    </row>
    <row r="10" spans="1:35">
      <c r="A10" s="246" t="s">
        <v>67</v>
      </c>
      <c r="B10" s="237">
        <v>0.155</v>
      </c>
      <c r="C10" s="236">
        <f>'Supply Chain Assumptions'!$B$18</f>
        <v>0.01</v>
      </c>
      <c r="D10" s="237">
        <f t="shared" si="0"/>
        <v>0.15654999999999999</v>
      </c>
      <c r="E10" s="236">
        <f>'Supply Chain Assumptions'!$C$18</f>
        <v>0.03</v>
      </c>
      <c r="F10" s="254">
        <f t="shared" si="1"/>
        <v>0.16124649999999999</v>
      </c>
    </row>
    <row r="11" spans="1:35">
      <c r="A11" s="235" t="s">
        <v>68</v>
      </c>
      <c r="B11" s="237">
        <v>0.31900000000000001</v>
      </c>
      <c r="C11" s="236">
        <f>'Supply Chain Assumptions'!$B$16</f>
        <v>0.1</v>
      </c>
      <c r="D11" s="237">
        <f t="shared" si="0"/>
        <v>0.35090000000000005</v>
      </c>
      <c r="E11" s="236">
        <f>'Supply Chain Assumptions'!$C$16</f>
        <v>0.08</v>
      </c>
      <c r="F11" s="254">
        <f t="shared" si="1"/>
        <v>0.37897200000000009</v>
      </c>
      <c r="G11" s="228"/>
      <c r="I11" s="238"/>
      <c r="J11" s="247"/>
      <c r="K11" s="247"/>
      <c r="L11" s="247"/>
      <c r="M11" s="247"/>
      <c r="N11" s="241"/>
      <c r="Q11" s="228"/>
      <c r="T11" s="229"/>
      <c r="AI11" s="228"/>
    </row>
    <row r="12" spans="1:35">
      <c r="A12" s="235" t="s">
        <v>69</v>
      </c>
      <c r="B12" s="237">
        <v>0</v>
      </c>
      <c r="C12" s="236">
        <f>'Supply Chain Assumptions'!$B$16</f>
        <v>0.1</v>
      </c>
      <c r="D12" s="237">
        <f t="shared" si="0"/>
        <v>0</v>
      </c>
      <c r="E12" s="236">
        <f>'Supply Chain Assumptions'!$C$16</f>
        <v>0.08</v>
      </c>
      <c r="F12" s="254">
        <f t="shared" si="1"/>
        <v>0</v>
      </c>
      <c r="G12" s="228"/>
      <c r="I12" s="238"/>
      <c r="J12" s="247"/>
      <c r="K12" s="248"/>
      <c r="L12" s="247"/>
      <c r="M12" s="247"/>
      <c r="N12" s="241"/>
      <c r="O12" s="229"/>
    </row>
    <row r="13" spans="1:35">
      <c r="A13" s="235" t="s">
        <v>115</v>
      </c>
      <c r="B13" s="237">
        <v>2.5099999999999998</v>
      </c>
      <c r="C13" s="236">
        <f>'Supply Chain Assumptions'!$B$18</f>
        <v>0.01</v>
      </c>
      <c r="D13" s="237">
        <f t="shared" si="0"/>
        <v>2.5350999999999999</v>
      </c>
      <c r="E13" s="236">
        <f>'Supply Chain Assumptions'!$C$18</f>
        <v>0.03</v>
      </c>
      <c r="F13" s="254">
        <f t="shared" si="1"/>
        <v>2.6111529999999998</v>
      </c>
      <c r="G13" s="230"/>
      <c r="H13" s="230"/>
      <c r="I13" s="230"/>
      <c r="J13" s="230"/>
      <c r="K13" s="230"/>
      <c r="L13" s="230"/>
      <c r="M13" s="230"/>
      <c r="N13" s="249"/>
    </row>
    <row r="14" spans="1:35" ht="15">
      <c r="A14" s="235" t="s">
        <v>72</v>
      </c>
      <c r="B14" s="237">
        <v>0.16</v>
      </c>
      <c r="C14" s="236">
        <f>'Supply Chain Assumptions'!$B$18</f>
        <v>0.01</v>
      </c>
      <c r="D14" s="237">
        <f t="shared" si="0"/>
        <v>0.16159999999999999</v>
      </c>
      <c r="E14" s="236">
        <f>'Supply Chain Assumptions'!$C$18</f>
        <v>0.03</v>
      </c>
      <c r="F14" s="254">
        <f t="shared" si="1"/>
        <v>0.16644799999999998</v>
      </c>
      <c r="G14" s="228"/>
      <c r="I14" s="238"/>
      <c r="J14" s="239"/>
      <c r="K14" s="239"/>
      <c r="L14" s="240"/>
      <c r="M14" s="240"/>
      <c r="N14" s="241"/>
    </row>
    <row r="15" spans="1:35">
      <c r="A15" s="235" t="s">
        <v>73</v>
      </c>
      <c r="B15" s="237">
        <v>0</v>
      </c>
      <c r="C15" s="236">
        <f>'Supply Chain Assumptions'!$B$9</f>
        <v>0.05</v>
      </c>
      <c r="D15" s="237">
        <f t="shared" si="0"/>
        <v>0</v>
      </c>
      <c r="E15" s="236">
        <f>'Supply Chain Assumptions'!$C$9</f>
        <v>0.05</v>
      </c>
      <c r="F15" s="254">
        <f t="shared" si="1"/>
        <v>0</v>
      </c>
      <c r="G15" s="228"/>
      <c r="I15" s="238"/>
      <c r="J15" s="247"/>
      <c r="K15" s="247"/>
      <c r="L15" s="247"/>
      <c r="M15" s="248"/>
      <c r="N15" s="241"/>
    </row>
    <row r="16" spans="1:35">
      <c r="A16" s="235" t="s">
        <v>74</v>
      </c>
      <c r="B16" s="237">
        <v>0.16</v>
      </c>
      <c r="C16" s="236">
        <f>'Supply Chain Assumptions'!$B$9</f>
        <v>0.05</v>
      </c>
      <c r="D16" s="237">
        <f t="shared" si="0"/>
        <v>0.16800000000000001</v>
      </c>
      <c r="E16" s="236">
        <f>'Supply Chain Assumptions'!$C$9</f>
        <v>0.05</v>
      </c>
      <c r="F16" s="254">
        <f t="shared" si="1"/>
        <v>0.17640000000000003</v>
      </c>
      <c r="G16" s="228"/>
      <c r="I16" s="238"/>
      <c r="J16" s="247"/>
      <c r="K16" s="247"/>
      <c r="L16" s="247"/>
      <c r="M16" s="248"/>
      <c r="N16" s="241"/>
    </row>
    <row r="17" spans="1:35">
      <c r="A17" s="235" t="s">
        <v>117</v>
      </c>
      <c r="B17" s="237">
        <v>0</v>
      </c>
      <c r="C17" s="236">
        <f>'Supply Chain Assumptions'!$B$18</f>
        <v>0.01</v>
      </c>
      <c r="D17" s="237">
        <f t="shared" si="0"/>
        <v>0</v>
      </c>
      <c r="E17" s="236">
        <f>'Supply Chain Assumptions'!$C$18</f>
        <v>0.03</v>
      </c>
      <c r="F17" s="254">
        <f t="shared" si="1"/>
        <v>0</v>
      </c>
      <c r="J17" s="228"/>
      <c r="K17" s="228"/>
      <c r="L17" s="228"/>
      <c r="M17" s="228"/>
      <c r="N17" s="250"/>
    </row>
    <row r="18" spans="1:35">
      <c r="A18" s="235" t="s">
        <v>76</v>
      </c>
      <c r="B18" s="237">
        <v>0</v>
      </c>
      <c r="C18" s="236">
        <f>'Supply Chain Assumptions'!$B$18</f>
        <v>0.01</v>
      </c>
      <c r="D18" s="237">
        <f t="shared" si="0"/>
        <v>0</v>
      </c>
      <c r="E18" s="236">
        <f>'Supply Chain Assumptions'!$C$18</f>
        <v>0.03</v>
      </c>
      <c r="F18" s="254">
        <f t="shared" si="1"/>
        <v>0</v>
      </c>
    </row>
    <row r="19" spans="1:35" ht="20.25">
      <c r="A19" s="596" t="s">
        <v>80</v>
      </c>
      <c r="B19" s="606"/>
      <c r="C19" s="606"/>
      <c r="D19" s="607"/>
      <c r="E19" s="606"/>
      <c r="F19" s="608"/>
      <c r="N19" s="228"/>
    </row>
    <row r="20" spans="1:35" ht="25.5">
      <c r="A20" s="246"/>
      <c r="B20" s="251" t="str">
        <f>B2</f>
        <v>2012 Price</v>
      </c>
      <c r="C20" s="251" t="str">
        <f>C2</f>
        <v>Price Change</v>
      </c>
      <c r="D20" s="251" t="str">
        <f>D2</f>
        <v>2013 Price</v>
      </c>
      <c r="E20" s="252" t="str">
        <f>E2</f>
        <v>Price Change</v>
      </c>
      <c r="F20" s="253" t="str">
        <f>F2</f>
        <v>2014 Price</v>
      </c>
      <c r="J20" s="228"/>
      <c r="K20" s="228"/>
      <c r="L20" s="228"/>
      <c r="M20" s="228"/>
      <c r="N20" s="228"/>
      <c r="Q20" s="228"/>
      <c r="U20" s="229"/>
      <c r="V20" s="229"/>
      <c r="AI20" s="228"/>
    </row>
    <row r="21" spans="1:35" ht="15">
      <c r="A21" s="235" t="s">
        <v>54</v>
      </c>
      <c r="B21" s="237">
        <v>0.54</v>
      </c>
      <c r="C21" s="400">
        <f t="shared" ref="C21:C36" si="2">C3</f>
        <v>0.01</v>
      </c>
      <c r="D21" s="237">
        <f t="shared" ref="D21:D36" si="3">B21*(1+C21)</f>
        <v>0.5454</v>
      </c>
      <c r="E21" s="400">
        <f t="shared" ref="E21:E36" si="4">E3</f>
        <v>0.03</v>
      </c>
      <c r="F21" s="254">
        <f t="shared" ref="F21:F36" si="5">D21*(1+E21)</f>
        <v>0.56176199999999998</v>
      </c>
      <c r="G21" s="228"/>
      <c r="I21" s="238"/>
      <c r="J21" s="239"/>
      <c r="K21" s="239"/>
      <c r="L21" s="240"/>
      <c r="M21" s="240"/>
      <c r="N21" s="241"/>
      <c r="O21" s="229"/>
    </row>
    <row r="22" spans="1:35" ht="15">
      <c r="A22" s="235" t="s">
        <v>60</v>
      </c>
      <c r="B22" s="237">
        <v>0</v>
      </c>
      <c r="C22" s="400">
        <f t="shared" si="2"/>
        <v>0.01</v>
      </c>
      <c r="D22" s="237">
        <f t="shared" si="3"/>
        <v>0</v>
      </c>
      <c r="E22" s="400">
        <f t="shared" si="4"/>
        <v>0.03</v>
      </c>
      <c r="F22" s="254">
        <f t="shared" si="5"/>
        <v>0</v>
      </c>
      <c r="G22" s="228"/>
      <c r="I22" s="238"/>
      <c r="J22" s="239"/>
      <c r="K22" s="239"/>
      <c r="L22" s="240"/>
      <c r="M22" s="240"/>
      <c r="N22" s="241"/>
      <c r="O22" s="229"/>
    </row>
    <row r="23" spans="1:35" ht="15">
      <c r="A23" s="235" t="s">
        <v>61</v>
      </c>
      <c r="B23" s="237">
        <v>0.2</v>
      </c>
      <c r="C23" s="400">
        <f t="shared" si="2"/>
        <v>0.05</v>
      </c>
      <c r="D23" s="237">
        <f t="shared" si="3"/>
        <v>0.21000000000000002</v>
      </c>
      <c r="E23" s="400">
        <f t="shared" si="4"/>
        <v>0.03</v>
      </c>
      <c r="F23" s="254">
        <f t="shared" si="5"/>
        <v>0.21630000000000002</v>
      </c>
      <c r="G23" s="228"/>
      <c r="I23" s="238"/>
      <c r="J23" s="239"/>
      <c r="K23" s="239"/>
      <c r="L23" s="240"/>
      <c r="M23" s="240"/>
      <c r="N23" s="241"/>
      <c r="O23" s="242"/>
      <c r="P23" s="243"/>
      <c r="Q23" s="244"/>
      <c r="R23" s="243"/>
      <c r="S23" s="243"/>
      <c r="T23" s="243"/>
      <c r="U23" s="243"/>
      <c r="V23" s="243"/>
      <c r="AI23" s="228"/>
    </row>
    <row r="24" spans="1:35" ht="15">
      <c r="A24" s="235" t="s">
        <v>62</v>
      </c>
      <c r="B24" s="237">
        <v>0</v>
      </c>
      <c r="C24" s="400">
        <f t="shared" si="2"/>
        <v>0.01</v>
      </c>
      <c r="D24" s="237">
        <f t="shared" si="3"/>
        <v>0</v>
      </c>
      <c r="E24" s="400">
        <f t="shared" si="4"/>
        <v>0.03</v>
      </c>
      <c r="F24" s="254">
        <f t="shared" si="5"/>
        <v>0</v>
      </c>
      <c r="G24" s="228"/>
      <c r="I24" s="238"/>
      <c r="J24" s="239"/>
      <c r="K24" s="239"/>
      <c r="L24" s="240"/>
      <c r="M24" s="240"/>
      <c r="N24" s="241"/>
      <c r="O24" s="229"/>
    </row>
    <row r="25" spans="1:35">
      <c r="A25" s="235" t="s">
        <v>63</v>
      </c>
      <c r="B25" s="237">
        <v>0.36</v>
      </c>
      <c r="C25" s="400">
        <f t="shared" si="2"/>
        <v>-0.02</v>
      </c>
      <c r="D25" s="237">
        <f t="shared" si="3"/>
        <v>0.3528</v>
      </c>
      <c r="E25" s="400">
        <f t="shared" si="4"/>
        <v>-0.02</v>
      </c>
      <c r="F25" s="254">
        <f t="shared" si="5"/>
        <v>0.345744</v>
      </c>
    </row>
    <row r="26" spans="1:35" ht="15">
      <c r="A26" s="235" t="s">
        <v>65</v>
      </c>
      <c r="B26" s="237">
        <v>0.108</v>
      </c>
      <c r="C26" s="400">
        <f t="shared" si="2"/>
        <v>0.01</v>
      </c>
      <c r="D26" s="237">
        <f t="shared" si="3"/>
        <v>0.10908</v>
      </c>
      <c r="E26" s="400">
        <f t="shared" si="4"/>
        <v>0.02</v>
      </c>
      <c r="F26" s="254">
        <f t="shared" si="5"/>
        <v>0.1112616</v>
      </c>
      <c r="G26" s="228"/>
      <c r="I26" s="238"/>
      <c r="J26" s="239"/>
      <c r="K26" s="239"/>
      <c r="L26" s="245"/>
      <c r="M26" s="240"/>
      <c r="N26" s="241"/>
      <c r="O26" s="229"/>
    </row>
    <row r="27" spans="1:35" ht="15">
      <c r="A27" s="235" t="s">
        <v>66</v>
      </c>
      <c r="B27" s="237">
        <v>0.23</v>
      </c>
      <c r="C27" s="400">
        <f t="shared" si="2"/>
        <v>-0.05</v>
      </c>
      <c r="D27" s="237">
        <f t="shared" si="3"/>
        <v>0.2185</v>
      </c>
      <c r="E27" s="400">
        <f t="shared" si="4"/>
        <v>0</v>
      </c>
      <c r="F27" s="254">
        <f t="shared" si="5"/>
        <v>0.2185</v>
      </c>
      <c r="G27" s="228"/>
      <c r="I27" s="238"/>
      <c r="J27" s="239"/>
      <c r="K27" s="239"/>
      <c r="L27" s="240"/>
      <c r="M27" s="240"/>
      <c r="N27" s="241"/>
      <c r="O27" s="229"/>
    </row>
    <row r="28" spans="1:35">
      <c r="A28" s="246" t="s">
        <v>67</v>
      </c>
      <c r="B28" s="237">
        <v>0.155</v>
      </c>
      <c r="C28" s="400">
        <f t="shared" si="2"/>
        <v>0.01</v>
      </c>
      <c r="D28" s="237">
        <f t="shared" si="3"/>
        <v>0.15654999999999999</v>
      </c>
      <c r="E28" s="400">
        <f t="shared" si="4"/>
        <v>0.03</v>
      </c>
      <c r="F28" s="254">
        <f t="shared" si="5"/>
        <v>0.16124649999999999</v>
      </c>
    </row>
    <row r="29" spans="1:35">
      <c r="A29" s="235" t="s">
        <v>68</v>
      </c>
      <c r="B29" s="237">
        <v>0.31900000000000001</v>
      </c>
      <c r="C29" s="400">
        <f t="shared" si="2"/>
        <v>0.1</v>
      </c>
      <c r="D29" s="237">
        <f t="shared" si="3"/>
        <v>0.35090000000000005</v>
      </c>
      <c r="E29" s="400">
        <f t="shared" si="4"/>
        <v>0.08</v>
      </c>
      <c r="F29" s="254">
        <f t="shared" si="5"/>
        <v>0.37897200000000009</v>
      </c>
      <c r="G29" s="228"/>
      <c r="I29" s="238"/>
      <c r="J29" s="247"/>
      <c r="K29" s="247"/>
      <c r="L29" s="247"/>
      <c r="M29" s="247"/>
      <c r="N29" s="241"/>
      <c r="Q29" s="228"/>
      <c r="T29" s="229"/>
      <c r="AI29" s="228"/>
    </row>
    <row r="30" spans="1:35">
      <c r="A30" s="235" t="s">
        <v>69</v>
      </c>
      <c r="B30" s="237">
        <v>1.05</v>
      </c>
      <c r="C30" s="400">
        <f t="shared" si="2"/>
        <v>0.1</v>
      </c>
      <c r="D30" s="237">
        <f t="shared" si="3"/>
        <v>1.1550000000000002</v>
      </c>
      <c r="E30" s="400">
        <f t="shared" si="4"/>
        <v>0.08</v>
      </c>
      <c r="F30" s="254">
        <f t="shared" si="5"/>
        <v>1.2474000000000003</v>
      </c>
      <c r="G30" s="228"/>
      <c r="I30" s="238"/>
      <c r="J30" s="247"/>
      <c r="K30" s="248"/>
      <c r="L30" s="247"/>
      <c r="M30" s="247"/>
      <c r="N30" s="241"/>
      <c r="O30" s="229"/>
    </row>
    <row r="31" spans="1:35">
      <c r="A31" s="235" t="s">
        <v>115</v>
      </c>
      <c r="B31" s="237">
        <v>0</v>
      </c>
      <c r="C31" s="400">
        <f t="shared" si="2"/>
        <v>0.01</v>
      </c>
      <c r="D31" s="237">
        <f t="shared" si="3"/>
        <v>0</v>
      </c>
      <c r="E31" s="400">
        <f t="shared" si="4"/>
        <v>0.03</v>
      </c>
      <c r="F31" s="254">
        <f t="shared" si="5"/>
        <v>0</v>
      </c>
      <c r="G31" s="230"/>
      <c r="H31" s="230"/>
      <c r="I31" s="230"/>
      <c r="J31" s="230"/>
      <c r="K31" s="230"/>
      <c r="L31" s="230"/>
      <c r="M31" s="230"/>
      <c r="N31" s="249"/>
    </row>
    <row r="32" spans="1:35" ht="15">
      <c r="A32" s="235" t="s">
        <v>72</v>
      </c>
      <c r="B32" s="237">
        <v>0.16</v>
      </c>
      <c r="C32" s="400">
        <f t="shared" si="2"/>
        <v>0.01</v>
      </c>
      <c r="D32" s="237">
        <f t="shared" si="3"/>
        <v>0.16159999999999999</v>
      </c>
      <c r="E32" s="400">
        <f t="shared" si="4"/>
        <v>0.03</v>
      </c>
      <c r="F32" s="254">
        <f t="shared" si="5"/>
        <v>0.16644799999999998</v>
      </c>
      <c r="G32" s="228"/>
      <c r="I32" s="238"/>
      <c r="J32" s="239"/>
      <c r="K32" s="239"/>
      <c r="L32" s="240"/>
      <c r="M32" s="240"/>
      <c r="N32" s="241"/>
    </row>
    <row r="33" spans="1:35">
      <c r="A33" s="235" t="s">
        <v>73</v>
      </c>
      <c r="B33" s="237">
        <v>0</v>
      </c>
      <c r="C33" s="400">
        <f t="shared" si="2"/>
        <v>0.05</v>
      </c>
      <c r="D33" s="237">
        <f t="shared" si="3"/>
        <v>0</v>
      </c>
      <c r="E33" s="400">
        <f t="shared" si="4"/>
        <v>0.05</v>
      </c>
      <c r="F33" s="254">
        <f t="shared" si="5"/>
        <v>0</v>
      </c>
      <c r="G33" s="228"/>
      <c r="I33" s="238"/>
      <c r="J33" s="247"/>
      <c r="K33" s="247"/>
      <c r="L33" s="247"/>
      <c r="M33" s="248"/>
      <c r="N33" s="241"/>
    </row>
    <row r="34" spans="1:35">
      <c r="A34" s="235" t="s">
        <v>74</v>
      </c>
      <c r="B34" s="237">
        <v>0.16</v>
      </c>
      <c r="C34" s="400">
        <f t="shared" si="2"/>
        <v>0.05</v>
      </c>
      <c r="D34" s="237">
        <f t="shared" si="3"/>
        <v>0.16800000000000001</v>
      </c>
      <c r="E34" s="400">
        <f t="shared" si="4"/>
        <v>0.05</v>
      </c>
      <c r="F34" s="254">
        <f t="shared" si="5"/>
        <v>0.17640000000000003</v>
      </c>
      <c r="G34" s="228"/>
      <c r="I34" s="238"/>
      <c r="J34" s="247"/>
      <c r="K34" s="247"/>
      <c r="L34" s="247"/>
      <c r="M34" s="248"/>
      <c r="N34" s="241"/>
    </row>
    <row r="35" spans="1:35">
      <c r="A35" s="235" t="s">
        <v>117</v>
      </c>
      <c r="B35" s="237">
        <v>0</v>
      </c>
      <c r="C35" s="400">
        <f t="shared" si="2"/>
        <v>0.01</v>
      </c>
      <c r="D35" s="237">
        <f t="shared" si="3"/>
        <v>0</v>
      </c>
      <c r="E35" s="400">
        <f t="shared" si="4"/>
        <v>0.03</v>
      </c>
      <c r="F35" s="254">
        <f t="shared" si="5"/>
        <v>0</v>
      </c>
      <c r="J35" s="228"/>
      <c r="K35" s="228"/>
      <c r="L35" s="228"/>
      <c r="M35" s="228"/>
      <c r="N35" s="250"/>
    </row>
    <row r="36" spans="1:35">
      <c r="A36" s="235" t="s">
        <v>76</v>
      </c>
      <c r="B36" s="237">
        <v>0</v>
      </c>
      <c r="C36" s="400">
        <f t="shared" si="2"/>
        <v>0.01</v>
      </c>
      <c r="D36" s="237">
        <f t="shared" si="3"/>
        <v>0</v>
      </c>
      <c r="E36" s="400">
        <f t="shared" si="4"/>
        <v>0.03</v>
      </c>
      <c r="F36" s="254">
        <f t="shared" si="5"/>
        <v>0</v>
      </c>
    </row>
    <row r="37" spans="1:35" ht="20.25">
      <c r="A37" s="596" t="s">
        <v>83</v>
      </c>
      <c r="B37" s="597"/>
      <c r="C37" s="597"/>
      <c r="D37" s="598"/>
      <c r="E37" s="597"/>
      <c r="F37" s="599"/>
      <c r="J37" s="228"/>
      <c r="K37" s="228"/>
      <c r="L37" s="228"/>
      <c r="M37" s="228"/>
      <c r="N37" s="228"/>
    </row>
    <row r="38" spans="1:35" ht="25.5">
      <c r="A38" s="246"/>
      <c r="B38" s="251" t="str">
        <f>B20</f>
        <v>2012 Price</v>
      </c>
      <c r="C38" s="251" t="str">
        <f>C20</f>
        <v>Price Change</v>
      </c>
      <c r="D38" s="251" t="str">
        <f>D20</f>
        <v>2013 Price</v>
      </c>
      <c r="E38" s="252" t="str">
        <f>E20</f>
        <v>Price Change</v>
      </c>
      <c r="F38" s="253" t="str">
        <f>F20</f>
        <v>2014 Price</v>
      </c>
      <c r="J38" s="228"/>
      <c r="K38" s="228"/>
      <c r="L38" s="228"/>
      <c r="M38" s="228"/>
      <c r="N38" s="228"/>
      <c r="Q38" s="228"/>
      <c r="U38" s="229"/>
      <c r="V38" s="229"/>
      <c r="AI38" s="228"/>
    </row>
    <row r="39" spans="1:35" ht="15">
      <c r="A39" s="235" t="s">
        <v>54</v>
      </c>
      <c r="B39" s="237">
        <v>0</v>
      </c>
      <c r="C39" s="400">
        <f t="shared" ref="C39:C54" si="6">C21</f>
        <v>0.01</v>
      </c>
      <c r="D39" s="237">
        <f t="shared" ref="D39:D54" si="7">B39*(1+C39)</f>
        <v>0</v>
      </c>
      <c r="E39" s="400">
        <f t="shared" ref="E39:E54" si="8">E21</f>
        <v>0.03</v>
      </c>
      <c r="F39" s="254">
        <f t="shared" ref="F39:F54" si="9">D39*(1+E39)</f>
        <v>0</v>
      </c>
      <c r="G39" s="228"/>
      <c r="I39" s="238"/>
      <c r="J39" s="239"/>
      <c r="K39" s="239"/>
      <c r="L39" s="240"/>
      <c r="M39" s="240"/>
      <c r="N39" s="241"/>
      <c r="O39" s="229"/>
    </row>
    <row r="40" spans="1:35" ht="15">
      <c r="A40" s="235" t="s">
        <v>60</v>
      </c>
      <c r="B40" s="237">
        <v>0.86</v>
      </c>
      <c r="C40" s="400">
        <f t="shared" si="6"/>
        <v>0.01</v>
      </c>
      <c r="D40" s="237">
        <f t="shared" si="7"/>
        <v>0.86860000000000004</v>
      </c>
      <c r="E40" s="400">
        <f t="shared" si="8"/>
        <v>0.03</v>
      </c>
      <c r="F40" s="254">
        <f t="shared" si="9"/>
        <v>0.89465800000000006</v>
      </c>
      <c r="G40" s="228"/>
      <c r="I40" s="238"/>
      <c r="J40" s="239"/>
      <c r="K40" s="239"/>
      <c r="L40" s="240"/>
      <c r="M40" s="240"/>
      <c r="N40" s="241"/>
      <c r="O40" s="229"/>
    </row>
    <row r="41" spans="1:35" ht="15">
      <c r="A41" s="235" t="s">
        <v>61</v>
      </c>
      <c r="B41" s="237">
        <v>0.41</v>
      </c>
      <c r="C41" s="400">
        <f t="shared" si="6"/>
        <v>0.05</v>
      </c>
      <c r="D41" s="237">
        <f t="shared" si="7"/>
        <v>0.43049999999999999</v>
      </c>
      <c r="E41" s="400">
        <f t="shared" si="8"/>
        <v>0.03</v>
      </c>
      <c r="F41" s="254">
        <f t="shared" si="9"/>
        <v>0.443415</v>
      </c>
      <c r="G41" s="228"/>
      <c r="I41" s="238"/>
      <c r="J41" s="239"/>
      <c r="K41" s="239"/>
      <c r="L41" s="240"/>
      <c r="M41" s="240"/>
      <c r="N41" s="241"/>
      <c r="O41" s="242"/>
      <c r="P41" s="243"/>
      <c r="Q41" s="244"/>
      <c r="R41" s="243"/>
      <c r="S41" s="243"/>
      <c r="T41" s="243"/>
      <c r="U41" s="243"/>
      <c r="V41" s="243"/>
      <c r="AI41" s="228"/>
    </row>
    <row r="42" spans="1:35" ht="15">
      <c r="A42" s="235" t="s">
        <v>62</v>
      </c>
      <c r="B42" s="237">
        <v>1.8006</v>
      </c>
      <c r="C42" s="400">
        <f t="shared" si="6"/>
        <v>0.01</v>
      </c>
      <c r="D42" s="237">
        <f t="shared" si="7"/>
        <v>1.8186059999999999</v>
      </c>
      <c r="E42" s="400">
        <f t="shared" si="8"/>
        <v>0.03</v>
      </c>
      <c r="F42" s="254">
        <f t="shared" si="9"/>
        <v>1.8731641800000001</v>
      </c>
      <c r="G42" s="228"/>
      <c r="I42" s="238"/>
      <c r="J42" s="239"/>
      <c r="K42" s="239"/>
      <c r="L42" s="240"/>
      <c r="M42" s="240"/>
      <c r="N42" s="241"/>
      <c r="O42" s="229"/>
    </row>
    <row r="43" spans="1:35">
      <c r="A43" s="235" t="s">
        <v>63</v>
      </c>
      <c r="B43" s="237">
        <v>0</v>
      </c>
      <c r="C43" s="400">
        <f t="shared" si="6"/>
        <v>-0.02</v>
      </c>
      <c r="D43" s="237">
        <f t="shared" si="7"/>
        <v>0</v>
      </c>
      <c r="E43" s="400">
        <f t="shared" si="8"/>
        <v>-0.02</v>
      </c>
      <c r="F43" s="254">
        <f t="shared" si="9"/>
        <v>0</v>
      </c>
    </row>
    <row r="44" spans="1:35" ht="15">
      <c r="A44" s="235" t="s">
        <v>65</v>
      </c>
      <c r="B44" s="237">
        <v>0.22</v>
      </c>
      <c r="C44" s="400">
        <f t="shared" si="6"/>
        <v>0.01</v>
      </c>
      <c r="D44" s="237">
        <f t="shared" si="7"/>
        <v>0.22220000000000001</v>
      </c>
      <c r="E44" s="400">
        <f t="shared" si="8"/>
        <v>0.02</v>
      </c>
      <c r="F44" s="254">
        <f t="shared" si="9"/>
        <v>0.22664400000000001</v>
      </c>
      <c r="G44" s="228"/>
      <c r="I44" s="238"/>
      <c r="J44" s="239"/>
      <c r="K44" s="239"/>
      <c r="L44" s="245"/>
      <c r="M44" s="240"/>
      <c r="N44" s="241"/>
      <c r="O44" s="229"/>
    </row>
    <row r="45" spans="1:35" ht="15">
      <c r="A45" s="235" t="s">
        <v>66</v>
      </c>
      <c r="B45" s="237">
        <v>0.42</v>
      </c>
      <c r="C45" s="400">
        <f t="shared" si="6"/>
        <v>-0.05</v>
      </c>
      <c r="D45" s="237">
        <f t="shared" si="7"/>
        <v>0.39899999999999997</v>
      </c>
      <c r="E45" s="400">
        <f t="shared" si="8"/>
        <v>0</v>
      </c>
      <c r="F45" s="254">
        <f t="shared" si="9"/>
        <v>0.39899999999999997</v>
      </c>
      <c r="G45" s="228"/>
      <c r="I45" s="238"/>
      <c r="J45" s="239"/>
      <c r="K45" s="239"/>
      <c r="L45" s="240"/>
      <c r="M45" s="240"/>
      <c r="N45" s="241"/>
      <c r="O45" s="229"/>
    </row>
    <row r="46" spans="1:35">
      <c r="A46" s="246" t="s">
        <v>67</v>
      </c>
      <c r="B46" s="237">
        <v>0</v>
      </c>
      <c r="C46" s="400">
        <f t="shared" si="6"/>
        <v>0.01</v>
      </c>
      <c r="D46" s="237">
        <f t="shared" si="7"/>
        <v>0</v>
      </c>
      <c r="E46" s="400">
        <f t="shared" si="8"/>
        <v>0.03</v>
      </c>
      <c r="F46" s="254">
        <f t="shared" si="9"/>
        <v>0</v>
      </c>
    </row>
    <row r="47" spans="1:35">
      <c r="A47" s="235" t="s">
        <v>68</v>
      </c>
      <c r="B47" s="237">
        <v>1.25</v>
      </c>
      <c r="C47" s="400">
        <f t="shared" si="6"/>
        <v>0.1</v>
      </c>
      <c r="D47" s="237">
        <f t="shared" si="7"/>
        <v>1.375</v>
      </c>
      <c r="E47" s="400">
        <f t="shared" si="8"/>
        <v>0.08</v>
      </c>
      <c r="F47" s="254">
        <f t="shared" si="9"/>
        <v>1.4850000000000001</v>
      </c>
      <c r="G47" s="228"/>
      <c r="I47" s="238"/>
      <c r="J47" s="247"/>
      <c r="K47" s="247"/>
      <c r="L47" s="247"/>
      <c r="M47" s="247"/>
      <c r="N47" s="241"/>
      <c r="Q47" s="228"/>
      <c r="T47" s="229"/>
      <c r="AI47" s="228"/>
    </row>
    <row r="48" spans="1:35">
      <c r="A48" s="235" t="s">
        <v>69</v>
      </c>
      <c r="B48" s="237">
        <v>0</v>
      </c>
      <c r="C48" s="400">
        <f t="shared" si="6"/>
        <v>0.1</v>
      </c>
      <c r="D48" s="237">
        <f t="shared" si="7"/>
        <v>0</v>
      </c>
      <c r="E48" s="400">
        <f t="shared" si="8"/>
        <v>0.08</v>
      </c>
      <c r="F48" s="254">
        <f t="shared" si="9"/>
        <v>0</v>
      </c>
      <c r="G48" s="228"/>
      <c r="I48" s="238"/>
      <c r="J48" s="247"/>
      <c r="K48" s="248"/>
      <c r="L48" s="247"/>
      <c r="M48" s="247"/>
      <c r="N48" s="241"/>
      <c r="O48" s="229"/>
    </row>
    <row r="49" spans="1:35">
      <c r="A49" s="235" t="s">
        <v>115</v>
      </c>
      <c r="B49" s="237">
        <v>0</v>
      </c>
      <c r="C49" s="400">
        <f t="shared" si="6"/>
        <v>0.01</v>
      </c>
      <c r="D49" s="237">
        <f t="shared" si="7"/>
        <v>0</v>
      </c>
      <c r="E49" s="400">
        <f t="shared" si="8"/>
        <v>0.03</v>
      </c>
      <c r="F49" s="254">
        <f t="shared" si="9"/>
        <v>0</v>
      </c>
      <c r="G49" s="230"/>
      <c r="H49" s="230"/>
      <c r="I49" s="230"/>
      <c r="J49" s="230"/>
      <c r="K49" s="230"/>
      <c r="L49" s="230"/>
      <c r="M49" s="230"/>
      <c r="N49" s="249"/>
    </row>
    <row r="50" spans="1:35" ht="15">
      <c r="A50" s="235" t="s">
        <v>72</v>
      </c>
      <c r="B50" s="237">
        <v>0</v>
      </c>
      <c r="C50" s="400">
        <f t="shared" si="6"/>
        <v>0.01</v>
      </c>
      <c r="D50" s="237">
        <f t="shared" si="7"/>
        <v>0</v>
      </c>
      <c r="E50" s="400">
        <f t="shared" si="8"/>
        <v>0.03</v>
      </c>
      <c r="F50" s="254">
        <f t="shared" si="9"/>
        <v>0</v>
      </c>
      <c r="G50" s="228"/>
      <c r="I50" s="238"/>
      <c r="J50" s="239"/>
      <c r="K50" s="239"/>
      <c r="L50" s="240"/>
      <c r="M50" s="240"/>
      <c r="N50" s="241"/>
    </row>
    <row r="51" spans="1:35">
      <c r="A51" s="235" t="s">
        <v>73</v>
      </c>
      <c r="B51" s="237">
        <v>0.2</v>
      </c>
      <c r="C51" s="400">
        <f t="shared" si="6"/>
        <v>0.05</v>
      </c>
      <c r="D51" s="237">
        <f t="shared" si="7"/>
        <v>0.21000000000000002</v>
      </c>
      <c r="E51" s="400">
        <f t="shared" si="8"/>
        <v>0.05</v>
      </c>
      <c r="F51" s="254">
        <f t="shared" si="9"/>
        <v>0.22050000000000003</v>
      </c>
      <c r="G51" s="228"/>
      <c r="I51" s="238"/>
      <c r="J51" s="247"/>
      <c r="K51" s="247"/>
      <c r="L51" s="247"/>
      <c r="M51" s="248"/>
      <c r="N51" s="241"/>
    </row>
    <row r="52" spans="1:35">
      <c r="A52" s="235" t="s">
        <v>74</v>
      </c>
      <c r="B52" s="237">
        <v>0.22</v>
      </c>
      <c r="C52" s="400">
        <f t="shared" si="6"/>
        <v>0.05</v>
      </c>
      <c r="D52" s="237">
        <f t="shared" si="7"/>
        <v>0.23100000000000001</v>
      </c>
      <c r="E52" s="400">
        <f t="shared" si="8"/>
        <v>0.05</v>
      </c>
      <c r="F52" s="254">
        <f t="shared" si="9"/>
        <v>0.24255000000000002</v>
      </c>
      <c r="G52" s="228"/>
      <c r="I52" s="238"/>
      <c r="J52" s="247"/>
      <c r="K52" s="247"/>
      <c r="L52" s="247"/>
      <c r="M52" s="248"/>
      <c r="N52" s="241"/>
    </row>
    <row r="53" spans="1:35">
      <c r="A53" s="235" t="s">
        <v>117</v>
      </c>
      <c r="B53" s="237">
        <v>1.23</v>
      </c>
      <c r="C53" s="400">
        <f t="shared" si="6"/>
        <v>0.01</v>
      </c>
      <c r="D53" s="237">
        <f t="shared" si="7"/>
        <v>1.2423</v>
      </c>
      <c r="E53" s="400">
        <f t="shared" si="8"/>
        <v>0.03</v>
      </c>
      <c r="F53" s="254">
        <f t="shared" si="9"/>
        <v>1.279569</v>
      </c>
      <c r="J53" s="228"/>
      <c r="K53" s="228"/>
      <c r="L53" s="228"/>
      <c r="M53" s="228"/>
      <c r="N53" s="250"/>
    </row>
    <row r="54" spans="1:35">
      <c r="A54" s="235" t="s">
        <v>76</v>
      </c>
      <c r="B54" s="237">
        <v>0.28000000000000003</v>
      </c>
      <c r="C54" s="400">
        <f t="shared" si="6"/>
        <v>0.01</v>
      </c>
      <c r="D54" s="237">
        <f t="shared" si="7"/>
        <v>0.28280000000000005</v>
      </c>
      <c r="E54" s="400">
        <f t="shared" si="8"/>
        <v>0.03</v>
      </c>
      <c r="F54" s="254">
        <f t="shared" si="9"/>
        <v>0.29128400000000004</v>
      </c>
    </row>
    <row r="55" spans="1:35" ht="19.5" customHeight="1">
      <c r="A55" s="600" t="s">
        <v>85</v>
      </c>
      <c r="B55" s="601"/>
      <c r="C55" s="601"/>
      <c r="D55" s="601"/>
      <c r="E55" s="601"/>
      <c r="F55" s="602"/>
      <c r="J55" s="228"/>
      <c r="K55" s="228"/>
      <c r="L55" s="228"/>
      <c r="M55" s="228"/>
      <c r="N55" s="228"/>
    </row>
    <row r="56" spans="1:35" ht="25.5">
      <c r="A56" s="246"/>
      <c r="B56" s="251" t="str">
        <f>B38</f>
        <v>2012 Price</v>
      </c>
      <c r="C56" s="251" t="str">
        <f>C38</f>
        <v>Price Change</v>
      </c>
      <c r="D56" s="251" t="str">
        <f>D38</f>
        <v>2013 Price</v>
      </c>
      <c r="E56" s="252" t="str">
        <f>E38</f>
        <v>Price Change</v>
      </c>
      <c r="F56" s="253" t="str">
        <f>F38</f>
        <v>2014 Price</v>
      </c>
      <c r="J56" s="228"/>
      <c r="K56" s="228"/>
      <c r="L56" s="228"/>
      <c r="M56" s="228"/>
      <c r="N56" s="228"/>
      <c r="Q56" s="228"/>
      <c r="U56" s="229"/>
      <c r="V56" s="229"/>
      <c r="AI56" s="228"/>
    </row>
    <row r="57" spans="1:35" ht="15">
      <c r="A57" s="235" t="s">
        <v>54</v>
      </c>
      <c r="B57" s="237">
        <v>0.13750000000000001</v>
      </c>
      <c r="C57" s="400">
        <f t="shared" ref="C57:C72" si="10">C39</f>
        <v>0.01</v>
      </c>
      <c r="D57" s="237">
        <f t="shared" ref="D57:D72" si="11">B57*(1+C57)</f>
        <v>0.13887500000000003</v>
      </c>
      <c r="E57" s="400">
        <f t="shared" ref="E57:E72" si="12">E39</f>
        <v>0.03</v>
      </c>
      <c r="F57" s="254">
        <f t="shared" ref="F57:F72" si="13">D57*(1+E57)</f>
        <v>0.14304125000000004</v>
      </c>
      <c r="G57" s="228"/>
      <c r="I57" s="238"/>
      <c r="J57" s="239"/>
      <c r="K57" s="239"/>
      <c r="L57" s="240"/>
      <c r="M57" s="240"/>
      <c r="N57" s="241"/>
      <c r="O57" s="229"/>
    </row>
    <row r="58" spans="1:35" ht="15">
      <c r="A58" s="235" t="s">
        <v>60</v>
      </c>
      <c r="B58" s="237">
        <v>0</v>
      </c>
      <c r="C58" s="400">
        <f t="shared" si="10"/>
        <v>0.01</v>
      </c>
      <c r="D58" s="237">
        <f t="shared" si="11"/>
        <v>0</v>
      </c>
      <c r="E58" s="400">
        <f t="shared" si="12"/>
        <v>0.03</v>
      </c>
      <c r="F58" s="254">
        <f t="shared" si="13"/>
        <v>0</v>
      </c>
      <c r="G58" s="228"/>
      <c r="I58" s="238"/>
      <c r="J58" s="239"/>
      <c r="K58" s="239"/>
      <c r="L58" s="240"/>
      <c r="M58" s="240"/>
      <c r="N58" s="241"/>
      <c r="O58" s="229"/>
    </row>
    <row r="59" spans="1:35" ht="15">
      <c r="A59" s="235" t="s">
        <v>61</v>
      </c>
      <c r="B59" s="237">
        <v>0.2</v>
      </c>
      <c r="C59" s="400">
        <f t="shared" si="10"/>
        <v>0.05</v>
      </c>
      <c r="D59" s="237">
        <f t="shared" si="11"/>
        <v>0.21000000000000002</v>
      </c>
      <c r="E59" s="400">
        <f t="shared" si="12"/>
        <v>0.03</v>
      </c>
      <c r="F59" s="254">
        <f t="shared" si="13"/>
        <v>0.21630000000000002</v>
      </c>
      <c r="G59" s="228"/>
      <c r="I59" s="238"/>
      <c r="J59" s="239"/>
      <c r="K59" s="239"/>
      <c r="L59" s="240"/>
      <c r="M59" s="240"/>
      <c r="N59" s="241"/>
      <c r="O59" s="242"/>
      <c r="P59" s="243"/>
      <c r="Q59" s="244"/>
      <c r="R59" s="243"/>
      <c r="S59" s="243"/>
      <c r="T59" s="243"/>
      <c r="U59" s="243"/>
      <c r="V59" s="243"/>
      <c r="AI59" s="228"/>
    </row>
    <row r="60" spans="1:35" ht="15">
      <c r="A60" s="235" t="s">
        <v>62</v>
      </c>
      <c r="B60" s="237">
        <v>0</v>
      </c>
      <c r="C60" s="400">
        <f t="shared" si="10"/>
        <v>0.01</v>
      </c>
      <c r="D60" s="237">
        <f t="shared" si="11"/>
        <v>0</v>
      </c>
      <c r="E60" s="400">
        <f t="shared" si="12"/>
        <v>0.03</v>
      </c>
      <c r="F60" s="254">
        <f t="shared" si="13"/>
        <v>0</v>
      </c>
      <c r="G60" s="228"/>
      <c r="I60" s="238"/>
      <c r="J60" s="239"/>
      <c r="K60" s="239"/>
      <c r="L60" s="240"/>
      <c r="M60" s="240"/>
      <c r="N60" s="241"/>
      <c r="O60" s="229"/>
    </row>
    <row r="61" spans="1:35">
      <c r="A61" s="235" t="s">
        <v>63</v>
      </c>
      <c r="B61" s="237">
        <v>0.36</v>
      </c>
      <c r="C61" s="400">
        <f t="shared" si="10"/>
        <v>-0.02</v>
      </c>
      <c r="D61" s="237">
        <f t="shared" si="11"/>
        <v>0.3528</v>
      </c>
      <c r="E61" s="400">
        <f t="shared" si="12"/>
        <v>-0.02</v>
      </c>
      <c r="F61" s="254">
        <f t="shared" si="13"/>
        <v>0.345744</v>
      </c>
    </row>
    <row r="62" spans="1:35" ht="15">
      <c r="A62" s="235" t="s">
        <v>65</v>
      </c>
      <c r="B62" s="237">
        <v>0</v>
      </c>
      <c r="C62" s="400">
        <f t="shared" si="10"/>
        <v>0.01</v>
      </c>
      <c r="D62" s="237">
        <f t="shared" si="11"/>
        <v>0</v>
      </c>
      <c r="E62" s="400">
        <f t="shared" si="12"/>
        <v>0.02</v>
      </c>
      <c r="F62" s="254">
        <f t="shared" si="13"/>
        <v>0</v>
      </c>
      <c r="G62" s="228"/>
      <c r="I62" s="238"/>
      <c r="J62" s="239"/>
      <c r="K62" s="239"/>
      <c r="L62" s="245"/>
      <c r="M62" s="240"/>
      <c r="N62" s="241"/>
      <c r="O62" s="229"/>
    </row>
    <row r="63" spans="1:35" ht="15">
      <c r="A63" s="235" t="s">
        <v>66</v>
      </c>
      <c r="B63" s="237">
        <v>0.23</v>
      </c>
      <c r="C63" s="400">
        <f t="shared" si="10"/>
        <v>-0.05</v>
      </c>
      <c r="D63" s="237">
        <f t="shared" si="11"/>
        <v>0.2185</v>
      </c>
      <c r="E63" s="400">
        <f t="shared" si="12"/>
        <v>0</v>
      </c>
      <c r="F63" s="254">
        <f t="shared" si="13"/>
        <v>0.2185</v>
      </c>
      <c r="G63" s="228"/>
      <c r="I63" s="238"/>
      <c r="J63" s="239"/>
      <c r="K63" s="239"/>
      <c r="L63" s="240"/>
      <c r="M63" s="240"/>
      <c r="N63" s="241"/>
      <c r="O63" s="229"/>
    </row>
    <row r="64" spans="1:35">
      <c r="A64" s="246" t="s">
        <v>67</v>
      </c>
      <c r="B64" s="237">
        <v>0.155</v>
      </c>
      <c r="C64" s="400">
        <f t="shared" si="10"/>
        <v>0.01</v>
      </c>
      <c r="D64" s="237">
        <f t="shared" si="11"/>
        <v>0.15654999999999999</v>
      </c>
      <c r="E64" s="400">
        <f t="shared" si="12"/>
        <v>0.03</v>
      </c>
      <c r="F64" s="254">
        <f t="shared" si="13"/>
        <v>0.16124649999999999</v>
      </c>
    </row>
    <row r="65" spans="1:35">
      <c r="A65" s="235" t="s">
        <v>68</v>
      </c>
      <c r="B65" s="237">
        <v>0.75</v>
      </c>
      <c r="C65" s="400">
        <f t="shared" si="10"/>
        <v>0.1</v>
      </c>
      <c r="D65" s="237">
        <f t="shared" si="11"/>
        <v>0.82500000000000007</v>
      </c>
      <c r="E65" s="400">
        <f t="shared" si="12"/>
        <v>0.08</v>
      </c>
      <c r="F65" s="254">
        <f t="shared" si="13"/>
        <v>0.89100000000000013</v>
      </c>
      <c r="G65" s="228"/>
      <c r="I65" s="238"/>
      <c r="J65" s="247"/>
      <c r="K65" s="247"/>
      <c r="L65" s="247"/>
      <c r="M65" s="247"/>
      <c r="N65" s="241"/>
      <c r="Q65" s="228"/>
      <c r="T65" s="229"/>
      <c r="AI65" s="228"/>
    </row>
    <row r="66" spans="1:35">
      <c r="A66" s="235" t="s">
        <v>69</v>
      </c>
      <c r="B66" s="237">
        <v>0</v>
      </c>
      <c r="C66" s="400">
        <f t="shared" si="10"/>
        <v>0.1</v>
      </c>
      <c r="D66" s="237">
        <f t="shared" si="11"/>
        <v>0</v>
      </c>
      <c r="E66" s="400">
        <f t="shared" si="12"/>
        <v>0.08</v>
      </c>
      <c r="F66" s="254">
        <f t="shared" si="13"/>
        <v>0</v>
      </c>
      <c r="G66" s="228"/>
      <c r="I66" s="238"/>
      <c r="J66" s="247"/>
      <c r="K66" s="248"/>
      <c r="L66" s="247"/>
      <c r="M66" s="247"/>
      <c r="N66" s="241"/>
      <c r="O66" s="229"/>
    </row>
    <row r="67" spans="1:35">
      <c r="A67" s="235" t="s">
        <v>115</v>
      </c>
      <c r="B67" s="237">
        <v>2.54</v>
      </c>
      <c r="C67" s="400">
        <f t="shared" si="10"/>
        <v>0.01</v>
      </c>
      <c r="D67" s="237">
        <f t="shared" si="11"/>
        <v>2.5653999999999999</v>
      </c>
      <c r="E67" s="400">
        <f t="shared" si="12"/>
        <v>0.03</v>
      </c>
      <c r="F67" s="254">
        <f t="shared" si="13"/>
        <v>2.6423619999999999</v>
      </c>
      <c r="G67" s="230"/>
      <c r="H67" s="230"/>
      <c r="I67" s="230"/>
      <c r="J67" s="230"/>
      <c r="K67" s="230"/>
      <c r="L67" s="230"/>
      <c r="M67" s="230"/>
      <c r="N67" s="249"/>
    </row>
    <row r="68" spans="1:35" ht="15">
      <c r="A68" s="235" t="s">
        <v>72</v>
      </c>
      <c r="B68" s="237">
        <v>0.16</v>
      </c>
      <c r="C68" s="400">
        <f t="shared" si="10"/>
        <v>0.01</v>
      </c>
      <c r="D68" s="237">
        <f t="shared" si="11"/>
        <v>0.16159999999999999</v>
      </c>
      <c r="E68" s="400">
        <f t="shared" si="12"/>
        <v>0.03</v>
      </c>
      <c r="F68" s="254">
        <f t="shared" si="13"/>
        <v>0.16644799999999998</v>
      </c>
      <c r="G68" s="228"/>
      <c r="I68" s="238"/>
      <c r="J68" s="239"/>
      <c r="K68" s="239"/>
      <c r="L68" s="240"/>
      <c r="M68" s="240"/>
      <c r="N68" s="241"/>
    </row>
    <row r="69" spans="1:35">
      <c r="A69" s="235" t="s">
        <v>113</v>
      </c>
      <c r="B69" s="237">
        <v>0.1</v>
      </c>
      <c r="C69" s="400">
        <f t="shared" si="10"/>
        <v>0.05</v>
      </c>
      <c r="D69" s="237">
        <f t="shared" si="11"/>
        <v>0.10500000000000001</v>
      </c>
      <c r="E69" s="400">
        <f t="shared" si="12"/>
        <v>0.05</v>
      </c>
      <c r="F69" s="254">
        <f t="shared" si="13"/>
        <v>0.11025000000000001</v>
      </c>
      <c r="G69" s="228"/>
      <c r="I69" s="238"/>
      <c r="J69" s="247"/>
      <c r="K69" s="247"/>
      <c r="L69" s="247"/>
      <c r="M69" s="248"/>
      <c r="N69" s="241"/>
    </row>
    <row r="70" spans="1:35">
      <c r="A70" s="235" t="s">
        <v>74</v>
      </c>
      <c r="B70" s="237">
        <v>0</v>
      </c>
      <c r="C70" s="400">
        <f t="shared" si="10"/>
        <v>0.05</v>
      </c>
      <c r="D70" s="237">
        <f t="shared" si="11"/>
        <v>0</v>
      </c>
      <c r="E70" s="400">
        <f t="shared" si="12"/>
        <v>0.05</v>
      </c>
      <c r="F70" s="254">
        <f t="shared" si="13"/>
        <v>0</v>
      </c>
      <c r="G70" s="228"/>
      <c r="I70" s="238"/>
      <c r="J70" s="247"/>
      <c r="K70" s="247"/>
      <c r="L70" s="247"/>
      <c r="M70" s="248"/>
      <c r="N70" s="241"/>
    </row>
    <row r="71" spans="1:35">
      <c r="A71" s="235" t="s">
        <v>117</v>
      </c>
      <c r="B71" s="237">
        <v>0.93</v>
      </c>
      <c r="C71" s="400">
        <f t="shared" si="10"/>
        <v>0.01</v>
      </c>
      <c r="D71" s="237">
        <f t="shared" si="11"/>
        <v>0.93930000000000002</v>
      </c>
      <c r="E71" s="400">
        <f t="shared" si="12"/>
        <v>0.03</v>
      </c>
      <c r="F71" s="254">
        <f t="shared" si="13"/>
        <v>0.96747900000000009</v>
      </c>
      <c r="J71" s="228"/>
      <c r="K71" s="228"/>
      <c r="L71" s="228"/>
      <c r="M71" s="228"/>
      <c r="N71" s="250"/>
    </row>
    <row r="72" spans="1:35">
      <c r="A72" s="235" t="s">
        <v>76</v>
      </c>
      <c r="B72" s="237">
        <v>0</v>
      </c>
      <c r="C72" s="400">
        <f t="shared" si="10"/>
        <v>0.01</v>
      </c>
      <c r="D72" s="237">
        <f t="shared" si="11"/>
        <v>0</v>
      </c>
      <c r="E72" s="400">
        <f t="shared" si="12"/>
        <v>0.03</v>
      </c>
      <c r="F72" s="254">
        <f t="shared" si="13"/>
        <v>0</v>
      </c>
    </row>
    <row r="73" spans="1:35" ht="19.5" customHeight="1">
      <c r="A73" s="596" t="s">
        <v>126</v>
      </c>
      <c r="B73" s="597"/>
      <c r="C73" s="597"/>
      <c r="D73" s="598"/>
      <c r="E73" s="597"/>
      <c r="F73" s="599"/>
      <c r="J73" s="228"/>
      <c r="K73" s="228"/>
      <c r="L73" s="228"/>
      <c r="M73" s="228"/>
      <c r="N73" s="228"/>
    </row>
    <row r="74" spans="1:35" ht="25.5">
      <c r="A74" s="246"/>
      <c r="B74" s="251" t="str">
        <f>B56</f>
        <v>2012 Price</v>
      </c>
      <c r="C74" s="251" t="str">
        <f>C56</f>
        <v>Price Change</v>
      </c>
      <c r="D74" s="251" t="str">
        <f>D56</f>
        <v>2013 Price</v>
      </c>
      <c r="E74" s="252" t="str">
        <f>E56</f>
        <v>Price Change</v>
      </c>
      <c r="F74" s="253" t="str">
        <f>F56</f>
        <v>2014 Price</v>
      </c>
      <c r="J74" s="228"/>
      <c r="K74" s="228"/>
      <c r="L74" s="228"/>
      <c r="M74" s="228"/>
      <c r="N74" s="228"/>
      <c r="Q74" s="228"/>
      <c r="U74" s="229"/>
      <c r="V74" s="229"/>
      <c r="AI74" s="228"/>
    </row>
    <row r="75" spans="1:35" ht="15">
      <c r="A75" s="235" t="s">
        <v>127</v>
      </c>
      <c r="B75" s="237">
        <v>0</v>
      </c>
      <c r="C75" s="236">
        <f>'Supply Chain Assumptions'!$B$18</f>
        <v>0.01</v>
      </c>
      <c r="D75" s="237">
        <f>B75*(1+C75)</f>
        <v>0</v>
      </c>
      <c r="E75" s="236">
        <f>'Supply Chain Assumptions'!$C$18</f>
        <v>0.03</v>
      </c>
      <c r="F75" s="254">
        <f>D75*(1+E75)</f>
        <v>0</v>
      </c>
      <c r="G75" s="228"/>
      <c r="I75" s="238"/>
      <c r="J75" s="239"/>
      <c r="K75" s="239"/>
      <c r="L75" s="240"/>
      <c r="M75" s="240"/>
      <c r="N75" s="241"/>
      <c r="O75" s="229"/>
    </row>
    <row r="76" spans="1:35" ht="15">
      <c r="A76" s="235" t="s">
        <v>128</v>
      </c>
      <c r="B76" s="237">
        <v>0.22</v>
      </c>
      <c r="C76" s="236">
        <f>'Supply Chain Assumptions'!$B$18</f>
        <v>0.01</v>
      </c>
      <c r="D76" s="237">
        <f>B76*(1+C76)</f>
        <v>0.22220000000000001</v>
      </c>
      <c r="E76" s="236">
        <f>'Supply Chain Assumptions'!$C$18</f>
        <v>0.03</v>
      </c>
      <c r="F76" s="254">
        <f>D76*(1+E76)</f>
        <v>0.22886600000000001</v>
      </c>
      <c r="G76" s="228"/>
      <c r="I76" s="238"/>
      <c r="J76" s="239"/>
      <c r="K76" s="239"/>
      <c r="L76" s="240"/>
      <c r="M76" s="240"/>
      <c r="N76" s="241"/>
      <c r="O76" s="229"/>
    </row>
    <row r="77" spans="1:35" ht="15">
      <c r="A77" s="235" t="s">
        <v>61</v>
      </c>
      <c r="B77" s="237">
        <v>0.41</v>
      </c>
      <c r="C77" s="236">
        <f>'Supply Chain Assumptions'!$B$10</f>
        <v>0.05</v>
      </c>
      <c r="D77" s="237">
        <f>B77*(1+C77)</f>
        <v>0.43049999999999999</v>
      </c>
      <c r="E77" s="236">
        <f>'Supply Chain Assumptions'!$C$10</f>
        <v>0.03</v>
      </c>
      <c r="F77" s="254">
        <f>D77*(1+E77)</f>
        <v>0.443415</v>
      </c>
      <c r="G77" s="228"/>
      <c r="I77" s="238"/>
      <c r="J77" s="239"/>
      <c r="K77" s="239"/>
      <c r="L77" s="240"/>
      <c r="M77" s="240"/>
      <c r="N77" s="241"/>
      <c r="O77" s="242"/>
      <c r="P77" s="243"/>
      <c r="Q77" s="244"/>
      <c r="R77" s="243"/>
      <c r="S77" s="243"/>
      <c r="T77" s="243"/>
      <c r="U77" s="243"/>
      <c r="V77" s="243"/>
      <c r="AI77" s="228"/>
    </row>
    <row r="78" spans="1:35" ht="15">
      <c r="A78" s="235" t="s">
        <v>67</v>
      </c>
      <c r="B78" s="237">
        <v>2.5499999999999998</v>
      </c>
      <c r="C78" s="236">
        <f>'Supply Chain Assumptions'!$B$18</f>
        <v>0.01</v>
      </c>
      <c r="D78" s="237">
        <f>B78*(1+C78)</f>
        <v>2.5754999999999999</v>
      </c>
      <c r="E78" s="236">
        <f>'Supply Chain Assumptions'!$C$18</f>
        <v>0.03</v>
      </c>
      <c r="F78" s="254">
        <f>D78*(1+E78)</f>
        <v>2.652765</v>
      </c>
      <c r="G78" s="228"/>
      <c r="I78" s="238"/>
      <c r="J78" s="239"/>
      <c r="K78" s="239"/>
      <c r="L78" s="240"/>
      <c r="M78" s="240"/>
      <c r="N78" s="241"/>
      <c r="O78" s="229"/>
    </row>
    <row r="79" spans="1:35">
      <c r="A79" s="235" t="s">
        <v>129</v>
      </c>
      <c r="B79" s="237">
        <v>0.5</v>
      </c>
      <c r="C79" s="236">
        <f>'Supply Chain Assumptions'!$B$18</f>
        <v>0.01</v>
      </c>
      <c r="D79" s="237">
        <f>B79*(1+C79)</f>
        <v>0.505</v>
      </c>
      <c r="E79" s="236">
        <f>'Supply Chain Assumptions'!$C$18</f>
        <v>0.03</v>
      </c>
      <c r="F79" s="254">
        <f>D79*(1+E79)</f>
        <v>0.52015</v>
      </c>
    </row>
    <row r="80" spans="1:35" ht="20.25">
      <c r="A80" s="596" t="s">
        <v>130</v>
      </c>
      <c r="B80" s="597"/>
      <c r="C80" s="597"/>
      <c r="D80" s="598"/>
      <c r="E80" s="597"/>
      <c r="F80" s="599"/>
      <c r="J80" s="228"/>
      <c r="K80" s="228"/>
      <c r="L80" s="228"/>
      <c r="M80" s="228"/>
      <c r="N80" s="228"/>
    </row>
    <row r="81" spans="1:35" ht="25.5">
      <c r="A81" s="246"/>
      <c r="B81" s="251" t="str">
        <f>B74</f>
        <v>2012 Price</v>
      </c>
      <c r="C81" s="251" t="str">
        <f>C74</f>
        <v>Price Change</v>
      </c>
      <c r="D81" s="251" t="str">
        <f>D74</f>
        <v>2013 Price</v>
      </c>
      <c r="E81" s="251" t="str">
        <f>E74</f>
        <v>Price Change</v>
      </c>
      <c r="F81" s="253" t="str">
        <f>F74</f>
        <v>2014 Price</v>
      </c>
      <c r="J81" s="228"/>
      <c r="K81" s="228"/>
      <c r="L81" s="228"/>
      <c r="M81" s="228"/>
      <c r="N81" s="228"/>
      <c r="Q81" s="228"/>
      <c r="U81" s="229"/>
      <c r="V81" s="229"/>
      <c r="AI81" s="228"/>
    </row>
    <row r="82" spans="1:35" ht="15">
      <c r="A82" s="235" t="s">
        <v>61</v>
      </c>
      <c r="B82" s="237">
        <v>1.92</v>
      </c>
      <c r="C82" s="236">
        <f>'Supply Chain Assumptions'!$B$17</f>
        <v>0.05</v>
      </c>
      <c r="D82" s="237">
        <f>B82*(1+C82)</f>
        <v>2.016</v>
      </c>
      <c r="E82" s="236">
        <f>'Supply Chain Assumptions'!$C$17</f>
        <v>0.05</v>
      </c>
      <c r="F82" s="254">
        <f>D82*(1+E82)</f>
        <v>2.1168</v>
      </c>
      <c r="G82" s="228"/>
      <c r="I82" s="238"/>
      <c r="J82" s="239"/>
      <c r="K82" s="239"/>
      <c r="L82" s="240"/>
      <c r="M82" s="240"/>
      <c r="N82" s="241"/>
      <c r="O82" s="229"/>
    </row>
    <row r="83" spans="1:35" ht="15.75" thickBot="1">
      <c r="A83" s="255" t="s">
        <v>131</v>
      </c>
      <c r="B83" s="257">
        <v>0.54</v>
      </c>
      <c r="C83" s="256">
        <f>'Supply Chain Assumptions'!$B$18</f>
        <v>0.01</v>
      </c>
      <c r="D83" s="257">
        <f>B83*(1+C83)</f>
        <v>0.5454</v>
      </c>
      <c r="E83" s="258">
        <f>'Supply Chain Assumptions'!$C$18</f>
        <v>0.03</v>
      </c>
      <c r="F83" s="259">
        <f>D83*(1+E83)</f>
        <v>0.56176199999999998</v>
      </c>
      <c r="G83" s="228"/>
      <c r="I83" s="238"/>
      <c r="J83" s="239"/>
      <c r="K83" s="239"/>
      <c r="L83" s="240"/>
      <c r="M83" s="240"/>
      <c r="N83" s="241"/>
      <c r="O83" s="242"/>
      <c r="P83" s="243"/>
      <c r="Q83" s="244"/>
      <c r="R83" s="243"/>
      <c r="S83" s="243"/>
      <c r="T83" s="243"/>
      <c r="U83" s="243"/>
      <c r="V83" s="243"/>
      <c r="AI83" s="228"/>
    </row>
    <row r="84" spans="1:35" s="263" customFormat="1">
      <c r="A84" s="260"/>
      <c r="B84" s="261">
        <f>AVERAGE(B82:B83)</f>
        <v>1.23</v>
      </c>
      <c r="C84" s="262"/>
      <c r="D84" s="261">
        <f>AVERAGE(D82:D83)</f>
        <v>1.2806999999999999</v>
      </c>
      <c r="E84" s="262"/>
      <c r="F84" s="261">
        <f>AVERAGE(F82:F83)</f>
        <v>1.3392809999999999</v>
      </c>
    </row>
    <row r="85" spans="1:35" s="263" customFormat="1">
      <c r="A85" s="260"/>
      <c r="B85" s="261"/>
      <c r="C85" s="262"/>
      <c r="D85" s="261"/>
      <c r="E85" s="262"/>
      <c r="F85" s="261"/>
    </row>
    <row r="86" spans="1:35" s="263" customFormat="1">
      <c r="A86" s="260"/>
      <c r="B86" s="261"/>
      <c r="C86" s="262"/>
      <c r="D86" s="261"/>
      <c r="E86" s="262"/>
      <c r="F86" s="261"/>
    </row>
    <row r="87" spans="1:35" s="263" customFormat="1">
      <c r="A87" s="260"/>
      <c r="B87" s="261"/>
      <c r="C87" s="262"/>
      <c r="D87" s="261"/>
      <c r="E87" s="262"/>
      <c r="F87" s="261"/>
    </row>
    <row r="88" spans="1:35" s="263" customFormat="1">
      <c r="A88" s="260"/>
      <c r="B88" s="261"/>
      <c r="C88" s="262"/>
      <c r="D88" s="261"/>
      <c r="E88" s="262"/>
      <c r="F88" s="261"/>
    </row>
    <row r="89" spans="1:35" s="263" customFormat="1">
      <c r="A89" s="260"/>
      <c r="B89" s="261"/>
      <c r="C89" s="262"/>
      <c r="D89" s="261"/>
      <c r="E89" s="262"/>
      <c r="F89" s="261"/>
    </row>
    <row r="90" spans="1:35" s="263" customFormat="1">
      <c r="A90" s="260"/>
      <c r="B90" s="261"/>
      <c r="C90" s="262"/>
      <c r="D90" s="261"/>
      <c r="E90" s="262"/>
      <c r="F90" s="261"/>
    </row>
    <row r="91" spans="1:35" s="263" customFormat="1">
      <c r="A91" s="260"/>
      <c r="B91" s="261"/>
      <c r="C91" s="262"/>
      <c r="D91" s="261"/>
      <c r="E91" s="262"/>
      <c r="F91" s="261"/>
    </row>
    <row r="92" spans="1:35" s="263" customFormat="1">
      <c r="A92" s="260"/>
      <c r="B92" s="261"/>
      <c r="C92" s="262"/>
      <c r="D92" s="261"/>
      <c r="E92" s="262"/>
      <c r="F92" s="261"/>
    </row>
    <row r="93" spans="1:35" s="263" customFormat="1">
      <c r="A93" s="260"/>
      <c r="B93" s="261"/>
      <c r="C93" s="262"/>
      <c r="D93" s="261"/>
      <c r="E93" s="262"/>
      <c r="F93" s="261"/>
    </row>
    <row r="94" spans="1:35" s="263" customFormat="1">
      <c r="A94" s="260"/>
      <c r="B94" s="261"/>
      <c r="C94" s="262"/>
      <c r="D94" s="261"/>
      <c r="E94" s="262"/>
      <c r="F94" s="261"/>
    </row>
    <row r="95" spans="1:35" s="263" customFormat="1">
      <c r="A95" s="260"/>
      <c r="B95" s="261"/>
      <c r="C95" s="262"/>
      <c r="D95" s="261"/>
      <c r="E95" s="262"/>
      <c r="F95" s="261"/>
    </row>
    <row r="96" spans="1:35" s="263" customFormat="1">
      <c r="A96" s="260"/>
      <c r="B96" s="261"/>
      <c r="C96" s="262"/>
      <c r="D96" s="261"/>
      <c r="E96" s="262"/>
      <c r="F96" s="261"/>
    </row>
    <row r="97" spans="1:6" s="263" customFormat="1">
      <c r="A97" s="260"/>
      <c r="B97" s="261"/>
      <c r="C97" s="262"/>
      <c r="D97" s="261"/>
      <c r="E97" s="262"/>
      <c r="F97" s="261"/>
    </row>
    <row r="98" spans="1:6" s="263" customFormat="1">
      <c r="A98" s="260"/>
      <c r="B98" s="261"/>
      <c r="C98" s="262"/>
      <c r="D98" s="261"/>
      <c r="E98" s="262"/>
      <c r="F98" s="261"/>
    </row>
    <row r="99" spans="1:6" s="263" customFormat="1">
      <c r="A99" s="260"/>
      <c r="B99" s="261"/>
      <c r="C99" s="262"/>
      <c r="D99" s="261"/>
      <c r="E99" s="262"/>
      <c r="F99" s="261"/>
    </row>
    <row r="100" spans="1:6" s="263" customFormat="1">
      <c r="A100" s="260"/>
      <c r="B100" s="261"/>
      <c r="C100" s="262"/>
      <c r="D100" s="261"/>
      <c r="E100" s="262"/>
      <c r="F100" s="261"/>
    </row>
    <row r="101" spans="1:6" s="263" customFormat="1">
      <c r="A101" s="260"/>
      <c r="B101" s="261"/>
      <c r="C101" s="262"/>
      <c r="D101" s="261"/>
      <c r="E101" s="262"/>
      <c r="F101" s="261"/>
    </row>
    <row r="102" spans="1:6" s="263" customFormat="1">
      <c r="A102" s="260"/>
      <c r="B102" s="261"/>
      <c r="C102" s="262"/>
      <c r="D102" s="261"/>
      <c r="E102" s="262"/>
      <c r="F102" s="261"/>
    </row>
    <row r="103" spans="1:6" s="263" customFormat="1">
      <c r="A103" s="260"/>
      <c r="B103" s="261"/>
      <c r="C103" s="262"/>
      <c r="D103" s="261"/>
      <c r="E103" s="262"/>
      <c r="F103" s="261"/>
    </row>
    <row r="104" spans="1:6" s="263" customFormat="1">
      <c r="A104" s="260"/>
      <c r="B104" s="261"/>
      <c r="C104" s="262"/>
      <c r="D104" s="261"/>
      <c r="E104" s="262"/>
      <c r="F104" s="261"/>
    </row>
    <row r="105" spans="1:6" s="263" customFormat="1">
      <c r="A105" s="260"/>
      <c r="B105" s="261"/>
      <c r="C105" s="262"/>
      <c r="D105" s="261"/>
      <c r="E105" s="262"/>
      <c r="F105" s="261"/>
    </row>
    <row r="106" spans="1:6" s="263" customFormat="1">
      <c r="A106" s="260"/>
      <c r="B106" s="261"/>
      <c r="C106" s="262"/>
      <c r="D106" s="261"/>
      <c r="E106" s="262"/>
      <c r="F106" s="261"/>
    </row>
    <row r="107" spans="1:6" s="263" customFormat="1">
      <c r="A107" s="260"/>
      <c r="B107" s="261"/>
      <c r="C107" s="262"/>
      <c r="D107" s="261"/>
      <c r="E107" s="262"/>
      <c r="F107" s="261"/>
    </row>
    <row r="108" spans="1:6" s="263" customFormat="1">
      <c r="A108" s="260"/>
      <c r="B108" s="261"/>
      <c r="C108" s="262"/>
      <c r="D108" s="261"/>
      <c r="E108" s="262"/>
      <c r="F108" s="261"/>
    </row>
    <row r="109" spans="1:6" s="263" customFormat="1">
      <c r="A109" s="260"/>
      <c r="B109" s="261"/>
      <c r="C109" s="262"/>
      <c r="D109" s="261"/>
      <c r="E109" s="262"/>
      <c r="F109" s="261"/>
    </row>
    <row r="110" spans="1:6" s="263" customFormat="1">
      <c r="A110" s="260"/>
      <c r="B110" s="261"/>
      <c r="C110" s="262"/>
      <c r="D110" s="261"/>
      <c r="E110" s="262"/>
      <c r="F110" s="261"/>
    </row>
    <row r="111" spans="1:6" s="263" customFormat="1">
      <c r="A111" s="260"/>
      <c r="B111" s="261"/>
      <c r="C111" s="262"/>
      <c r="D111" s="261"/>
      <c r="E111" s="262"/>
      <c r="F111" s="261"/>
    </row>
    <row r="112" spans="1:6" s="263" customFormat="1">
      <c r="A112" s="260"/>
      <c r="B112" s="261"/>
      <c r="C112" s="262"/>
      <c r="D112" s="261"/>
      <c r="E112" s="262"/>
      <c r="F112" s="261"/>
    </row>
    <row r="113" spans="1:6" s="263" customFormat="1">
      <c r="A113" s="260"/>
      <c r="B113" s="261"/>
      <c r="C113" s="262"/>
      <c r="D113" s="261"/>
      <c r="E113" s="262"/>
      <c r="F113" s="261"/>
    </row>
    <row r="114" spans="1:6" s="263" customFormat="1">
      <c r="A114" s="260"/>
      <c r="B114" s="261"/>
      <c r="C114" s="262"/>
      <c r="D114" s="261"/>
      <c r="E114" s="262"/>
      <c r="F114" s="261"/>
    </row>
    <row r="115" spans="1:6" s="263" customFormat="1">
      <c r="A115" s="260"/>
      <c r="B115" s="261"/>
      <c r="C115" s="262"/>
      <c r="D115" s="261"/>
      <c r="E115" s="262"/>
      <c r="F115" s="261"/>
    </row>
    <row r="116" spans="1:6" s="263" customFormat="1">
      <c r="A116" s="260"/>
      <c r="B116" s="261"/>
      <c r="C116" s="262"/>
      <c r="D116" s="261"/>
      <c r="E116" s="262"/>
      <c r="F116" s="261"/>
    </row>
    <row r="117" spans="1:6" s="263" customFormat="1">
      <c r="A117" s="260"/>
      <c r="B117" s="261"/>
      <c r="C117" s="262"/>
      <c r="D117" s="261"/>
      <c r="E117" s="262"/>
      <c r="F117" s="261"/>
    </row>
    <row r="118" spans="1:6" s="263" customFormat="1">
      <c r="A118" s="260"/>
      <c r="B118" s="261"/>
      <c r="C118" s="262"/>
      <c r="D118" s="261"/>
      <c r="E118" s="262"/>
      <c r="F118" s="261"/>
    </row>
    <row r="119" spans="1:6" s="263" customFormat="1">
      <c r="A119" s="260"/>
      <c r="B119" s="261"/>
      <c r="C119" s="262"/>
      <c r="D119" s="261"/>
      <c r="E119" s="262"/>
      <c r="F119" s="261"/>
    </row>
    <row r="120" spans="1:6" s="263" customFormat="1">
      <c r="A120" s="260"/>
      <c r="B120" s="261"/>
      <c r="C120" s="262"/>
      <c r="D120" s="261"/>
      <c r="E120" s="262"/>
      <c r="F120" s="261"/>
    </row>
    <row r="121" spans="1:6" s="263" customFormat="1">
      <c r="A121" s="260"/>
      <c r="B121" s="261"/>
      <c r="C121" s="262"/>
      <c r="D121" s="261"/>
      <c r="E121" s="262"/>
      <c r="F121" s="261"/>
    </row>
    <row r="122" spans="1:6" s="263" customFormat="1">
      <c r="A122" s="260"/>
      <c r="B122" s="261"/>
      <c r="C122" s="262"/>
      <c r="D122" s="261"/>
      <c r="E122" s="262"/>
      <c r="F122" s="261"/>
    </row>
    <row r="123" spans="1:6" s="263" customFormat="1">
      <c r="A123" s="260"/>
      <c r="B123" s="261"/>
      <c r="C123" s="262"/>
      <c r="D123" s="261"/>
      <c r="E123" s="262"/>
      <c r="F123" s="261"/>
    </row>
    <row r="124" spans="1:6" s="263" customFormat="1">
      <c r="A124" s="260"/>
      <c r="B124" s="261"/>
      <c r="C124" s="262"/>
      <c r="D124" s="261"/>
      <c r="E124" s="262"/>
      <c r="F124" s="261"/>
    </row>
    <row r="125" spans="1:6" s="263" customFormat="1">
      <c r="A125" s="260"/>
      <c r="B125" s="261"/>
      <c r="C125" s="262"/>
      <c r="D125" s="261"/>
      <c r="E125" s="262"/>
      <c r="F125" s="261"/>
    </row>
    <row r="126" spans="1:6" s="263" customFormat="1">
      <c r="A126" s="260"/>
      <c r="B126" s="261"/>
      <c r="C126" s="262"/>
      <c r="D126" s="261"/>
      <c r="E126" s="262"/>
      <c r="F126" s="261"/>
    </row>
    <row r="127" spans="1:6" s="263" customFormat="1">
      <c r="A127" s="260"/>
      <c r="B127" s="261"/>
      <c r="C127" s="262"/>
      <c r="D127" s="261"/>
      <c r="E127" s="262"/>
      <c r="F127" s="261"/>
    </row>
    <row r="128" spans="1:6" s="263" customFormat="1">
      <c r="A128" s="260"/>
      <c r="B128" s="261"/>
      <c r="C128" s="262"/>
      <c r="D128" s="261"/>
      <c r="E128" s="262"/>
      <c r="F128" s="261"/>
    </row>
    <row r="129" spans="1:6" s="263" customFormat="1">
      <c r="A129" s="260"/>
      <c r="B129" s="261"/>
      <c r="C129" s="262"/>
      <c r="D129" s="261"/>
      <c r="E129" s="262"/>
      <c r="F129" s="261"/>
    </row>
    <row r="130" spans="1:6" s="263" customFormat="1">
      <c r="A130" s="260"/>
      <c r="B130" s="261"/>
      <c r="C130" s="262"/>
      <c r="D130" s="261"/>
      <c r="E130" s="262"/>
      <c r="F130" s="261"/>
    </row>
    <row r="131" spans="1:6" s="263" customFormat="1">
      <c r="A131" s="260"/>
      <c r="B131" s="261"/>
      <c r="C131" s="262"/>
      <c r="D131" s="261"/>
      <c r="E131" s="262"/>
      <c r="F131" s="261"/>
    </row>
    <row r="132" spans="1:6" s="263" customFormat="1">
      <c r="A132" s="260"/>
      <c r="B132" s="261"/>
      <c r="C132" s="262"/>
      <c r="D132" s="261"/>
      <c r="E132" s="262"/>
      <c r="F132" s="261"/>
    </row>
    <row r="133" spans="1:6" s="263" customFormat="1">
      <c r="A133" s="260"/>
      <c r="B133" s="261"/>
      <c r="C133" s="262"/>
      <c r="D133" s="261"/>
      <c r="E133" s="262"/>
      <c r="F133" s="261"/>
    </row>
    <row r="134" spans="1:6" s="263" customFormat="1">
      <c r="A134" s="260"/>
      <c r="B134" s="261"/>
      <c r="C134" s="262"/>
      <c r="D134" s="261"/>
      <c r="E134" s="262"/>
      <c r="F134" s="261"/>
    </row>
    <row r="135" spans="1:6" s="263" customFormat="1">
      <c r="A135" s="260"/>
      <c r="B135" s="261"/>
      <c r="C135" s="262"/>
      <c r="D135" s="261"/>
      <c r="E135" s="262"/>
      <c r="F135" s="261"/>
    </row>
    <row r="136" spans="1:6" s="263" customFormat="1">
      <c r="A136" s="260"/>
      <c r="B136" s="261"/>
      <c r="C136" s="262"/>
      <c r="D136" s="261"/>
      <c r="E136" s="262"/>
      <c r="F136" s="261"/>
    </row>
    <row r="137" spans="1:6" s="263" customFormat="1">
      <c r="A137" s="260"/>
      <c r="B137" s="261"/>
      <c r="C137" s="262"/>
      <c r="D137" s="261"/>
      <c r="E137" s="262"/>
      <c r="F137" s="261"/>
    </row>
    <row r="138" spans="1:6" s="263" customFormat="1">
      <c r="A138" s="260"/>
      <c r="B138" s="261"/>
      <c r="C138" s="262"/>
      <c r="D138" s="261"/>
      <c r="E138" s="262"/>
      <c r="F138" s="261"/>
    </row>
    <row r="139" spans="1:6" s="263" customFormat="1">
      <c r="A139" s="260"/>
      <c r="B139" s="261"/>
      <c r="C139" s="262"/>
      <c r="D139" s="261"/>
      <c r="E139" s="262"/>
      <c r="F139" s="261"/>
    </row>
    <row r="140" spans="1:6" s="263" customFormat="1">
      <c r="A140" s="260"/>
      <c r="B140" s="261"/>
      <c r="C140" s="262"/>
      <c r="D140" s="261"/>
      <c r="E140" s="262"/>
      <c r="F140" s="261"/>
    </row>
    <row r="141" spans="1:6" s="263" customFormat="1">
      <c r="A141" s="260"/>
      <c r="B141" s="261"/>
      <c r="C141" s="262"/>
      <c r="D141" s="261"/>
      <c r="E141" s="262"/>
      <c r="F141" s="261"/>
    </row>
    <row r="142" spans="1:6" s="263" customFormat="1">
      <c r="A142" s="260"/>
      <c r="B142" s="261"/>
      <c r="C142" s="262"/>
      <c r="D142" s="261"/>
      <c r="E142" s="262"/>
      <c r="F142" s="261"/>
    </row>
    <row r="143" spans="1:6" s="263" customFormat="1">
      <c r="A143" s="260"/>
      <c r="B143" s="261"/>
      <c r="C143" s="262"/>
      <c r="D143" s="261"/>
      <c r="E143" s="262"/>
      <c r="F143" s="261"/>
    </row>
    <row r="144" spans="1:6" s="263" customFormat="1">
      <c r="A144" s="260"/>
      <c r="B144" s="261"/>
      <c r="C144" s="262"/>
      <c r="D144" s="261"/>
      <c r="E144" s="262"/>
      <c r="F144" s="261"/>
    </row>
    <row r="145" spans="1:6" s="263" customFormat="1">
      <c r="A145" s="260"/>
      <c r="B145" s="261"/>
      <c r="C145" s="262"/>
      <c r="D145" s="261"/>
      <c r="E145" s="262"/>
      <c r="F145" s="261"/>
    </row>
    <row r="146" spans="1:6" s="263" customFormat="1">
      <c r="A146" s="260"/>
      <c r="B146" s="261"/>
      <c r="C146" s="262"/>
      <c r="D146" s="261"/>
      <c r="E146" s="262"/>
      <c r="F146" s="261"/>
    </row>
    <row r="147" spans="1:6" s="263" customFormat="1">
      <c r="A147" s="260"/>
      <c r="B147" s="261"/>
      <c r="C147" s="262"/>
      <c r="D147" s="261"/>
      <c r="E147" s="262"/>
      <c r="F147" s="261"/>
    </row>
    <row r="148" spans="1:6" s="263" customFormat="1">
      <c r="A148" s="260"/>
      <c r="B148" s="261"/>
      <c r="C148" s="262"/>
      <c r="D148" s="261"/>
      <c r="E148" s="262"/>
      <c r="F148" s="261"/>
    </row>
    <row r="149" spans="1:6" s="263" customFormat="1">
      <c r="A149" s="260"/>
      <c r="B149" s="261"/>
      <c r="C149" s="262"/>
      <c r="D149" s="261"/>
      <c r="E149" s="262"/>
      <c r="F149" s="261"/>
    </row>
    <row r="150" spans="1:6" s="263" customFormat="1">
      <c r="A150" s="260"/>
      <c r="B150" s="261"/>
      <c r="C150" s="262"/>
      <c r="D150" s="261"/>
      <c r="E150" s="262"/>
      <c r="F150" s="261"/>
    </row>
    <row r="151" spans="1:6" s="263" customFormat="1">
      <c r="A151" s="260"/>
      <c r="B151" s="261"/>
      <c r="C151" s="262"/>
      <c r="D151" s="261"/>
      <c r="E151" s="262"/>
      <c r="F151" s="261"/>
    </row>
    <row r="152" spans="1:6" s="263" customFormat="1">
      <c r="A152" s="260"/>
      <c r="B152" s="261"/>
      <c r="C152" s="262"/>
      <c r="D152" s="261"/>
      <c r="E152" s="262"/>
      <c r="F152" s="261"/>
    </row>
    <row r="153" spans="1:6" s="263" customFormat="1">
      <c r="A153" s="260"/>
      <c r="B153" s="261"/>
      <c r="C153" s="262"/>
      <c r="D153" s="261"/>
      <c r="E153" s="262"/>
      <c r="F153" s="261"/>
    </row>
    <row r="154" spans="1:6" s="263" customFormat="1">
      <c r="A154" s="260"/>
      <c r="B154" s="261"/>
      <c r="C154" s="262"/>
      <c r="D154" s="261"/>
      <c r="E154" s="262"/>
      <c r="F154" s="261"/>
    </row>
    <row r="155" spans="1:6" s="263" customFormat="1">
      <c r="A155" s="260"/>
      <c r="B155" s="261"/>
      <c r="C155" s="262"/>
      <c r="D155" s="261"/>
      <c r="E155" s="262"/>
      <c r="F155" s="261"/>
    </row>
    <row r="156" spans="1:6" s="263" customFormat="1">
      <c r="A156" s="260"/>
      <c r="B156" s="261"/>
      <c r="C156" s="262"/>
      <c r="D156" s="261"/>
      <c r="E156" s="262"/>
      <c r="F156" s="261"/>
    </row>
    <row r="157" spans="1:6" s="263" customFormat="1">
      <c r="A157" s="260"/>
      <c r="B157" s="261"/>
      <c r="C157" s="262"/>
      <c r="D157" s="261"/>
      <c r="E157" s="262"/>
      <c r="F157" s="261"/>
    </row>
    <row r="158" spans="1:6" s="263" customFormat="1">
      <c r="A158" s="260"/>
      <c r="B158" s="261"/>
      <c r="C158" s="262"/>
      <c r="D158" s="261"/>
      <c r="E158" s="262"/>
      <c r="F158" s="261"/>
    </row>
    <row r="159" spans="1:6" s="263" customFormat="1">
      <c r="A159" s="260"/>
      <c r="B159" s="261"/>
      <c r="C159" s="262"/>
      <c r="D159" s="261"/>
      <c r="E159" s="262"/>
      <c r="F159" s="261"/>
    </row>
    <row r="160" spans="1:6" s="263" customFormat="1">
      <c r="A160" s="260"/>
      <c r="B160" s="261"/>
      <c r="C160" s="262"/>
      <c r="D160" s="261"/>
      <c r="E160" s="262"/>
      <c r="F160" s="261"/>
    </row>
    <row r="161" spans="1:6" s="263" customFormat="1">
      <c r="A161" s="260"/>
      <c r="B161" s="261"/>
      <c r="C161" s="262"/>
      <c r="D161" s="261"/>
      <c r="E161" s="262"/>
      <c r="F161" s="261"/>
    </row>
    <row r="162" spans="1:6" s="263" customFormat="1">
      <c r="A162" s="260"/>
      <c r="B162" s="261"/>
      <c r="C162" s="262"/>
      <c r="D162" s="261"/>
      <c r="E162" s="262"/>
      <c r="F162" s="261"/>
    </row>
    <row r="163" spans="1:6" s="263" customFormat="1">
      <c r="A163" s="260"/>
      <c r="B163" s="261"/>
      <c r="C163" s="262"/>
      <c r="D163" s="261"/>
      <c r="E163" s="262"/>
      <c r="F163" s="261"/>
    </row>
    <row r="164" spans="1:6" s="263" customFormat="1">
      <c r="A164" s="260"/>
      <c r="B164" s="261"/>
      <c r="C164" s="262"/>
      <c r="D164" s="261"/>
      <c r="E164" s="262"/>
      <c r="F164" s="261"/>
    </row>
    <row r="165" spans="1:6" s="263" customFormat="1">
      <c r="A165" s="260"/>
      <c r="B165" s="261"/>
      <c r="C165" s="262"/>
      <c r="D165" s="261"/>
      <c r="E165" s="262"/>
      <c r="F165" s="261"/>
    </row>
    <row r="166" spans="1:6" s="263" customFormat="1">
      <c r="A166" s="260"/>
      <c r="B166" s="261"/>
      <c r="C166" s="262"/>
      <c r="D166" s="261"/>
      <c r="E166" s="262"/>
      <c r="F166" s="261"/>
    </row>
    <row r="167" spans="1:6" s="263" customFormat="1">
      <c r="A167" s="260"/>
      <c r="B167" s="261"/>
      <c r="C167" s="262"/>
      <c r="D167" s="261"/>
      <c r="E167" s="262"/>
      <c r="F167" s="261"/>
    </row>
    <row r="168" spans="1:6" s="263" customFormat="1">
      <c r="A168" s="260"/>
      <c r="B168" s="261"/>
      <c r="C168" s="262"/>
      <c r="D168" s="261"/>
      <c r="E168" s="262"/>
      <c r="F168" s="261"/>
    </row>
    <row r="169" spans="1:6" s="263" customFormat="1">
      <c r="A169" s="260"/>
      <c r="B169" s="261"/>
      <c r="C169" s="262"/>
      <c r="D169" s="261"/>
      <c r="E169" s="262"/>
      <c r="F169" s="261"/>
    </row>
    <row r="170" spans="1:6" s="263" customFormat="1">
      <c r="A170" s="260"/>
      <c r="B170" s="261"/>
      <c r="C170" s="262"/>
      <c r="D170" s="261"/>
      <c r="E170" s="262"/>
      <c r="F170" s="261"/>
    </row>
    <row r="171" spans="1:6" s="263" customFormat="1">
      <c r="A171" s="260"/>
      <c r="B171" s="261"/>
      <c r="C171" s="262"/>
      <c r="D171" s="261"/>
      <c r="E171" s="262"/>
      <c r="F171" s="261"/>
    </row>
    <row r="172" spans="1:6" s="263" customFormat="1">
      <c r="A172" s="260"/>
      <c r="B172" s="261"/>
      <c r="C172" s="262"/>
      <c r="D172" s="261"/>
      <c r="E172" s="262"/>
      <c r="F172" s="261"/>
    </row>
    <row r="173" spans="1:6" s="263" customFormat="1">
      <c r="A173" s="260"/>
      <c r="B173" s="261"/>
      <c r="C173" s="262"/>
      <c r="D173" s="261"/>
      <c r="E173" s="262"/>
      <c r="F173" s="261"/>
    </row>
    <row r="174" spans="1:6" s="263" customFormat="1">
      <c r="A174" s="260"/>
      <c r="B174" s="261"/>
      <c r="C174" s="262"/>
      <c r="D174" s="261"/>
      <c r="E174" s="262"/>
      <c r="F174" s="261"/>
    </row>
    <row r="175" spans="1:6" s="263" customFormat="1">
      <c r="A175" s="260"/>
      <c r="B175" s="261"/>
      <c r="C175" s="262"/>
      <c r="D175" s="261"/>
      <c r="E175" s="262"/>
      <c r="F175" s="261"/>
    </row>
    <row r="176" spans="1:6" s="263" customFormat="1">
      <c r="A176" s="260"/>
      <c r="B176" s="261"/>
      <c r="C176" s="262"/>
      <c r="D176" s="261"/>
      <c r="E176" s="262"/>
      <c r="F176" s="261"/>
    </row>
    <row r="177" spans="1:6" s="263" customFormat="1">
      <c r="A177" s="260"/>
      <c r="B177" s="261"/>
      <c r="C177" s="262"/>
      <c r="D177" s="261"/>
      <c r="E177" s="262"/>
      <c r="F177" s="261"/>
    </row>
    <row r="178" spans="1:6" s="263" customFormat="1">
      <c r="A178" s="260"/>
      <c r="B178" s="261"/>
      <c r="C178" s="262"/>
      <c r="D178" s="261"/>
      <c r="E178" s="262"/>
      <c r="F178" s="261"/>
    </row>
    <row r="179" spans="1:6" s="263" customFormat="1">
      <c r="A179" s="260"/>
      <c r="B179" s="261"/>
      <c r="C179" s="262"/>
      <c r="D179" s="261"/>
      <c r="E179" s="262"/>
      <c r="F179" s="261"/>
    </row>
    <row r="180" spans="1:6" s="263" customFormat="1">
      <c r="A180" s="260"/>
      <c r="B180" s="261"/>
      <c r="C180" s="262"/>
      <c r="D180" s="261"/>
      <c r="E180" s="262"/>
      <c r="F180" s="261"/>
    </row>
    <row r="181" spans="1:6" s="263" customFormat="1">
      <c r="A181" s="260"/>
      <c r="B181" s="261"/>
      <c r="C181" s="262"/>
      <c r="D181" s="261"/>
      <c r="E181" s="262"/>
      <c r="F181" s="261"/>
    </row>
    <row r="182" spans="1:6" s="263" customFormat="1">
      <c r="A182" s="260"/>
      <c r="B182" s="261"/>
      <c r="C182" s="262"/>
      <c r="D182" s="261"/>
      <c r="E182" s="262"/>
      <c r="F182" s="261"/>
    </row>
    <row r="183" spans="1:6" s="263" customFormat="1">
      <c r="A183" s="260"/>
      <c r="B183" s="261"/>
      <c r="C183" s="262"/>
      <c r="D183" s="261"/>
      <c r="E183" s="262"/>
      <c r="F183" s="261"/>
    </row>
    <row r="184" spans="1:6" s="263" customFormat="1">
      <c r="A184" s="260"/>
      <c r="B184" s="261"/>
      <c r="C184" s="262"/>
      <c r="D184" s="261"/>
      <c r="E184" s="262"/>
      <c r="F184" s="261"/>
    </row>
    <row r="185" spans="1:6" s="263" customFormat="1">
      <c r="A185" s="260"/>
      <c r="B185" s="261"/>
      <c r="C185" s="262"/>
      <c r="D185" s="261"/>
      <c r="E185" s="262"/>
      <c r="F185" s="261"/>
    </row>
    <row r="186" spans="1:6" s="263" customFormat="1">
      <c r="A186" s="260"/>
      <c r="B186" s="261"/>
      <c r="C186" s="262"/>
      <c r="D186" s="261"/>
      <c r="E186" s="262"/>
      <c r="F186" s="261"/>
    </row>
    <row r="187" spans="1:6" s="263" customFormat="1">
      <c r="A187" s="260"/>
      <c r="B187" s="261"/>
      <c r="C187" s="262"/>
      <c r="D187" s="261"/>
      <c r="E187" s="262"/>
      <c r="F187" s="261"/>
    </row>
    <row r="188" spans="1:6" s="263" customFormat="1">
      <c r="A188" s="260"/>
      <c r="B188" s="261"/>
      <c r="C188" s="262"/>
      <c r="D188" s="261"/>
      <c r="E188" s="262"/>
      <c r="F188" s="261"/>
    </row>
    <row r="189" spans="1:6" s="263" customFormat="1">
      <c r="A189" s="260"/>
      <c r="B189" s="261"/>
      <c r="C189" s="262"/>
      <c r="D189" s="261"/>
      <c r="E189" s="262"/>
      <c r="F189" s="261"/>
    </row>
    <row r="190" spans="1:6" s="263" customFormat="1">
      <c r="A190" s="260"/>
      <c r="B190" s="261"/>
      <c r="C190" s="262"/>
      <c r="D190" s="261"/>
      <c r="E190" s="262"/>
      <c r="F190" s="261"/>
    </row>
    <row r="191" spans="1:6" s="263" customFormat="1">
      <c r="A191" s="260"/>
      <c r="B191" s="261"/>
      <c r="C191" s="262"/>
      <c r="D191" s="261"/>
      <c r="E191" s="262"/>
      <c r="F191" s="261"/>
    </row>
    <row r="192" spans="1:6" s="263" customFormat="1">
      <c r="A192" s="260"/>
      <c r="B192" s="261"/>
      <c r="C192" s="262"/>
      <c r="D192" s="261"/>
      <c r="E192" s="262"/>
      <c r="F192" s="261"/>
    </row>
    <row r="193" spans="1:6" s="263" customFormat="1">
      <c r="A193" s="260"/>
      <c r="B193" s="261"/>
      <c r="C193" s="262"/>
      <c r="D193" s="261"/>
      <c r="E193" s="262"/>
      <c r="F193" s="261"/>
    </row>
    <row r="194" spans="1:6" s="263" customFormat="1">
      <c r="A194" s="260"/>
      <c r="B194" s="261"/>
      <c r="C194" s="262"/>
      <c r="D194" s="261"/>
      <c r="E194" s="262"/>
      <c r="F194" s="261"/>
    </row>
    <row r="195" spans="1:6" s="263" customFormat="1">
      <c r="A195" s="260"/>
      <c r="B195" s="261"/>
      <c r="C195" s="262"/>
      <c r="D195" s="261"/>
      <c r="E195" s="262"/>
      <c r="F195" s="261"/>
    </row>
    <row r="196" spans="1:6" s="263" customFormat="1">
      <c r="A196" s="260"/>
      <c r="B196" s="261"/>
      <c r="C196" s="262"/>
      <c r="D196" s="261"/>
      <c r="E196" s="262"/>
      <c r="F196" s="261"/>
    </row>
    <row r="197" spans="1:6" s="263" customFormat="1">
      <c r="A197" s="260"/>
      <c r="B197" s="261"/>
      <c r="C197" s="262"/>
      <c r="D197" s="261"/>
      <c r="E197" s="262"/>
      <c r="F197" s="261"/>
    </row>
    <row r="198" spans="1:6" s="263" customFormat="1">
      <c r="A198" s="260"/>
      <c r="B198" s="261"/>
      <c r="C198" s="262"/>
      <c r="D198" s="261"/>
      <c r="E198" s="262"/>
      <c r="F198" s="261"/>
    </row>
    <row r="199" spans="1:6" s="263" customFormat="1">
      <c r="A199" s="260"/>
      <c r="B199" s="261"/>
      <c r="C199" s="262"/>
      <c r="D199" s="261"/>
      <c r="E199" s="262"/>
      <c r="F199" s="261"/>
    </row>
    <row r="200" spans="1:6" s="263" customFormat="1">
      <c r="A200" s="260"/>
      <c r="B200" s="261"/>
      <c r="C200" s="262"/>
      <c r="D200" s="261"/>
      <c r="E200" s="262"/>
      <c r="F200" s="261"/>
    </row>
    <row r="201" spans="1:6" s="263" customFormat="1">
      <c r="A201" s="260"/>
      <c r="B201" s="261"/>
      <c r="C201" s="262"/>
      <c r="D201" s="261"/>
      <c r="E201" s="262"/>
      <c r="F201" s="261"/>
    </row>
    <row r="202" spans="1:6" s="263" customFormat="1">
      <c r="A202" s="260"/>
      <c r="B202" s="261"/>
      <c r="C202" s="262"/>
      <c r="D202" s="261"/>
      <c r="E202" s="262"/>
      <c r="F202" s="261"/>
    </row>
    <row r="203" spans="1:6" s="263" customFormat="1">
      <c r="A203" s="260"/>
      <c r="B203" s="261"/>
      <c r="C203" s="262"/>
      <c r="D203" s="261"/>
      <c r="E203" s="262"/>
      <c r="F203" s="261"/>
    </row>
    <row r="204" spans="1:6" s="263" customFormat="1">
      <c r="A204" s="260"/>
      <c r="B204" s="261"/>
      <c r="C204" s="262"/>
      <c r="D204" s="261"/>
      <c r="E204" s="262"/>
      <c r="F204" s="261"/>
    </row>
    <row r="205" spans="1:6" s="263" customFormat="1">
      <c r="A205" s="260"/>
      <c r="B205" s="261"/>
      <c r="C205" s="262"/>
      <c r="D205" s="261"/>
      <c r="E205" s="262"/>
      <c r="F205" s="261"/>
    </row>
    <row r="206" spans="1:6" s="263" customFormat="1">
      <c r="A206" s="260"/>
      <c r="B206" s="261"/>
      <c r="C206" s="262"/>
      <c r="D206" s="261"/>
      <c r="E206" s="262"/>
      <c r="F206" s="261"/>
    </row>
    <row r="207" spans="1:6" s="263" customFormat="1">
      <c r="A207" s="260"/>
      <c r="B207" s="261"/>
      <c r="C207" s="262"/>
      <c r="D207" s="261"/>
      <c r="E207" s="262"/>
      <c r="F207" s="261"/>
    </row>
    <row r="208" spans="1:6" s="263" customFormat="1">
      <c r="A208" s="260"/>
      <c r="B208" s="261"/>
      <c r="C208" s="262"/>
      <c r="D208" s="261"/>
      <c r="E208" s="262"/>
      <c r="F208" s="261"/>
    </row>
    <row r="209" spans="1:6" s="263" customFormat="1">
      <c r="A209" s="260"/>
      <c r="B209" s="261"/>
      <c r="C209" s="262"/>
      <c r="D209" s="261"/>
      <c r="E209" s="262"/>
      <c r="F209" s="261"/>
    </row>
    <row r="210" spans="1:6" s="263" customFormat="1">
      <c r="A210" s="260"/>
      <c r="B210" s="261"/>
      <c r="C210" s="262"/>
      <c r="D210" s="261"/>
      <c r="E210" s="262"/>
      <c r="F210" s="261"/>
    </row>
    <row r="211" spans="1:6" s="263" customFormat="1">
      <c r="A211" s="260"/>
      <c r="B211" s="261"/>
      <c r="C211" s="262"/>
      <c r="D211" s="261"/>
      <c r="E211" s="262"/>
      <c r="F211" s="261"/>
    </row>
    <row r="212" spans="1:6" s="263" customFormat="1">
      <c r="A212" s="260"/>
      <c r="B212" s="261"/>
      <c r="C212" s="262"/>
      <c r="D212" s="261"/>
      <c r="E212" s="262"/>
      <c r="F212" s="261"/>
    </row>
    <row r="213" spans="1:6" s="263" customFormat="1">
      <c r="A213" s="260"/>
      <c r="B213" s="261"/>
      <c r="C213" s="262"/>
      <c r="D213" s="261"/>
      <c r="E213" s="262"/>
      <c r="F213" s="261"/>
    </row>
    <row r="214" spans="1:6" s="263" customFormat="1">
      <c r="A214" s="260"/>
      <c r="B214" s="261"/>
      <c r="C214" s="262"/>
      <c r="D214" s="261"/>
      <c r="E214" s="262"/>
      <c r="F214" s="261"/>
    </row>
    <row r="215" spans="1:6" s="263" customFormat="1">
      <c r="A215" s="260"/>
      <c r="B215" s="261"/>
      <c r="C215" s="262"/>
      <c r="D215" s="261"/>
      <c r="E215" s="262"/>
      <c r="F215" s="261"/>
    </row>
    <row r="216" spans="1:6" s="263" customFormat="1">
      <c r="A216" s="260"/>
      <c r="B216" s="261"/>
      <c r="C216" s="262"/>
      <c r="D216" s="261"/>
      <c r="E216" s="262"/>
      <c r="F216" s="261"/>
    </row>
    <row r="217" spans="1:6" s="263" customFormat="1">
      <c r="A217" s="260"/>
      <c r="B217" s="261"/>
      <c r="C217" s="262"/>
      <c r="D217" s="261"/>
      <c r="E217" s="262"/>
      <c r="F217" s="261"/>
    </row>
    <row r="218" spans="1:6" s="263" customFormat="1">
      <c r="A218" s="260"/>
      <c r="B218" s="261"/>
      <c r="C218" s="262"/>
      <c r="D218" s="261"/>
      <c r="E218" s="262"/>
      <c r="F218" s="261"/>
    </row>
    <row r="219" spans="1:6" s="263" customFormat="1">
      <c r="A219" s="260"/>
      <c r="B219" s="261"/>
      <c r="C219" s="262"/>
      <c r="D219" s="261"/>
      <c r="E219" s="262"/>
      <c r="F219" s="261"/>
    </row>
    <row r="220" spans="1:6" s="263" customFormat="1">
      <c r="A220" s="260"/>
      <c r="B220" s="261"/>
      <c r="C220" s="262"/>
      <c r="D220" s="261"/>
      <c r="E220" s="262"/>
      <c r="F220" s="261"/>
    </row>
    <row r="221" spans="1:6" s="263" customFormat="1">
      <c r="A221" s="260"/>
      <c r="B221" s="261"/>
      <c r="C221" s="262"/>
      <c r="D221" s="261"/>
      <c r="E221" s="262"/>
      <c r="F221" s="261"/>
    </row>
    <row r="222" spans="1:6" s="263" customFormat="1">
      <c r="A222" s="260"/>
      <c r="B222" s="261"/>
      <c r="C222" s="262"/>
      <c r="D222" s="261"/>
      <c r="E222" s="262"/>
      <c r="F222" s="261"/>
    </row>
    <row r="223" spans="1:6" s="263" customFormat="1">
      <c r="A223" s="260"/>
      <c r="B223" s="261"/>
      <c r="C223" s="262"/>
      <c r="D223" s="261"/>
      <c r="E223" s="262"/>
      <c r="F223" s="261"/>
    </row>
    <row r="224" spans="1:6" s="263" customFormat="1">
      <c r="A224" s="260"/>
      <c r="B224" s="261"/>
      <c r="C224" s="262"/>
      <c r="D224" s="261"/>
      <c r="E224" s="262"/>
      <c r="F224" s="261"/>
    </row>
    <row r="225" spans="1:6" s="263" customFormat="1">
      <c r="A225" s="260"/>
      <c r="B225" s="261"/>
      <c r="C225" s="262"/>
      <c r="D225" s="261"/>
      <c r="E225" s="262"/>
      <c r="F225" s="261"/>
    </row>
    <row r="226" spans="1:6" s="263" customFormat="1">
      <c r="A226" s="260"/>
      <c r="B226" s="261"/>
      <c r="C226" s="262"/>
      <c r="D226" s="261"/>
      <c r="E226" s="262"/>
      <c r="F226" s="261"/>
    </row>
    <row r="227" spans="1:6" s="263" customFormat="1">
      <c r="A227" s="260"/>
      <c r="B227" s="261"/>
      <c r="C227" s="262"/>
      <c r="D227" s="261"/>
      <c r="E227" s="262"/>
      <c r="F227" s="261"/>
    </row>
    <row r="228" spans="1:6" s="263" customFormat="1">
      <c r="A228" s="260"/>
      <c r="B228" s="261"/>
      <c r="C228" s="262"/>
      <c r="D228" s="261"/>
      <c r="E228" s="262"/>
      <c r="F228" s="261"/>
    </row>
    <row r="229" spans="1:6" s="263" customFormat="1">
      <c r="A229" s="260"/>
      <c r="B229" s="261"/>
      <c r="C229" s="262"/>
      <c r="D229" s="261"/>
      <c r="E229" s="262"/>
      <c r="F229" s="261"/>
    </row>
    <row r="230" spans="1:6" s="263" customFormat="1">
      <c r="A230" s="260"/>
      <c r="B230" s="261"/>
      <c r="C230" s="262"/>
      <c r="D230" s="261"/>
      <c r="E230" s="262"/>
      <c r="F230" s="261"/>
    </row>
    <row r="231" spans="1:6" s="263" customFormat="1">
      <c r="A231" s="260"/>
      <c r="B231" s="261"/>
      <c r="C231" s="262"/>
      <c r="D231" s="261"/>
      <c r="E231" s="262"/>
      <c r="F231" s="261"/>
    </row>
    <row r="232" spans="1:6" s="263" customFormat="1">
      <c r="A232" s="260"/>
      <c r="B232" s="261"/>
      <c r="C232" s="262"/>
      <c r="D232" s="261"/>
      <c r="E232" s="262"/>
      <c r="F232" s="261"/>
    </row>
    <row r="233" spans="1:6" s="263" customFormat="1">
      <c r="A233" s="260"/>
      <c r="B233" s="261"/>
      <c r="C233" s="262"/>
      <c r="D233" s="261"/>
      <c r="E233" s="262"/>
      <c r="F233" s="261"/>
    </row>
    <row r="234" spans="1:6" s="263" customFormat="1">
      <c r="A234" s="260"/>
      <c r="B234" s="261"/>
      <c r="C234" s="262"/>
      <c r="D234" s="261"/>
      <c r="E234" s="262"/>
      <c r="F234" s="261"/>
    </row>
    <row r="235" spans="1:6" s="263" customFormat="1">
      <c r="A235" s="260"/>
      <c r="B235" s="261"/>
      <c r="C235" s="262"/>
      <c r="D235" s="261"/>
      <c r="E235" s="262"/>
      <c r="F235" s="261"/>
    </row>
    <row r="236" spans="1:6" s="263" customFormat="1">
      <c r="A236" s="260"/>
      <c r="B236" s="261"/>
      <c r="C236" s="262"/>
      <c r="D236" s="261"/>
      <c r="E236" s="262"/>
      <c r="F236" s="261"/>
    </row>
    <row r="237" spans="1:6" s="263" customFormat="1">
      <c r="A237" s="260"/>
      <c r="B237" s="261"/>
      <c r="C237" s="262"/>
      <c r="D237" s="261"/>
      <c r="E237" s="262"/>
      <c r="F237" s="261"/>
    </row>
    <row r="238" spans="1:6" s="263" customFormat="1">
      <c r="A238" s="260"/>
      <c r="B238" s="261"/>
      <c r="C238" s="262"/>
      <c r="D238" s="261"/>
      <c r="E238" s="262"/>
      <c r="F238" s="261"/>
    </row>
    <row r="239" spans="1:6" s="263" customFormat="1">
      <c r="A239" s="260"/>
      <c r="B239" s="261"/>
      <c r="C239" s="262"/>
      <c r="D239" s="261"/>
      <c r="E239" s="262"/>
      <c r="F239" s="261"/>
    </row>
    <row r="240" spans="1:6" s="263" customFormat="1">
      <c r="A240" s="260"/>
      <c r="B240" s="261"/>
      <c r="C240" s="262"/>
      <c r="D240" s="261"/>
      <c r="E240" s="262"/>
      <c r="F240" s="261"/>
    </row>
    <row r="241" spans="1:6" s="263" customFormat="1">
      <c r="A241" s="260"/>
      <c r="B241" s="261"/>
      <c r="C241" s="262"/>
      <c r="D241" s="261"/>
      <c r="E241" s="262"/>
      <c r="F241" s="261"/>
    </row>
    <row r="242" spans="1:6" s="263" customFormat="1">
      <c r="A242" s="260"/>
      <c r="B242" s="261"/>
      <c r="C242" s="262"/>
      <c r="D242" s="261"/>
      <c r="E242" s="262"/>
      <c r="F242" s="261"/>
    </row>
    <row r="243" spans="1:6" s="263" customFormat="1">
      <c r="A243" s="260"/>
      <c r="B243" s="261"/>
      <c r="C243" s="262"/>
      <c r="D243" s="261"/>
      <c r="E243" s="262"/>
      <c r="F243" s="261"/>
    </row>
    <row r="244" spans="1:6" s="263" customFormat="1">
      <c r="A244" s="260"/>
      <c r="B244" s="261"/>
      <c r="C244" s="262"/>
      <c r="D244" s="261"/>
      <c r="E244" s="262"/>
      <c r="F244" s="261"/>
    </row>
    <row r="245" spans="1:6" s="263" customFormat="1">
      <c r="A245" s="260"/>
      <c r="B245" s="261"/>
      <c r="C245" s="262"/>
      <c r="D245" s="261"/>
      <c r="E245" s="262"/>
      <c r="F245" s="261"/>
    </row>
    <row r="246" spans="1:6" s="263" customFormat="1">
      <c r="A246" s="260"/>
      <c r="B246" s="261"/>
      <c r="C246" s="262"/>
      <c r="D246" s="261"/>
      <c r="E246" s="262"/>
      <c r="F246" s="261"/>
    </row>
    <row r="247" spans="1:6" s="263" customFormat="1">
      <c r="A247" s="260"/>
      <c r="B247" s="261"/>
      <c r="C247" s="262"/>
      <c r="D247" s="261"/>
      <c r="E247" s="262"/>
      <c r="F247" s="261"/>
    </row>
    <row r="248" spans="1:6" s="263" customFormat="1">
      <c r="A248" s="260"/>
      <c r="B248" s="261"/>
      <c r="C248" s="262"/>
      <c r="D248" s="261"/>
      <c r="E248" s="262"/>
      <c r="F248" s="261"/>
    </row>
    <row r="249" spans="1:6" s="263" customFormat="1">
      <c r="A249" s="260"/>
      <c r="B249" s="261"/>
      <c r="C249" s="262"/>
      <c r="D249" s="261"/>
      <c r="E249" s="262"/>
      <c r="F249" s="261"/>
    </row>
    <row r="250" spans="1:6" s="263" customFormat="1">
      <c r="A250" s="260"/>
      <c r="B250" s="261"/>
      <c r="C250" s="262"/>
      <c r="D250" s="261"/>
      <c r="E250" s="262"/>
      <c r="F250" s="261"/>
    </row>
    <row r="251" spans="1:6" s="263" customFormat="1">
      <c r="A251" s="260"/>
      <c r="B251" s="261"/>
      <c r="C251" s="262"/>
      <c r="D251" s="261"/>
      <c r="E251" s="262"/>
      <c r="F251" s="261"/>
    </row>
    <row r="252" spans="1:6" s="263" customFormat="1">
      <c r="A252" s="260"/>
      <c r="B252" s="261"/>
      <c r="C252" s="262"/>
      <c r="D252" s="261"/>
      <c r="E252" s="262"/>
      <c r="F252" s="261"/>
    </row>
    <row r="253" spans="1:6" s="263" customFormat="1">
      <c r="A253" s="260"/>
      <c r="B253" s="261"/>
      <c r="C253" s="262"/>
      <c r="D253" s="261"/>
      <c r="E253" s="262"/>
      <c r="F253" s="261"/>
    </row>
    <row r="254" spans="1:6" s="263" customFormat="1">
      <c r="A254" s="260"/>
      <c r="B254" s="261"/>
      <c r="C254" s="262"/>
      <c r="D254" s="261"/>
      <c r="E254" s="262"/>
      <c r="F254" s="261"/>
    </row>
    <row r="255" spans="1:6" s="263" customFormat="1">
      <c r="A255" s="260"/>
      <c r="B255" s="261"/>
      <c r="C255" s="262"/>
      <c r="D255" s="261"/>
      <c r="E255" s="262"/>
      <c r="F255" s="261"/>
    </row>
    <row r="256" spans="1:6" s="263" customFormat="1">
      <c r="A256" s="260"/>
      <c r="B256" s="261"/>
      <c r="C256" s="262"/>
      <c r="D256" s="261"/>
      <c r="E256" s="262"/>
      <c r="F256" s="261"/>
    </row>
    <row r="257" spans="1:6" s="263" customFormat="1">
      <c r="A257" s="260"/>
      <c r="B257" s="261"/>
      <c r="C257" s="262"/>
      <c r="D257" s="261"/>
      <c r="E257" s="262"/>
      <c r="F257" s="261"/>
    </row>
    <row r="258" spans="1:6" s="263" customFormat="1">
      <c r="A258" s="260"/>
      <c r="B258" s="261"/>
      <c r="C258" s="262"/>
      <c r="D258" s="261"/>
      <c r="E258" s="262"/>
      <c r="F258" s="261"/>
    </row>
    <row r="259" spans="1:6" s="263" customFormat="1">
      <c r="A259" s="260"/>
      <c r="B259" s="261"/>
      <c r="C259" s="262"/>
      <c r="D259" s="261"/>
      <c r="E259" s="262"/>
      <c r="F259" s="261"/>
    </row>
    <row r="260" spans="1:6" s="263" customFormat="1">
      <c r="A260" s="260"/>
      <c r="B260" s="261"/>
      <c r="C260" s="262"/>
      <c r="D260" s="261"/>
      <c r="E260" s="262"/>
      <c r="F260" s="261"/>
    </row>
    <row r="261" spans="1:6" s="263" customFormat="1">
      <c r="A261" s="260"/>
      <c r="B261" s="261"/>
      <c r="C261" s="262"/>
      <c r="D261" s="261"/>
      <c r="E261" s="262"/>
      <c r="F261" s="261"/>
    </row>
    <row r="262" spans="1:6" s="263" customFormat="1">
      <c r="A262" s="260"/>
      <c r="B262" s="261"/>
      <c r="C262" s="262"/>
      <c r="D262" s="261"/>
      <c r="E262" s="262"/>
      <c r="F262" s="261"/>
    </row>
    <row r="263" spans="1:6" s="263" customFormat="1">
      <c r="A263" s="260"/>
      <c r="B263" s="261"/>
      <c r="C263" s="262"/>
      <c r="D263" s="261"/>
      <c r="E263" s="262"/>
      <c r="F263" s="261"/>
    </row>
    <row r="264" spans="1:6" s="263" customFormat="1">
      <c r="A264" s="260"/>
      <c r="B264" s="261"/>
      <c r="C264" s="262"/>
      <c r="D264" s="261"/>
      <c r="E264" s="262"/>
      <c r="F264" s="261"/>
    </row>
    <row r="265" spans="1:6" s="263" customFormat="1">
      <c r="A265" s="260"/>
      <c r="B265" s="261"/>
      <c r="C265" s="262"/>
      <c r="D265" s="261"/>
      <c r="E265" s="262"/>
      <c r="F265" s="261"/>
    </row>
    <row r="266" spans="1:6" s="263" customFormat="1">
      <c r="A266" s="260"/>
      <c r="B266" s="261"/>
      <c r="C266" s="262"/>
      <c r="D266" s="261"/>
      <c r="E266" s="262"/>
      <c r="F266" s="261"/>
    </row>
    <row r="267" spans="1:6" s="263" customFormat="1">
      <c r="A267" s="260"/>
      <c r="B267" s="261"/>
      <c r="C267" s="262"/>
      <c r="D267" s="261"/>
      <c r="E267" s="262"/>
      <c r="F267" s="261"/>
    </row>
    <row r="268" spans="1:6" s="263" customFormat="1">
      <c r="A268" s="260"/>
      <c r="B268" s="261"/>
      <c r="C268" s="262"/>
      <c r="D268" s="261"/>
      <c r="E268" s="262"/>
      <c r="F268" s="261"/>
    </row>
    <row r="269" spans="1:6" s="263" customFormat="1">
      <c r="A269" s="260"/>
      <c r="B269" s="261"/>
      <c r="C269" s="262"/>
      <c r="D269" s="261"/>
      <c r="E269" s="262"/>
      <c r="F269" s="261"/>
    </row>
    <row r="270" spans="1:6" s="263" customFormat="1">
      <c r="A270" s="260"/>
      <c r="B270" s="261"/>
      <c r="C270" s="262"/>
      <c r="D270" s="261"/>
      <c r="E270" s="262"/>
      <c r="F270" s="261"/>
    </row>
    <row r="271" spans="1:6" s="263" customFormat="1">
      <c r="A271" s="260"/>
      <c r="B271" s="261"/>
      <c r="C271" s="262"/>
      <c r="D271" s="261"/>
      <c r="E271" s="262"/>
      <c r="F271" s="261"/>
    </row>
    <row r="272" spans="1:6" s="263" customFormat="1">
      <c r="A272" s="260"/>
      <c r="B272" s="261"/>
      <c r="C272" s="262"/>
      <c r="D272" s="261"/>
      <c r="E272" s="262"/>
      <c r="F272" s="261"/>
    </row>
    <row r="273" spans="1:6" s="263" customFormat="1">
      <c r="A273" s="260"/>
      <c r="B273" s="261"/>
      <c r="C273" s="262"/>
      <c r="D273" s="261"/>
      <c r="E273" s="262"/>
      <c r="F273" s="261"/>
    </row>
    <row r="274" spans="1:6" s="263" customFormat="1">
      <c r="A274" s="260"/>
      <c r="B274" s="261"/>
      <c r="C274" s="262"/>
      <c r="D274" s="261"/>
      <c r="E274" s="262"/>
      <c r="F274" s="261"/>
    </row>
    <row r="275" spans="1:6" s="263" customFormat="1">
      <c r="A275" s="260"/>
      <c r="B275" s="261"/>
      <c r="C275" s="262"/>
      <c r="D275" s="261"/>
      <c r="E275" s="262"/>
      <c r="F275" s="261"/>
    </row>
    <row r="276" spans="1:6" s="263" customFormat="1">
      <c r="A276" s="260"/>
      <c r="B276" s="261"/>
      <c r="C276" s="262"/>
      <c r="D276" s="261"/>
      <c r="E276" s="262"/>
      <c r="F276" s="261"/>
    </row>
    <row r="277" spans="1:6" s="263" customFormat="1">
      <c r="A277" s="260"/>
      <c r="B277" s="261"/>
      <c r="C277" s="262"/>
      <c r="D277" s="261"/>
      <c r="E277" s="262"/>
      <c r="F277" s="261"/>
    </row>
    <row r="278" spans="1:6" s="263" customFormat="1">
      <c r="A278" s="260"/>
      <c r="B278" s="261"/>
      <c r="C278" s="262"/>
      <c r="D278" s="261"/>
      <c r="E278" s="262"/>
      <c r="F278" s="261"/>
    </row>
    <row r="279" spans="1:6" s="263" customFormat="1">
      <c r="A279" s="260"/>
      <c r="B279" s="261"/>
      <c r="C279" s="262"/>
      <c r="D279" s="261"/>
      <c r="E279" s="262"/>
      <c r="F279" s="261"/>
    </row>
    <row r="280" spans="1:6" s="263" customFormat="1">
      <c r="A280" s="260"/>
      <c r="B280" s="261"/>
      <c r="C280" s="262"/>
      <c r="D280" s="261"/>
      <c r="E280" s="262"/>
      <c r="F280" s="261"/>
    </row>
    <row r="281" spans="1:6" s="263" customFormat="1">
      <c r="A281" s="260"/>
      <c r="B281" s="261"/>
      <c r="C281" s="262"/>
      <c r="D281" s="261"/>
      <c r="E281" s="262"/>
      <c r="F281" s="261"/>
    </row>
    <row r="282" spans="1:6" s="263" customFormat="1">
      <c r="A282" s="260"/>
      <c r="B282" s="261"/>
      <c r="C282" s="262"/>
      <c r="D282" s="261"/>
      <c r="E282" s="262"/>
      <c r="F282" s="261"/>
    </row>
    <row r="283" spans="1:6" s="263" customFormat="1">
      <c r="A283" s="260"/>
      <c r="B283" s="261"/>
      <c r="C283" s="262"/>
      <c r="D283" s="261"/>
      <c r="E283" s="262"/>
      <c r="F283" s="261"/>
    </row>
    <row r="284" spans="1:6" s="263" customFormat="1">
      <c r="A284" s="260"/>
      <c r="B284" s="261"/>
      <c r="C284" s="262"/>
      <c r="D284" s="261"/>
      <c r="E284" s="262"/>
      <c r="F284" s="261"/>
    </row>
    <row r="285" spans="1:6" s="263" customFormat="1">
      <c r="A285" s="260"/>
      <c r="B285" s="261"/>
      <c r="C285" s="262"/>
      <c r="D285" s="261"/>
      <c r="E285" s="262"/>
      <c r="F285" s="261"/>
    </row>
    <row r="286" spans="1:6" s="263" customFormat="1">
      <c r="A286" s="260"/>
      <c r="B286" s="261"/>
      <c r="C286" s="262"/>
      <c r="D286" s="261"/>
      <c r="E286" s="262"/>
      <c r="F286" s="261"/>
    </row>
    <row r="287" spans="1:6" s="263" customFormat="1">
      <c r="A287" s="260"/>
      <c r="B287" s="261"/>
      <c r="C287" s="262"/>
      <c r="D287" s="261"/>
      <c r="E287" s="262"/>
      <c r="F287" s="261"/>
    </row>
    <row r="288" spans="1:6" s="263" customFormat="1">
      <c r="A288" s="260"/>
      <c r="B288" s="261"/>
      <c r="C288" s="262"/>
      <c r="D288" s="261"/>
      <c r="E288" s="262"/>
      <c r="F288" s="261"/>
    </row>
    <row r="289" spans="1:6" s="263" customFormat="1">
      <c r="A289" s="260"/>
      <c r="B289" s="261"/>
      <c r="C289" s="262"/>
      <c r="D289" s="261"/>
      <c r="E289" s="262"/>
      <c r="F289" s="261"/>
    </row>
    <row r="290" spans="1:6" s="263" customFormat="1">
      <c r="A290" s="260"/>
      <c r="B290" s="261"/>
      <c r="C290" s="262"/>
      <c r="D290" s="261"/>
      <c r="E290" s="262"/>
      <c r="F290" s="261"/>
    </row>
    <row r="291" spans="1:6" s="263" customFormat="1">
      <c r="A291" s="260"/>
      <c r="B291" s="261"/>
      <c r="C291" s="262"/>
      <c r="D291" s="261"/>
      <c r="E291" s="262"/>
      <c r="F291" s="261"/>
    </row>
    <row r="292" spans="1:6" s="263" customFormat="1">
      <c r="A292" s="260"/>
      <c r="B292" s="261"/>
      <c r="C292" s="262"/>
      <c r="D292" s="261"/>
      <c r="E292" s="262"/>
      <c r="F292" s="261"/>
    </row>
    <row r="293" spans="1:6" s="263" customFormat="1">
      <c r="A293" s="260"/>
      <c r="B293" s="261"/>
      <c r="C293" s="262"/>
      <c r="D293" s="261"/>
      <c r="E293" s="262"/>
      <c r="F293" s="261"/>
    </row>
    <row r="294" spans="1:6" s="263" customFormat="1">
      <c r="A294" s="260"/>
      <c r="B294" s="261"/>
      <c r="C294" s="262"/>
      <c r="D294" s="261"/>
      <c r="E294" s="262"/>
      <c r="F294" s="261"/>
    </row>
    <row r="295" spans="1:6" s="263" customFormat="1">
      <c r="A295" s="260"/>
      <c r="B295" s="261"/>
      <c r="C295" s="262"/>
      <c r="D295" s="261"/>
      <c r="E295" s="262"/>
      <c r="F295" s="261"/>
    </row>
    <row r="296" spans="1:6" s="263" customFormat="1">
      <c r="A296" s="260"/>
      <c r="B296" s="261"/>
      <c r="C296" s="262"/>
      <c r="D296" s="261"/>
      <c r="E296" s="262"/>
      <c r="F296" s="261"/>
    </row>
    <row r="297" spans="1:6" s="263" customFormat="1">
      <c r="A297" s="260"/>
      <c r="B297" s="261"/>
      <c r="C297" s="262"/>
      <c r="D297" s="261"/>
      <c r="E297" s="262"/>
      <c r="F297" s="261"/>
    </row>
    <row r="298" spans="1:6" s="263" customFormat="1">
      <c r="A298" s="260"/>
      <c r="B298" s="261"/>
      <c r="C298" s="262"/>
      <c r="D298" s="261"/>
      <c r="E298" s="262"/>
      <c r="F298" s="261"/>
    </row>
    <row r="299" spans="1:6" s="263" customFormat="1">
      <c r="A299" s="260"/>
      <c r="B299" s="261"/>
      <c r="C299" s="262"/>
      <c r="D299" s="261"/>
      <c r="E299" s="262"/>
      <c r="F299" s="261"/>
    </row>
    <row r="300" spans="1:6" s="263" customFormat="1">
      <c r="A300" s="260"/>
      <c r="B300" s="261"/>
      <c r="C300" s="262"/>
      <c r="D300" s="261"/>
      <c r="E300" s="262"/>
      <c r="F300" s="261"/>
    </row>
    <row r="301" spans="1:6" s="263" customFormat="1">
      <c r="A301" s="260"/>
      <c r="B301" s="261"/>
      <c r="C301" s="262"/>
      <c r="D301" s="261"/>
      <c r="E301" s="262"/>
      <c r="F301" s="261"/>
    </row>
    <row r="302" spans="1:6" s="263" customFormat="1">
      <c r="A302" s="260"/>
      <c r="B302" s="261"/>
      <c r="C302" s="262"/>
      <c r="D302" s="261"/>
      <c r="E302" s="262"/>
      <c r="F302" s="261"/>
    </row>
    <row r="303" spans="1:6" s="263" customFormat="1">
      <c r="A303" s="260"/>
      <c r="B303" s="261"/>
      <c r="C303" s="262"/>
      <c r="D303" s="261"/>
      <c r="E303" s="262"/>
      <c r="F303" s="261"/>
    </row>
    <row r="304" spans="1:6" s="263" customFormat="1">
      <c r="A304" s="260"/>
      <c r="B304" s="261"/>
      <c r="C304" s="262"/>
      <c r="D304" s="261"/>
      <c r="E304" s="262"/>
      <c r="F304" s="261"/>
    </row>
    <row r="305" spans="1:6" s="263" customFormat="1">
      <c r="A305" s="260"/>
      <c r="B305" s="261"/>
      <c r="C305" s="262"/>
      <c r="D305" s="261"/>
      <c r="E305" s="262"/>
      <c r="F305" s="261"/>
    </row>
    <row r="306" spans="1:6" s="263" customFormat="1">
      <c r="A306" s="260"/>
      <c r="B306" s="261"/>
      <c r="C306" s="262"/>
      <c r="D306" s="261"/>
      <c r="E306" s="262"/>
      <c r="F306" s="261"/>
    </row>
    <row r="307" spans="1:6" s="263" customFormat="1">
      <c r="A307" s="260"/>
      <c r="B307" s="261"/>
      <c r="C307" s="262"/>
      <c r="D307" s="261"/>
      <c r="E307" s="262"/>
      <c r="F307" s="261"/>
    </row>
    <row r="308" spans="1:6" s="263" customFormat="1">
      <c r="A308" s="260"/>
      <c r="B308" s="261"/>
      <c r="C308" s="262"/>
      <c r="D308" s="261"/>
      <c r="E308" s="262"/>
      <c r="F308" s="261"/>
    </row>
    <row r="309" spans="1:6" s="263" customFormat="1">
      <c r="A309" s="260"/>
      <c r="B309" s="261"/>
      <c r="C309" s="262"/>
      <c r="D309" s="261"/>
      <c r="E309" s="262"/>
      <c r="F309" s="261"/>
    </row>
    <row r="310" spans="1:6" s="263" customFormat="1">
      <c r="A310" s="260"/>
      <c r="B310" s="261"/>
      <c r="C310" s="262"/>
      <c r="D310" s="261"/>
      <c r="E310" s="262"/>
      <c r="F310" s="261"/>
    </row>
    <row r="311" spans="1:6" s="263" customFormat="1">
      <c r="A311" s="260"/>
      <c r="B311" s="261"/>
      <c r="C311" s="262"/>
      <c r="D311" s="261"/>
      <c r="E311" s="262"/>
      <c r="F311" s="261"/>
    </row>
    <row r="312" spans="1:6" s="263" customFormat="1">
      <c r="A312" s="260"/>
      <c r="B312" s="261"/>
      <c r="C312" s="262"/>
      <c r="D312" s="261"/>
      <c r="E312" s="262"/>
      <c r="F312" s="261"/>
    </row>
    <row r="313" spans="1:6" s="263" customFormat="1">
      <c r="A313" s="260"/>
      <c r="B313" s="261"/>
      <c r="C313" s="262"/>
      <c r="D313" s="261"/>
      <c r="E313" s="262"/>
      <c r="F313" s="261"/>
    </row>
    <row r="314" spans="1:6" s="263" customFormat="1">
      <c r="A314" s="260"/>
      <c r="B314" s="261"/>
      <c r="C314" s="262"/>
      <c r="D314" s="261"/>
      <c r="E314" s="262"/>
      <c r="F314" s="261"/>
    </row>
    <row r="315" spans="1:6" s="263" customFormat="1">
      <c r="A315" s="260"/>
      <c r="B315" s="261"/>
      <c r="C315" s="262"/>
      <c r="D315" s="261"/>
      <c r="E315" s="262"/>
      <c r="F315" s="261"/>
    </row>
    <row r="316" spans="1:6" s="263" customFormat="1">
      <c r="A316" s="260"/>
      <c r="B316" s="261"/>
      <c r="C316" s="262"/>
      <c r="D316" s="261"/>
      <c r="E316" s="262"/>
      <c r="F316" s="261"/>
    </row>
    <row r="317" spans="1:6" s="263" customFormat="1">
      <c r="A317" s="260"/>
      <c r="B317" s="261"/>
      <c r="C317" s="262"/>
      <c r="D317" s="261"/>
      <c r="E317" s="262"/>
      <c r="F317" s="261"/>
    </row>
    <row r="318" spans="1:6" s="263" customFormat="1">
      <c r="A318" s="260"/>
      <c r="B318" s="261"/>
      <c r="C318" s="262"/>
      <c r="D318" s="261"/>
      <c r="E318" s="262"/>
      <c r="F318" s="261"/>
    </row>
    <row r="319" spans="1:6" s="263" customFormat="1">
      <c r="A319" s="260"/>
      <c r="B319" s="261"/>
      <c r="C319" s="262"/>
      <c r="D319" s="261"/>
      <c r="E319" s="262"/>
      <c r="F319" s="261"/>
    </row>
    <row r="320" spans="1:6" s="263" customFormat="1">
      <c r="A320" s="260"/>
      <c r="B320" s="261"/>
      <c r="C320" s="262"/>
      <c r="D320" s="261"/>
      <c r="E320" s="262"/>
      <c r="F320" s="261"/>
    </row>
    <row r="321" spans="1:6" s="263" customFormat="1">
      <c r="A321" s="260"/>
      <c r="B321" s="261"/>
      <c r="C321" s="262"/>
      <c r="D321" s="261"/>
      <c r="E321" s="262"/>
      <c r="F321" s="261"/>
    </row>
    <row r="322" spans="1:6" s="263" customFormat="1">
      <c r="A322" s="260"/>
      <c r="B322" s="261"/>
      <c r="C322" s="262"/>
      <c r="D322" s="261"/>
      <c r="E322" s="262"/>
      <c r="F322" s="261"/>
    </row>
    <row r="323" spans="1:6" s="263" customFormat="1">
      <c r="A323" s="260"/>
      <c r="B323" s="261"/>
      <c r="C323" s="262"/>
      <c r="D323" s="261"/>
      <c r="E323" s="262"/>
      <c r="F323" s="261"/>
    </row>
    <row r="324" spans="1:6" s="263" customFormat="1">
      <c r="A324" s="260"/>
      <c r="B324" s="261"/>
      <c r="C324" s="262"/>
      <c r="D324" s="261"/>
      <c r="E324" s="262"/>
      <c r="F324" s="261"/>
    </row>
    <row r="325" spans="1:6" s="263" customFormat="1">
      <c r="A325" s="260"/>
      <c r="B325" s="261"/>
      <c r="C325" s="262"/>
      <c r="D325" s="261"/>
      <c r="E325" s="262"/>
      <c r="F325" s="261"/>
    </row>
    <row r="326" spans="1:6" s="263" customFormat="1">
      <c r="A326" s="260"/>
      <c r="B326" s="261"/>
      <c r="C326" s="262"/>
      <c r="D326" s="261"/>
      <c r="E326" s="262"/>
      <c r="F326" s="261"/>
    </row>
    <row r="327" spans="1:6" s="263" customFormat="1">
      <c r="A327" s="260"/>
      <c r="B327" s="261"/>
      <c r="C327" s="262"/>
      <c r="D327" s="261"/>
      <c r="E327" s="262"/>
      <c r="F327" s="261"/>
    </row>
    <row r="328" spans="1:6" s="263" customFormat="1">
      <c r="A328" s="260"/>
      <c r="B328" s="261"/>
      <c r="C328" s="262"/>
      <c r="D328" s="261"/>
      <c r="E328" s="262"/>
      <c r="F328" s="261"/>
    </row>
    <row r="329" spans="1:6" s="263" customFormat="1">
      <c r="A329" s="260"/>
      <c r="B329" s="261"/>
      <c r="C329" s="262"/>
      <c r="D329" s="261"/>
      <c r="E329" s="262"/>
      <c r="F329" s="261"/>
    </row>
    <row r="330" spans="1:6" s="263" customFormat="1">
      <c r="A330" s="260"/>
      <c r="B330" s="261"/>
      <c r="C330" s="262"/>
      <c r="D330" s="261"/>
      <c r="E330" s="262"/>
      <c r="F330" s="261"/>
    </row>
    <row r="331" spans="1:6" s="263" customFormat="1">
      <c r="A331" s="260"/>
      <c r="B331" s="261"/>
      <c r="C331" s="262"/>
      <c r="D331" s="261"/>
      <c r="E331" s="262"/>
      <c r="F331" s="261"/>
    </row>
    <row r="332" spans="1:6" s="263" customFormat="1">
      <c r="A332" s="260"/>
      <c r="B332" s="261"/>
      <c r="C332" s="262"/>
      <c r="D332" s="261"/>
      <c r="E332" s="262"/>
      <c r="F332" s="261"/>
    </row>
    <row r="333" spans="1:6" s="263" customFormat="1">
      <c r="A333" s="260"/>
      <c r="B333" s="261"/>
      <c r="C333" s="262"/>
      <c r="D333" s="261"/>
      <c r="E333" s="262"/>
      <c r="F333" s="261"/>
    </row>
    <row r="334" spans="1:6" s="263" customFormat="1">
      <c r="A334" s="260"/>
      <c r="B334" s="261"/>
      <c r="C334" s="262"/>
      <c r="D334" s="261"/>
      <c r="E334" s="262"/>
      <c r="F334" s="261"/>
    </row>
    <row r="335" spans="1:6" s="263" customFormat="1">
      <c r="A335" s="260"/>
      <c r="B335" s="261"/>
      <c r="C335" s="262"/>
      <c r="D335" s="261"/>
      <c r="E335" s="262"/>
      <c r="F335" s="261"/>
    </row>
    <row r="336" spans="1:6" s="263" customFormat="1">
      <c r="A336" s="260"/>
      <c r="B336" s="261"/>
      <c r="C336" s="262"/>
      <c r="D336" s="261"/>
      <c r="E336" s="262"/>
      <c r="F336" s="261"/>
    </row>
    <row r="337" spans="1:6" s="263" customFormat="1">
      <c r="A337" s="260"/>
      <c r="B337" s="261"/>
      <c r="C337" s="262"/>
      <c r="D337" s="261"/>
      <c r="E337" s="262"/>
      <c r="F337" s="261"/>
    </row>
    <row r="338" spans="1:6" s="263" customFormat="1">
      <c r="A338" s="260"/>
      <c r="B338" s="261"/>
      <c r="C338" s="262"/>
      <c r="D338" s="261"/>
      <c r="E338" s="262"/>
      <c r="F338" s="261"/>
    </row>
    <row r="339" spans="1:6" s="263" customFormat="1">
      <c r="A339" s="260"/>
      <c r="B339" s="261"/>
      <c r="C339" s="262"/>
      <c r="D339" s="261"/>
      <c r="E339" s="262"/>
      <c r="F339" s="261"/>
    </row>
    <row r="340" spans="1:6" s="263" customFormat="1">
      <c r="A340" s="260"/>
      <c r="B340" s="261"/>
      <c r="C340" s="262"/>
      <c r="D340" s="261"/>
      <c r="E340" s="262"/>
      <c r="F340" s="261"/>
    </row>
    <row r="341" spans="1:6" s="263" customFormat="1">
      <c r="A341" s="260"/>
      <c r="B341" s="261"/>
      <c r="C341" s="262"/>
      <c r="D341" s="261"/>
      <c r="E341" s="262"/>
      <c r="F341" s="261"/>
    </row>
    <row r="342" spans="1:6" s="263" customFormat="1">
      <c r="A342" s="260"/>
      <c r="B342" s="261"/>
      <c r="C342" s="262"/>
      <c r="D342" s="261"/>
      <c r="E342" s="262"/>
      <c r="F342" s="261"/>
    </row>
    <row r="343" spans="1:6" s="263" customFormat="1">
      <c r="A343" s="260"/>
      <c r="B343" s="261"/>
      <c r="C343" s="262"/>
      <c r="D343" s="261"/>
      <c r="E343" s="262"/>
      <c r="F343" s="261"/>
    </row>
    <row r="344" spans="1:6" s="263" customFormat="1">
      <c r="A344" s="260"/>
      <c r="B344" s="261"/>
      <c r="C344" s="262"/>
      <c r="D344" s="261"/>
      <c r="E344" s="262"/>
      <c r="F344" s="261"/>
    </row>
    <row r="345" spans="1:6" s="263" customFormat="1">
      <c r="A345" s="260"/>
      <c r="B345" s="261"/>
      <c r="C345" s="262"/>
      <c r="D345" s="261"/>
      <c r="E345" s="262"/>
      <c r="F345" s="261"/>
    </row>
    <row r="346" spans="1:6" s="263" customFormat="1">
      <c r="A346" s="260"/>
      <c r="B346" s="261"/>
      <c r="C346" s="262"/>
      <c r="D346" s="261"/>
      <c r="E346" s="262"/>
      <c r="F346" s="261"/>
    </row>
    <row r="347" spans="1:6" s="263" customFormat="1">
      <c r="A347" s="260"/>
      <c r="B347" s="261"/>
      <c r="C347" s="262"/>
      <c r="D347" s="261"/>
      <c r="E347" s="262"/>
      <c r="F347" s="261"/>
    </row>
    <row r="348" spans="1:6" s="263" customFormat="1">
      <c r="A348" s="260"/>
      <c r="B348" s="261"/>
      <c r="C348" s="262"/>
      <c r="D348" s="261"/>
      <c r="E348" s="262"/>
      <c r="F348" s="261"/>
    </row>
    <row r="349" spans="1:6" s="263" customFormat="1">
      <c r="A349" s="260"/>
      <c r="B349" s="261"/>
      <c r="C349" s="262"/>
      <c r="D349" s="261"/>
      <c r="E349" s="262"/>
      <c r="F349" s="261"/>
    </row>
    <row r="350" spans="1:6" s="263" customFormat="1">
      <c r="A350" s="260"/>
      <c r="B350" s="261"/>
      <c r="C350" s="262"/>
      <c r="D350" s="261"/>
      <c r="E350" s="262"/>
      <c r="F350" s="261"/>
    </row>
    <row r="351" spans="1:6" s="263" customFormat="1">
      <c r="A351" s="260"/>
      <c r="B351" s="261"/>
      <c r="C351" s="262"/>
      <c r="D351" s="261"/>
      <c r="E351" s="262"/>
      <c r="F351" s="261"/>
    </row>
    <row r="352" spans="1:6" s="263" customFormat="1">
      <c r="A352" s="260"/>
      <c r="B352" s="261"/>
      <c r="C352" s="262"/>
      <c r="D352" s="261"/>
      <c r="E352" s="262"/>
      <c r="F352" s="261"/>
    </row>
    <row r="353" spans="1:6" s="263" customFormat="1">
      <c r="A353" s="260"/>
      <c r="B353" s="261"/>
      <c r="C353" s="262"/>
      <c r="D353" s="261"/>
      <c r="E353" s="262"/>
      <c r="F353" s="261"/>
    </row>
    <row r="354" spans="1:6" s="263" customFormat="1">
      <c r="A354" s="260"/>
      <c r="B354" s="261"/>
      <c r="C354" s="262"/>
      <c r="D354" s="261"/>
      <c r="E354" s="262"/>
      <c r="F354" s="261"/>
    </row>
    <row r="355" spans="1:6" s="263" customFormat="1">
      <c r="A355" s="260"/>
      <c r="B355" s="261"/>
      <c r="C355" s="262"/>
      <c r="D355" s="261"/>
      <c r="E355" s="262"/>
      <c r="F355" s="261"/>
    </row>
    <row r="356" spans="1:6" s="263" customFormat="1">
      <c r="A356" s="260"/>
      <c r="B356" s="261"/>
      <c r="C356" s="262"/>
      <c r="D356" s="261"/>
      <c r="E356" s="262"/>
      <c r="F356" s="261"/>
    </row>
    <row r="357" spans="1:6" s="263" customFormat="1">
      <c r="A357" s="260"/>
      <c r="B357" s="261"/>
      <c r="C357" s="262"/>
      <c r="D357" s="261"/>
      <c r="E357" s="262"/>
      <c r="F357" s="261"/>
    </row>
    <row r="358" spans="1:6" s="263" customFormat="1">
      <c r="A358" s="260"/>
      <c r="B358" s="261"/>
      <c r="C358" s="262"/>
      <c r="D358" s="261"/>
      <c r="E358" s="262"/>
      <c r="F358" s="261"/>
    </row>
    <row r="359" spans="1:6" s="263" customFormat="1">
      <c r="A359" s="260"/>
      <c r="B359" s="261"/>
      <c r="C359" s="262"/>
      <c r="D359" s="261"/>
      <c r="E359" s="262"/>
      <c r="F359" s="261"/>
    </row>
    <row r="360" spans="1:6" s="263" customFormat="1">
      <c r="A360" s="260"/>
      <c r="B360" s="261"/>
      <c r="C360" s="262"/>
      <c r="D360" s="261"/>
      <c r="E360" s="262"/>
      <c r="F360" s="261"/>
    </row>
    <row r="361" spans="1:6" s="263" customFormat="1">
      <c r="A361" s="260"/>
      <c r="B361" s="261"/>
      <c r="C361" s="262"/>
      <c r="D361" s="261"/>
      <c r="E361" s="262"/>
      <c r="F361" s="261"/>
    </row>
    <row r="362" spans="1:6" s="263" customFormat="1">
      <c r="A362" s="260"/>
      <c r="B362" s="261"/>
      <c r="C362" s="262"/>
      <c r="D362" s="261"/>
      <c r="E362" s="262"/>
      <c r="F362" s="261"/>
    </row>
    <row r="363" spans="1:6" s="263" customFormat="1">
      <c r="A363" s="260"/>
      <c r="B363" s="261"/>
      <c r="C363" s="262"/>
      <c r="D363" s="261"/>
      <c r="E363" s="262"/>
      <c r="F363" s="261"/>
    </row>
    <row r="364" spans="1:6" s="263" customFormat="1">
      <c r="A364" s="260"/>
      <c r="B364" s="261"/>
      <c r="C364" s="262"/>
      <c r="D364" s="261"/>
      <c r="E364" s="262"/>
      <c r="F364" s="261"/>
    </row>
    <row r="365" spans="1:6" s="263" customFormat="1">
      <c r="A365" s="260"/>
      <c r="B365" s="261"/>
      <c r="C365" s="262"/>
      <c r="D365" s="261"/>
      <c r="E365" s="262"/>
      <c r="F365" s="261"/>
    </row>
    <row r="366" spans="1:6" s="263" customFormat="1">
      <c r="A366" s="260"/>
      <c r="B366" s="261"/>
      <c r="C366" s="262"/>
      <c r="D366" s="261"/>
      <c r="E366" s="262"/>
      <c r="F366" s="261"/>
    </row>
    <row r="367" spans="1:6" s="263" customFormat="1">
      <c r="A367" s="260"/>
      <c r="B367" s="261"/>
      <c r="C367" s="262"/>
      <c r="D367" s="261"/>
      <c r="E367" s="262"/>
      <c r="F367" s="261"/>
    </row>
    <row r="368" spans="1:6" s="263" customFormat="1">
      <c r="A368" s="260"/>
      <c r="B368" s="261"/>
      <c r="C368" s="262"/>
      <c r="D368" s="261"/>
      <c r="E368" s="262"/>
      <c r="F368" s="261"/>
    </row>
    <row r="369" spans="1:6" s="263" customFormat="1">
      <c r="A369" s="260"/>
      <c r="B369" s="261"/>
      <c r="C369" s="262"/>
      <c r="D369" s="261"/>
      <c r="E369" s="262"/>
      <c r="F369" s="261"/>
    </row>
    <row r="370" spans="1:6" s="263" customFormat="1">
      <c r="A370" s="260"/>
      <c r="B370" s="261"/>
      <c r="C370" s="262"/>
      <c r="D370" s="261"/>
      <c r="E370" s="262"/>
      <c r="F370" s="261"/>
    </row>
    <row r="371" spans="1:6" s="263" customFormat="1">
      <c r="A371" s="260"/>
      <c r="B371" s="261"/>
      <c r="C371" s="262"/>
      <c r="D371" s="261"/>
      <c r="E371" s="262"/>
      <c r="F371" s="261"/>
    </row>
    <row r="372" spans="1:6" s="263" customFormat="1">
      <c r="A372" s="260"/>
      <c r="B372" s="261"/>
      <c r="C372" s="262"/>
      <c r="D372" s="261"/>
      <c r="E372" s="262"/>
      <c r="F372" s="261"/>
    </row>
    <row r="373" spans="1:6" s="263" customFormat="1">
      <c r="A373" s="260"/>
      <c r="B373" s="261"/>
      <c r="C373" s="262"/>
      <c r="D373" s="261"/>
      <c r="E373" s="262"/>
      <c r="F373" s="261"/>
    </row>
    <row r="374" spans="1:6" s="263" customFormat="1">
      <c r="A374" s="260"/>
      <c r="B374" s="261"/>
      <c r="C374" s="262"/>
      <c r="D374" s="261"/>
      <c r="E374" s="262"/>
      <c r="F374" s="261"/>
    </row>
    <row r="375" spans="1:6" s="263" customFormat="1">
      <c r="A375" s="260"/>
      <c r="B375" s="261"/>
      <c r="C375" s="262"/>
      <c r="D375" s="261"/>
      <c r="E375" s="262"/>
      <c r="F375" s="261"/>
    </row>
    <row r="376" spans="1:6" s="263" customFormat="1">
      <c r="A376" s="260"/>
      <c r="B376" s="261"/>
      <c r="C376" s="262"/>
      <c r="D376" s="261"/>
      <c r="E376" s="262"/>
      <c r="F376" s="261"/>
    </row>
    <row r="377" spans="1:6" s="263" customFormat="1">
      <c r="A377" s="260"/>
      <c r="B377" s="261"/>
      <c r="C377" s="262"/>
      <c r="D377" s="261"/>
      <c r="E377" s="262"/>
      <c r="F377" s="261"/>
    </row>
    <row r="378" spans="1:6" s="263" customFormat="1">
      <c r="A378" s="260"/>
      <c r="B378" s="261"/>
      <c r="C378" s="262"/>
      <c r="D378" s="261"/>
      <c r="E378" s="262"/>
      <c r="F378" s="261"/>
    </row>
    <row r="379" spans="1:6" s="263" customFormat="1">
      <c r="A379" s="260"/>
      <c r="B379" s="261"/>
      <c r="C379" s="262"/>
      <c r="D379" s="261"/>
      <c r="E379" s="262"/>
      <c r="F379" s="261"/>
    </row>
    <row r="380" spans="1:6" s="263" customFormat="1">
      <c r="A380" s="260"/>
      <c r="B380" s="261"/>
      <c r="C380" s="262"/>
      <c r="D380" s="261"/>
      <c r="E380" s="262"/>
      <c r="F380" s="261"/>
    </row>
    <row r="381" spans="1:6" s="263" customFormat="1">
      <c r="A381" s="260"/>
      <c r="B381" s="261"/>
      <c r="C381" s="262"/>
      <c r="D381" s="261"/>
      <c r="E381" s="262"/>
      <c r="F381" s="261"/>
    </row>
    <row r="382" spans="1:6" s="263" customFormat="1">
      <c r="A382" s="260"/>
      <c r="B382" s="261"/>
      <c r="C382" s="262"/>
      <c r="D382" s="261"/>
      <c r="E382" s="262"/>
      <c r="F382" s="261"/>
    </row>
    <row r="383" spans="1:6" s="263" customFormat="1">
      <c r="A383" s="260"/>
      <c r="B383" s="261"/>
      <c r="C383" s="262"/>
      <c r="D383" s="261"/>
      <c r="E383" s="262"/>
      <c r="F383" s="261"/>
    </row>
    <row r="384" spans="1:6" s="263" customFormat="1">
      <c r="A384" s="260"/>
      <c r="B384" s="261"/>
      <c r="C384" s="262"/>
      <c r="D384" s="261"/>
      <c r="E384" s="262"/>
      <c r="F384" s="261"/>
    </row>
    <row r="385" spans="1:6" s="263" customFormat="1">
      <c r="A385" s="260"/>
      <c r="B385" s="261"/>
      <c r="C385" s="262"/>
      <c r="D385" s="261"/>
      <c r="E385" s="262"/>
      <c r="F385" s="261"/>
    </row>
    <row r="386" spans="1:6" s="263" customFormat="1">
      <c r="A386" s="260"/>
      <c r="B386" s="261"/>
      <c r="C386" s="262"/>
      <c r="D386" s="261"/>
      <c r="E386" s="262"/>
      <c r="F386" s="261"/>
    </row>
    <row r="387" spans="1:6" s="263" customFormat="1">
      <c r="A387" s="260"/>
      <c r="B387" s="261"/>
      <c r="C387" s="262"/>
      <c r="D387" s="261"/>
      <c r="E387" s="262"/>
      <c r="F387" s="261"/>
    </row>
    <row r="388" spans="1:6" s="263" customFormat="1">
      <c r="A388" s="260"/>
      <c r="B388" s="261"/>
      <c r="C388" s="262"/>
      <c r="D388" s="261"/>
      <c r="E388" s="262"/>
      <c r="F388" s="261"/>
    </row>
    <row r="389" spans="1:6" s="263" customFormat="1">
      <c r="A389" s="260"/>
      <c r="B389" s="261"/>
      <c r="C389" s="262"/>
      <c r="D389" s="261"/>
      <c r="E389" s="262"/>
      <c r="F389" s="261"/>
    </row>
    <row r="390" spans="1:6" s="263" customFormat="1">
      <c r="A390" s="260"/>
      <c r="B390" s="261"/>
      <c r="C390" s="262"/>
      <c r="D390" s="261"/>
      <c r="E390" s="262"/>
      <c r="F390" s="261"/>
    </row>
    <row r="391" spans="1:6" s="263" customFormat="1">
      <c r="A391" s="260"/>
      <c r="B391" s="261"/>
      <c r="C391" s="262"/>
      <c r="D391" s="261"/>
      <c r="E391" s="262"/>
      <c r="F391" s="261"/>
    </row>
    <row r="392" spans="1:6" s="263" customFormat="1">
      <c r="A392" s="260"/>
      <c r="B392" s="261"/>
      <c r="C392" s="262"/>
      <c r="D392" s="261"/>
      <c r="E392" s="262"/>
      <c r="F392" s="261"/>
    </row>
    <row r="393" spans="1:6" s="263" customFormat="1">
      <c r="A393" s="260"/>
      <c r="B393" s="261"/>
      <c r="C393" s="262"/>
      <c r="D393" s="261"/>
      <c r="E393" s="262"/>
      <c r="F393" s="261"/>
    </row>
    <row r="394" spans="1:6" s="263" customFormat="1">
      <c r="A394" s="260"/>
      <c r="B394" s="261"/>
      <c r="C394" s="262"/>
      <c r="D394" s="261"/>
      <c r="E394" s="262"/>
      <c r="F394" s="261"/>
    </row>
    <row r="395" spans="1:6" s="263" customFormat="1">
      <c r="A395" s="260"/>
      <c r="B395" s="261"/>
      <c r="C395" s="262"/>
      <c r="D395" s="261"/>
      <c r="E395" s="262"/>
      <c r="F395" s="261"/>
    </row>
    <row r="396" spans="1:6" s="263" customFormat="1">
      <c r="A396" s="260"/>
      <c r="B396" s="261"/>
      <c r="C396" s="262"/>
      <c r="D396" s="261"/>
      <c r="E396" s="262"/>
      <c r="F396" s="261"/>
    </row>
    <row r="397" spans="1:6" s="263" customFormat="1">
      <c r="A397" s="260"/>
      <c r="B397" s="261"/>
      <c r="C397" s="262"/>
      <c r="D397" s="261"/>
      <c r="E397" s="262"/>
      <c r="F397" s="261"/>
    </row>
    <row r="398" spans="1:6" s="263" customFormat="1">
      <c r="A398" s="260"/>
      <c r="B398" s="261"/>
      <c r="C398" s="262"/>
      <c r="D398" s="261"/>
      <c r="E398" s="262"/>
      <c r="F398" s="261"/>
    </row>
    <row r="399" spans="1:6" s="263" customFormat="1">
      <c r="A399" s="260"/>
      <c r="B399" s="261"/>
      <c r="C399" s="262"/>
      <c r="D399" s="261"/>
      <c r="E399" s="262"/>
      <c r="F399" s="261"/>
    </row>
    <row r="400" spans="1:6" s="263" customFormat="1">
      <c r="A400" s="260"/>
      <c r="B400" s="261"/>
      <c r="C400" s="262"/>
      <c r="D400" s="261"/>
      <c r="E400" s="262"/>
      <c r="F400" s="261"/>
    </row>
    <row r="401" spans="1:6" s="263" customFormat="1">
      <c r="A401" s="260"/>
      <c r="B401" s="261"/>
      <c r="C401" s="262"/>
      <c r="D401" s="261"/>
      <c r="E401" s="262"/>
      <c r="F401" s="261"/>
    </row>
    <row r="402" spans="1:6" s="263" customFormat="1">
      <c r="A402" s="260"/>
      <c r="B402" s="261"/>
      <c r="C402" s="262"/>
      <c r="D402" s="261"/>
      <c r="E402" s="262"/>
      <c r="F402" s="261"/>
    </row>
    <row r="403" spans="1:6" s="263" customFormat="1">
      <c r="A403" s="260"/>
      <c r="B403" s="261"/>
      <c r="C403" s="262"/>
      <c r="D403" s="261"/>
      <c r="E403" s="262"/>
      <c r="F403" s="261"/>
    </row>
    <row r="404" spans="1:6" s="263" customFormat="1">
      <c r="A404" s="260"/>
      <c r="B404" s="261"/>
      <c r="C404" s="262"/>
      <c r="D404" s="261"/>
      <c r="E404" s="262"/>
      <c r="F404" s="261"/>
    </row>
    <row r="405" spans="1:6" s="263" customFormat="1">
      <c r="A405" s="260"/>
      <c r="B405" s="261"/>
      <c r="C405" s="262"/>
      <c r="D405" s="261"/>
      <c r="E405" s="262"/>
      <c r="F405" s="261"/>
    </row>
    <row r="406" spans="1:6" s="263" customFormat="1">
      <c r="A406" s="260"/>
      <c r="B406" s="261"/>
      <c r="C406" s="262"/>
      <c r="D406" s="261"/>
      <c r="E406" s="262"/>
      <c r="F406" s="261"/>
    </row>
    <row r="407" spans="1:6" s="263" customFormat="1">
      <c r="A407" s="260"/>
      <c r="B407" s="261"/>
      <c r="C407" s="262"/>
      <c r="D407" s="261"/>
      <c r="E407" s="262"/>
      <c r="F407" s="261"/>
    </row>
    <row r="408" spans="1:6" s="263" customFormat="1">
      <c r="A408" s="260"/>
      <c r="B408" s="261"/>
      <c r="C408" s="262"/>
      <c r="D408" s="261"/>
      <c r="E408" s="262"/>
      <c r="F408" s="261"/>
    </row>
    <row r="409" spans="1:6" s="263" customFormat="1">
      <c r="A409" s="260"/>
      <c r="B409" s="261"/>
      <c r="C409" s="262"/>
      <c r="D409" s="261"/>
      <c r="E409" s="262"/>
      <c r="F409" s="261"/>
    </row>
    <row r="410" spans="1:6" s="263" customFormat="1">
      <c r="A410" s="260"/>
      <c r="B410" s="261"/>
      <c r="C410" s="262"/>
      <c r="D410" s="261"/>
      <c r="E410" s="262"/>
      <c r="F410" s="261"/>
    </row>
    <row r="411" spans="1:6" s="263" customFormat="1">
      <c r="A411" s="260"/>
      <c r="B411" s="261"/>
      <c r="C411" s="262"/>
      <c r="D411" s="261"/>
      <c r="E411" s="262"/>
      <c r="F411" s="261"/>
    </row>
    <row r="412" spans="1:6" s="263" customFormat="1">
      <c r="A412" s="260"/>
      <c r="B412" s="261"/>
      <c r="C412" s="262"/>
      <c r="D412" s="261"/>
      <c r="E412" s="262"/>
      <c r="F412" s="261"/>
    </row>
    <row r="413" spans="1:6" s="263" customFormat="1">
      <c r="A413" s="260"/>
      <c r="B413" s="261"/>
      <c r="C413" s="262"/>
      <c r="D413" s="261"/>
      <c r="E413" s="262"/>
      <c r="F413" s="261"/>
    </row>
    <row r="414" spans="1:6" s="263" customFormat="1">
      <c r="A414" s="260"/>
      <c r="B414" s="261"/>
      <c r="C414" s="262"/>
      <c r="D414" s="261"/>
      <c r="E414" s="262"/>
      <c r="F414" s="261"/>
    </row>
    <row r="415" spans="1:6" s="263" customFormat="1">
      <c r="A415" s="260"/>
      <c r="B415" s="261"/>
      <c r="C415" s="262"/>
      <c r="D415" s="261"/>
      <c r="E415" s="262"/>
      <c r="F415" s="261"/>
    </row>
    <row r="416" spans="1:6" s="263" customFormat="1">
      <c r="A416" s="260"/>
      <c r="B416" s="261"/>
      <c r="C416" s="262"/>
      <c r="D416" s="261"/>
      <c r="E416" s="262"/>
      <c r="F416" s="261"/>
    </row>
    <row r="417" spans="1:6" s="263" customFormat="1">
      <c r="A417" s="260"/>
      <c r="B417" s="261"/>
      <c r="C417" s="262"/>
      <c r="D417" s="261"/>
      <c r="E417" s="262"/>
      <c r="F417" s="261"/>
    </row>
    <row r="418" spans="1:6" s="263" customFormat="1">
      <c r="A418" s="260"/>
      <c r="B418" s="261"/>
      <c r="C418" s="262"/>
      <c r="D418" s="261"/>
      <c r="E418" s="262"/>
      <c r="F418" s="261"/>
    </row>
    <row r="419" spans="1:6" s="263" customFormat="1">
      <c r="A419" s="260"/>
      <c r="B419" s="261"/>
      <c r="C419" s="262"/>
      <c r="D419" s="261"/>
      <c r="E419" s="262"/>
      <c r="F419" s="261"/>
    </row>
    <row r="420" spans="1:6" s="263" customFormat="1">
      <c r="A420" s="260"/>
      <c r="B420" s="261"/>
      <c r="C420" s="262"/>
      <c r="D420" s="261"/>
      <c r="E420" s="262"/>
      <c r="F420" s="261"/>
    </row>
    <row r="421" spans="1:6" s="263" customFormat="1">
      <c r="A421" s="260"/>
      <c r="B421" s="261"/>
      <c r="C421" s="262"/>
      <c r="D421" s="261"/>
      <c r="E421" s="262"/>
      <c r="F421" s="261"/>
    </row>
    <row r="422" spans="1:6" s="263" customFormat="1">
      <c r="A422" s="260"/>
      <c r="B422" s="261"/>
      <c r="C422" s="262"/>
      <c r="D422" s="261"/>
      <c r="E422" s="262"/>
      <c r="F422" s="261"/>
    </row>
    <row r="423" spans="1:6" s="263" customFormat="1">
      <c r="A423" s="260"/>
      <c r="B423" s="261"/>
      <c r="C423" s="262"/>
      <c r="D423" s="261"/>
      <c r="E423" s="262"/>
      <c r="F423" s="261"/>
    </row>
    <row r="424" spans="1:6" s="263" customFormat="1">
      <c r="A424" s="260"/>
      <c r="B424" s="261"/>
      <c r="C424" s="262"/>
      <c r="D424" s="261"/>
      <c r="E424" s="262"/>
      <c r="F424" s="261"/>
    </row>
    <row r="425" spans="1:6" s="263" customFormat="1">
      <c r="A425" s="260"/>
      <c r="B425" s="261"/>
      <c r="C425" s="262"/>
      <c r="D425" s="261"/>
      <c r="E425" s="262"/>
      <c r="F425" s="261"/>
    </row>
    <row r="426" spans="1:6" s="263" customFormat="1">
      <c r="A426" s="260"/>
      <c r="B426" s="261"/>
      <c r="C426" s="262"/>
      <c r="D426" s="261"/>
      <c r="E426" s="262"/>
      <c r="F426" s="261"/>
    </row>
    <row r="427" spans="1:6" s="263" customFormat="1">
      <c r="A427" s="260"/>
      <c r="B427" s="261"/>
      <c r="C427" s="262"/>
      <c r="D427" s="261"/>
      <c r="E427" s="262"/>
      <c r="F427" s="261"/>
    </row>
    <row r="428" spans="1:6" s="263" customFormat="1">
      <c r="A428" s="260"/>
      <c r="B428" s="261"/>
      <c r="C428" s="262"/>
      <c r="D428" s="261"/>
      <c r="E428" s="262"/>
      <c r="F428" s="261"/>
    </row>
    <row r="429" spans="1:6" s="263" customFormat="1">
      <c r="A429" s="260"/>
      <c r="B429" s="261"/>
      <c r="C429" s="262"/>
      <c r="D429" s="261"/>
      <c r="E429" s="262"/>
      <c r="F429" s="261"/>
    </row>
    <row r="430" spans="1:6" s="263" customFormat="1">
      <c r="A430" s="260"/>
      <c r="B430" s="261"/>
      <c r="C430" s="262"/>
      <c r="D430" s="261"/>
      <c r="E430" s="262"/>
      <c r="F430" s="261"/>
    </row>
    <row r="431" spans="1:6" s="263" customFormat="1">
      <c r="A431" s="260"/>
      <c r="B431" s="261"/>
      <c r="C431" s="262"/>
      <c r="D431" s="261"/>
      <c r="E431" s="262"/>
      <c r="F431" s="261"/>
    </row>
    <row r="432" spans="1:6" s="263" customFormat="1">
      <c r="A432" s="260"/>
      <c r="B432" s="261"/>
      <c r="C432" s="262"/>
      <c r="D432" s="261"/>
      <c r="E432" s="262"/>
      <c r="F432" s="261"/>
    </row>
    <row r="433" spans="1:6" s="263" customFormat="1">
      <c r="A433" s="260"/>
      <c r="B433" s="261"/>
      <c r="C433" s="262"/>
      <c r="D433" s="261"/>
      <c r="E433" s="262"/>
      <c r="F433" s="261"/>
    </row>
    <row r="434" spans="1:6" s="263" customFormat="1">
      <c r="A434" s="260"/>
      <c r="B434" s="261"/>
      <c r="C434" s="262"/>
      <c r="D434" s="261"/>
      <c r="E434" s="262"/>
      <c r="F434" s="261"/>
    </row>
    <row r="435" spans="1:6" s="263" customFormat="1">
      <c r="A435" s="260"/>
      <c r="B435" s="261"/>
      <c r="C435" s="262"/>
      <c r="D435" s="261"/>
      <c r="E435" s="262"/>
      <c r="F435" s="261"/>
    </row>
    <row r="436" spans="1:6" s="263" customFormat="1">
      <c r="A436" s="260"/>
      <c r="B436" s="261"/>
      <c r="C436" s="262"/>
      <c r="D436" s="261"/>
      <c r="E436" s="262"/>
      <c r="F436" s="261"/>
    </row>
    <row r="437" spans="1:6" s="263" customFormat="1">
      <c r="A437" s="260"/>
      <c r="B437" s="261"/>
      <c r="C437" s="262"/>
      <c r="D437" s="261"/>
      <c r="E437" s="262"/>
      <c r="F437" s="261"/>
    </row>
    <row r="438" spans="1:6" s="263" customFormat="1">
      <c r="A438" s="260"/>
      <c r="B438" s="261"/>
      <c r="C438" s="262"/>
      <c r="D438" s="261"/>
      <c r="E438" s="262"/>
      <c r="F438" s="261"/>
    </row>
    <row r="439" spans="1:6" s="263" customFormat="1">
      <c r="A439" s="260"/>
      <c r="B439" s="261"/>
      <c r="C439" s="262"/>
      <c r="D439" s="261"/>
      <c r="E439" s="262"/>
      <c r="F439" s="261"/>
    </row>
    <row r="440" spans="1:6" s="263" customFormat="1">
      <c r="A440" s="260"/>
      <c r="B440" s="261"/>
      <c r="C440" s="262"/>
      <c r="D440" s="261"/>
      <c r="E440" s="262"/>
      <c r="F440" s="261"/>
    </row>
    <row r="441" spans="1:6" s="263" customFormat="1">
      <c r="A441" s="260"/>
      <c r="B441" s="261"/>
      <c r="C441" s="262"/>
      <c r="D441" s="261"/>
      <c r="E441" s="262"/>
      <c r="F441" s="261"/>
    </row>
    <row r="442" spans="1:6" s="263" customFormat="1">
      <c r="A442" s="260"/>
      <c r="B442" s="261"/>
      <c r="C442" s="262"/>
      <c r="D442" s="261"/>
      <c r="E442" s="262"/>
      <c r="F442" s="261"/>
    </row>
    <row r="443" spans="1:6" s="263" customFormat="1">
      <c r="A443" s="260"/>
      <c r="B443" s="261"/>
      <c r="C443" s="262"/>
      <c r="D443" s="261"/>
      <c r="E443" s="262"/>
      <c r="F443" s="261"/>
    </row>
    <row r="444" spans="1:6" s="263" customFormat="1">
      <c r="A444" s="260"/>
      <c r="B444" s="261"/>
      <c r="C444" s="262"/>
      <c r="D444" s="261"/>
      <c r="E444" s="262"/>
      <c r="F444" s="261"/>
    </row>
    <row r="445" spans="1:6" s="263" customFormat="1">
      <c r="A445" s="260"/>
      <c r="B445" s="261"/>
      <c r="C445" s="262"/>
      <c r="D445" s="261"/>
      <c r="E445" s="262"/>
      <c r="F445" s="261"/>
    </row>
    <row r="446" spans="1:6" s="263" customFormat="1">
      <c r="A446" s="260"/>
      <c r="B446" s="261"/>
      <c r="C446" s="262"/>
      <c r="D446" s="261"/>
      <c r="E446" s="262"/>
      <c r="F446" s="261"/>
    </row>
    <row r="447" spans="1:6" s="263" customFormat="1">
      <c r="A447" s="260"/>
      <c r="B447" s="261"/>
      <c r="C447" s="262"/>
      <c r="D447" s="261"/>
      <c r="E447" s="262"/>
      <c r="F447" s="261"/>
    </row>
    <row r="448" spans="1:6" s="263" customFormat="1">
      <c r="A448" s="260"/>
      <c r="B448" s="261"/>
      <c r="C448" s="262"/>
      <c r="D448" s="261"/>
      <c r="E448" s="262"/>
      <c r="F448" s="261"/>
    </row>
    <row r="449" spans="1:6" s="263" customFormat="1">
      <c r="A449" s="260"/>
      <c r="B449" s="261"/>
      <c r="C449" s="262"/>
      <c r="D449" s="261"/>
      <c r="E449" s="262"/>
      <c r="F449" s="261"/>
    </row>
    <row r="450" spans="1:6" s="263" customFormat="1">
      <c r="A450" s="260"/>
      <c r="B450" s="261"/>
      <c r="C450" s="262"/>
      <c r="D450" s="261"/>
      <c r="E450" s="262"/>
      <c r="F450" s="261"/>
    </row>
    <row r="451" spans="1:6" s="263" customFormat="1">
      <c r="A451" s="260"/>
      <c r="B451" s="261"/>
      <c r="C451" s="262"/>
      <c r="D451" s="261"/>
      <c r="E451" s="262"/>
      <c r="F451" s="261"/>
    </row>
    <row r="452" spans="1:6" s="263" customFormat="1">
      <c r="A452" s="260"/>
      <c r="B452" s="261"/>
      <c r="C452" s="262"/>
      <c r="D452" s="261"/>
      <c r="E452" s="262"/>
      <c r="F452" s="261"/>
    </row>
    <row r="453" spans="1:6" s="263" customFormat="1">
      <c r="A453" s="260"/>
      <c r="B453" s="261"/>
      <c r="C453" s="262"/>
      <c r="D453" s="261"/>
      <c r="E453" s="262"/>
      <c r="F453" s="261"/>
    </row>
    <row r="454" spans="1:6" s="263" customFormat="1">
      <c r="A454" s="260"/>
      <c r="B454" s="261"/>
      <c r="C454" s="262"/>
      <c r="D454" s="261"/>
      <c r="E454" s="262"/>
      <c r="F454" s="261"/>
    </row>
    <row r="455" spans="1:6" s="263" customFormat="1">
      <c r="A455" s="260"/>
      <c r="B455" s="261"/>
      <c r="C455" s="262"/>
      <c r="D455" s="261"/>
      <c r="E455" s="262"/>
      <c r="F455" s="261"/>
    </row>
    <row r="456" spans="1:6" s="263" customFormat="1">
      <c r="A456" s="260"/>
      <c r="B456" s="261"/>
      <c r="C456" s="262"/>
      <c r="D456" s="261"/>
      <c r="E456" s="262"/>
      <c r="F456" s="261"/>
    </row>
    <row r="457" spans="1:6" s="263" customFormat="1">
      <c r="A457" s="260"/>
      <c r="B457" s="261"/>
      <c r="C457" s="262"/>
      <c r="D457" s="261"/>
      <c r="E457" s="262"/>
      <c r="F457" s="261"/>
    </row>
    <row r="458" spans="1:6" s="263" customFormat="1">
      <c r="A458" s="260"/>
      <c r="B458" s="261"/>
      <c r="C458" s="262"/>
      <c r="D458" s="261"/>
      <c r="E458" s="262"/>
      <c r="F458" s="261"/>
    </row>
    <row r="459" spans="1:6" s="263" customFormat="1">
      <c r="A459" s="260"/>
      <c r="B459" s="261"/>
      <c r="C459" s="262"/>
      <c r="D459" s="261"/>
      <c r="E459" s="262"/>
      <c r="F459" s="261"/>
    </row>
    <row r="460" spans="1:6" s="263" customFormat="1">
      <c r="A460" s="260"/>
      <c r="B460" s="261"/>
      <c r="C460" s="262"/>
      <c r="D460" s="261"/>
      <c r="E460" s="262"/>
      <c r="F460" s="261"/>
    </row>
    <row r="461" spans="1:6" s="263" customFormat="1">
      <c r="A461" s="260"/>
      <c r="B461" s="261"/>
      <c r="C461" s="262"/>
      <c r="D461" s="261"/>
      <c r="E461" s="262"/>
      <c r="F461" s="261"/>
    </row>
    <row r="462" spans="1:6" s="263" customFormat="1">
      <c r="A462" s="260"/>
      <c r="B462" s="261"/>
      <c r="C462" s="262"/>
      <c r="D462" s="261"/>
      <c r="E462" s="262"/>
      <c r="F462" s="261"/>
    </row>
    <row r="463" spans="1:6" s="263" customFormat="1">
      <c r="A463" s="260"/>
      <c r="B463" s="261"/>
      <c r="C463" s="262"/>
      <c r="D463" s="261"/>
      <c r="E463" s="262"/>
      <c r="F463" s="261"/>
    </row>
    <row r="464" spans="1:6" s="263" customFormat="1">
      <c r="A464" s="260"/>
      <c r="B464" s="261"/>
      <c r="C464" s="262"/>
      <c r="D464" s="261"/>
      <c r="E464" s="262"/>
      <c r="F464" s="261"/>
    </row>
    <row r="465" spans="1:6" s="263" customFormat="1">
      <c r="A465" s="260"/>
      <c r="B465" s="261"/>
      <c r="C465" s="262"/>
      <c r="D465" s="261"/>
      <c r="E465" s="262"/>
      <c r="F465" s="261"/>
    </row>
    <row r="466" spans="1:6" s="263" customFormat="1">
      <c r="A466" s="260"/>
      <c r="B466" s="261"/>
      <c r="C466" s="262"/>
      <c r="D466" s="261"/>
      <c r="E466" s="262"/>
      <c r="F466" s="261"/>
    </row>
    <row r="467" spans="1:6" s="263" customFormat="1">
      <c r="A467" s="260"/>
      <c r="B467" s="261"/>
      <c r="C467" s="262"/>
      <c r="D467" s="261"/>
      <c r="E467" s="262"/>
      <c r="F467" s="261"/>
    </row>
    <row r="468" spans="1:6" s="263" customFormat="1">
      <c r="A468" s="260"/>
      <c r="B468" s="261"/>
      <c r="C468" s="262"/>
      <c r="D468" s="261"/>
      <c r="E468" s="262"/>
      <c r="F468" s="261"/>
    </row>
    <row r="469" spans="1:6" s="263" customFormat="1">
      <c r="A469" s="260"/>
      <c r="B469" s="261"/>
      <c r="C469" s="262"/>
      <c r="D469" s="261"/>
      <c r="E469" s="262"/>
      <c r="F469" s="261"/>
    </row>
    <row r="470" spans="1:6" s="263" customFormat="1">
      <c r="A470" s="260"/>
      <c r="B470" s="261"/>
      <c r="C470" s="262"/>
      <c r="D470" s="261"/>
      <c r="E470" s="262"/>
      <c r="F470" s="261"/>
    </row>
    <row r="471" spans="1:6" s="263" customFormat="1">
      <c r="A471" s="260"/>
      <c r="B471" s="261"/>
      <c r="C471" s="262"/>
      <c r="D471" s="261"/>
      <c r="E471" s="262"/>
      <c r="F471" s="261"/>
    </row>
    <row r="472" spans="1:6" s="263" customFormat="1">
      <c r="A472" s="260"/>
      <c r="B472" s="261"/>
      <c r="C472" s="262"/>
      <c r="D472" s="261"/>
      <c r="E472" s="262"/>
      <c r="F472" s="261"/>
    </row>
    <row r="473" spans="1:6" s="263" customFormat="1">
      <c r="A473" s="260"/>
      <c r="B473" s="261"/>
      <c r="C473" s="262"/>
      <c r="D473" s="261"/>
      <c r="E473" s="262"/>
      <c r="F473" s="261"/>
    </row>
    <row r="474" spans="1:6" s="263" customFormat="1">
      <c r="A474" s="260"/>
      <c r="B474" s="261"/>
      <c r="C474" s="262"/>
      <c r="D474" s="261"/>
      <c r="E474" s="262"/>
      <c r="F474" s="261"/>
    </row>
    <row r="475" spans="1:6" s="263" customFormat="1">
      <c r="A475" s="260"/>
      <c r="B475" s="261"/>
      <c r="C475" s="262"/>
      <c r="D475" s="261"/>
      <c r="E475" s="262"/>
      <c r="F475" s="261"/>
    </row>
    <row r="476" spans="1:6" s="263" customFormat="1">
      <c r="A476" s="260"/>
      <c r="B476" s="261"/>
      <c r="C476" s="262"/>
      <c r="D476" s="261"/>
      <c r="E476" s="262"/>
      <c r="F476" s="261"/>
    </row>
    <row r="477" spans="1:6" s="263" customFormat="1">
      <c r="A477" s="260"/>
      <c r="B477" s="261"/>
      <c r="C477" s="262"/>
      <c r="D477" s="261"/>
      <c r="E477" s="262"/>
      <c r="F477" s="261"/>
    </row>
    <row r="478" spans="1:6" s="263" customFormat="1">
      <c r="A478" s="260"/>
      <c r="B478" s="261"/>
      <c r="C478" s="262"/>
      <c r="D478" s="261"/>
      <c r="E478" s="262"/>
      <c r="F478" s="261"/>
    </row>
    <row r="479" spans="1:6" s="263" customFormat="1">
      <c r="A479" s="260"/>
      <c r="B479" s="261"/>
      <c r="C479" s="262"/>
      <c r="D479" s="261"/>
      <c r="E479" s="262"/>
      <c r="F479" s="261"/>
    </row>
    <row r="480" spans="1:6" s="263" customFormat="1">
      <c r="A480" s="260"/>
      <c r="B480" s="261"/>
      <c r="C480" s="262"/>
      <c r="D480" s="261"/>
      <c r="E480" s="262"/>
      <c r="F480" s="261"/>
    </row>
    <row r="481" spans="1:6" s="263" customFormat="1">
      <c r="A481" s="260"/>
      <c r="B481" s="261"/>
      <c r="C481" s="262"/>
      <c r="D481" s="261"/>
      <c r="E481" s="262"/>
      <c r="F481" s="261"/>
    </row>
    <row r="482" spans="1:6" s="263" customFormat="1">
      <c r="A482" s="260"/>
      <c r="B482" s="261"/>
      <c r="C482" s="262"/>
      <c r="D482" s="261"/>
      <c r="E482" s="262"/>
      <c r="F482" s="261"/>
    </row>
    <row r="483" spans="1:6" s="263" customFormat="1">
      <c r="A483" s="260"/>
      <c r="B483" s="261"/>
      <c r="C483" s="262"/>
      <c r="D483" s="261"/>
      <c r="E483" s="262"/>
      <c r="F483" s="261"/>
    </row>
    <row r="484" spans="1:6" s="263" customFormat="1">
      <c r="A484" s="260"/>
      <c r="B484" s="261"/>
      <c r="C484" s="262"/>
      <c r="D484" s="261"/>
      <c r="E484" s="262"/>
      <c r="F484" s="261"/>
    </row>
    <row r="485" spans="1:6" s="263" customFormat="1">
      <c r="A485" s="260"/>
      <c r="B485" s="261"/>
      <c r="C485" s="262"/>
      <c r="D485" s="261"/>
      <c r="E485" s="262"/>
      <c r="F485" s="261"/>
    </row>
    <row r="486" spans="1:6" s="263" customFormat="1">
      <c r="A486" s="260"/>
      <c r="B486" s="261"/>
      <c r="C486" s="262"/>
      <c r="D486" s="261"/>
      <c r="E486" s="262"/>
      <c r="F486" s="261"/>
    </row>
    <row r="487" spans="1:6" s="263" customFormat="1">
      <c r="A487" s="260"/>
      <c r="B487" s="261"/>
      <c r="C487" s="262"/>
      <c r="D487" s="261"/>
      <c r="E487" s="262"/>
      <c r="F487" s="261"/>
    </row>
    <row r="488" spans="1:6" s="263" customFormat="1">
      <c r="A488" s="260"/>
      <c r="B488" s="261"/>
      <c r="C488" s="262"/>
      <c r="D488" s="261"/>
      <c r="E488" s="262"/>
      <c r="F488" s="261"/>
    </row>
    <row r="489" spans="1:6" s="263" customFormat="1">
      <c r="A489" s="260"/>
      <c r="B489" s="261"/>
      <c r="C489" s="262"/>
      <c r="D489" s="261"/>
      <c r="E489" s="262"/>
      <c r="F489" s="261"/>
    </row>
    <row r="490" spans="1:6" s="263" customFormat="1">
      <c r="A490" s="260"/>
      <c r="B490" s="261"/>
      <c r="C490" s="262"/>
      <c r="D490" s="261"/>
      <c r="E490" s="262"/>
      <c r="F490" s="261"/>
    </row>
    <row r="491" spans="1:6" s="263" customFormat="1">
      <c r="A491" s="260"/>
      <c r="B491" s="261"/>
      <c r="C491" s="262"/>
      <c r="D491" s="261"/>
      <c r="E491" s="262"/>
      <c r="F491" s="261"/>
    </row>
    <row r="492" spans="1:6" s="263" customFormat="1">
      <c r="A492" s="260"/>
      <c r="B492" s="261"/>
      <c r="C492" s="262"/>
      <c r="D492" s="261"/>
      <c r="E492" s="262"/>
      <c r="F492" s="261"/>
    </row>
    <row r="493" spans="1:6" s="263" customFormat="1">
      <c r="A493" s="260"/>
      <c r="B493" s="261"/>
      <c r="C493" s="262"/>
      <c r="D493" s="261"/>
      <c r="E493" s="262"/>
      <c r="F493" s="261"/>
    </row>
    <row r="494" spans="1:6" s="263" customFormat="1">
      <c r="A494" s="260"/>
      <c r="B494" s="261"/>
      <c r="C494" s="262"/>
      <c r="D494" s="261"/>
      <c r="E494" s="262"/>
      <c r="F494" s="261"/>
    </row>
    <row r="495" spans="1:6" s="263" customFormat="1">
      <c r="A495" s="260"/>
      <c r="B495" s="261"/>
      <c r="C495" s="262"/>
      <c r="D495" s="261"/>
      <c r="E495" s="262"/>
      <c r="F495" s="261"/>
    </row>
    <row r="496" spans="1:6" s="263" customFormat="1">
      <c r="A496" s="260"/>
      <c r="B496" s="261"/>
      <c r="C496" s="262"/>
      <c r="D496" s="261"/>
      <c r="E496" s="262"/>
      <c r="F496" s="261"/>
    </row>
    <row r="497" spans="1:6" s="263" customFormat="1">
      <c r="A497" s="260"/>
      <c r="B497" s="261"/>
      <c r="C497" s="262"/>
      <c r="D497" s="261"/>
      <c r="E497" s="262"/>
      <c r="F497" s="261"/>
    </row>
    <row r="498" spans="1:6" s="263" customFormat="1">
      <c r="A498" s="260"/>
      <c r="B498" s="261"/>
      <c r="C498" s="262"/>
      <c r="D498" s="261"/>
      <c r="E498" s="262"/>
      <c r="F498" s="261"/>
    </row>
    <row r="499" spans="1:6" s="263" customFormat="1">
      <c r="A499" s="260"/>
      <c r="B499" s="261"/>
      <c r="C499" s="262"/>
      <c r="D499" s="261"/>
      <c r="E499" s="262"/>
      <c r="F499" s="261"/>
    </row>
    <row r="500" spans="1:6" s="263" customFormat="1">
      <c r="A500" s="260"/>
      <c r="B500" s="261"/>
      <c r="C500" s="262"/>
      <c r="D500" s="261"/>
      <c r="E500" s="262"/>
      <c r="F500" s="261"/>
    </row>
    <row r="501" spans="1:6" s="263" customFormat="1">
      <c r="A501" s="260"/>
      <c r="B501" s="261"/>
      <c r="C501" s="262"/>
      <c r="D501" s="261"/>
      <c r="E501" s="262"/>
      <c r="F501" s="261"/>
    </row>
    <row r="502" spans="1:6" s="263" customFormat="1">
      <c r="A502" s="260"/>
      <c r="B502" s="261"/>
      <c r="C502" s="262"/>
      <c r="D502" s="261"/>
      <c r="E502" s="262"/>
      <c r="F502" s="261"/>
    </row>
    <row r="503" spans="1:6" s="263" customFormat="1">
      <c r="A503" s="260"/>
      <c r="B503" s="261"/>
      <c r="C503" s="262"/>
      <c r="D503" s="261"/>
      <c r="E503" s="262"/>
      <c r="F503" s="261"/>
    </row>
    <row r="504" spans="1:6" s="263" customFormat="1">
      <c r="A504" s="260"/>
      <c r="B504" s="261"/>
      <c r="C504" s="262"/>
      <c r="D504" s="261"/>
      <c r="E504" s="262"/>
      <c r="F504" s="261"/>
    </row>
    <row r="505" spans="1:6" s="263" customFormat="1">
      <c r="A505" s="260"/>
      <c r="B505" s="261"/>
      <c r="C505" s="262"/>
      <c r="D505" s="261"/>
      <c r="E505" s="262"/>
      <c r="F505" s="261"/>
    </row>
    <row r="506" spans="1:6" s="263" customFormat="1">
      <c r="A506" s="260"/>
      <c r="B506" s="261"/>
      <c r="C506" s="262"/>
      <c r="D506" s="261"/>
      <c r="E506" s="262"/>
      <c r="F506" s="261"/>
    </row>
    <row r="507" spans="1:6" s="263" customFormat="1">
      <c r="A507" s="260"/>
      <c r="B507" s="261"/>
      <c r="C507" s="262"/>
      <c r="D507" s="261"/>
      <c r="E507" s="262"/>
      <c r="F507" s="261"/>
    </row>
    <row r="508" spans="1:6" s="263" customFormat="1">
      <c r="A508" s="260"/>
      <c r="B508" s="261"/>
      <c r="C508" s="262"/>
      <c r="D508" s="261"/>
      <c r="E508" s="262"/>
      <c r="F508" s="261"/>
    </row>
    <row r="509" spans="1:6" s="263" customFormat="1">
      <c r="A509" s="260"/>
      <c r="B509" s="261"/>
      <c r="C509" s="262"/>
      <c r="D509" s="261"/>
      <c r="E509" s="262"/>
      <c r="F509" s="261"/>
    </row>
    <row r="510" spans="1:6" s="263" customFormat="1">
      <c r="A510" s="260"/>
      <c r="B510" s="261"/>
      <c r="C510" s="262"/>
      <c r="D510" s="261"/>
      <c r="E510" s="262"/>
      <c r="F510" s="261"/>
    </row>
    <row r="511" spans="1:6" s="263" customFormat="1">
      <c r="A511" s="260"/>
      <c r="B511" s="261"/>
      <c r="C511" s="262"/>
      <c r="D511" s="261"/>
      <c r="E511" s="262"/>
      <c r="F511" s="261"/>
    </row>
    <row r="512" spans="1:6" s="263" customFormat="1">
      <c r="A512" s="260"/>
      <c r="B512" s="261"/>
      <c r="C512" s="262"/>
      <c r="D512" s="261"/>
      <c r="E512" s="262"/>
      <c r="F512" s="261"/>
    </row>
    <row r="513" spans="1:6" s="263" customFormat="1">
      <c r="A513" s="260"/>
      <c r="B513" s="261"/>
      <c r="C513" s="262"/>
      <c r="D513" s="261"/>
      <c r="E513" s="262"/>
      <c r="F513" s="261"/>
    </row>
    <row r="514" spans="1:6" s="263" customFormat="1">
      <c r="A514" s="260"/>
      <c r="B514" s="261"/>
      <c r="C514" s="262"/>
      <c r="D514" s="261"/>
      <c r="E514" s="262"/>
      <c r="F514" s="261"/>
    </row>
    <row r="515" spans="1:6" s="263" customFormat="1">
      <c r="A515" s="260"/>
      <c r="B515" s="261"/>
      <c r="C515" s="262"/>
      <c r="D515" s="261"/>
      <c r="E515" s="262"/>
      <c r="F515" s="261"/>
    </row>
    <row r="516" spans="1:6" s="263" customFormat="1">
      <c r="A516" s="260"/>
      <c r="B516" s="261"/>
      <c r="C516" s="262"/>
      <c r="D516" s="261"/>
      <c r="E516" s="262"/>
      <c r="F516" s="261"/>
    </row>
    <row r="517" spans="1:6" s="263" customFormat="1">
      <c r="A517" s="260"/>
      <c r="B517" s="261"/>
      <c r="C517" s="262"/>
      <c r="D517" s="261"/>
      <c r="E517" s="262"/>
      <c r="F517" s="261"/>
    </row>
    <row r="518" spans="1:6" s="263" customFormat="1">
      <c r="A518" s="260"/>
      <c r="B518" s="261"/>
      <c r="C518" s="262"/>
      <c r="D518" s="261"/>
      <c r="E518" s="262"/>
      <c r="F518" s="261"/>
    </row>
    <row r="519" spans="1:6" s="263" customFormat="1">
      <c r="A519" s="260"/>
      <c r="B519" s="261"/>
      <c r="C519" s="262"/>
      <c r="D519" s="261"/>
      <c r="E519" s="262"/>
      <c r="F519" s="261"/>
    </row>
    <row r="520" spans="1:6" s="263" customFormat="1">
      <c r="A520" s="260"/>
      <c r="B520" s="261"/>
      <c r="C520" s="262"/>
      <c r="D520" s="261"/>
      <c r="E520" s="262"/>
      <c r="F520" s="261"/>
    </row>
    <row r="521" spans="1:6" s="263" customFormat="1">
      <c r="A521" s="260"/>
      <c r="B521" s="261"/>
      <c r="C521" s="262"/>
      <c r="D521" s="261"/>
      <c r="E521" s="262"/>
      <c r="F521" s="261"/>
    </row>
    <row r="522" spans="1:6" s="263" customFormat="1">
      <c r="A522" s="260"/>
      <c r="B522" s="261"/>
      <c r="C522" s="262"/>
      <c r="D522" s="261"/>
      <c r="E522" s="262"/>
      <c r="F522" s="261"/>
    </row>
    <row r="523" spans="1:6" s="263" customFormat="1">
      <c r="A523" s="260"/>
      <c r="B523" s="261"/>
      <c r="C523" s="262"/>
      <c r="D523" s="261"/>
      <c r="E523" s="262"/>
      <c r="F523" s="261"/>
    </row>
    <row r="524" spans="1:6" s="263" customFormat="1">
      <c r="A524" s="260"/>
      <c r="B524" s="261"/>
      <c r="C524" s="262"/>
      <c r="D524" s="261"/>
      <c r="E524" s="262"/>
      <c r="F524" s="261"/>
    </row>
    <row r="525" spans="1:6" s="263" customFormat="1">
      <c r="A525" s="260"/>
      <c r="B525" s="261"/>
      <c r="C525" s="262"/>
      <c r="D525" s="261"/>
      <c r="E525" s="262"/>
      <c r="F525" s="261"/>
    </row>
    <row r="526" spans="1:6" s="263" customFormat="1">
      <c r="A526" s="260"/>
      <c r="B526" s="261"/>
      <c r="C526" s="262"/>
      <c r="D526" s="261"/>
      <c r="E526" s="262"/>
      <c r="F526" s="261"/>
    </row>
    <row r="527" spans="1:6" s="263" customFormat="1">
      <c r="A527" s="260"/>
      <c r="B527" s="261"/>
      <c r="C527" s="262"/>
      <c r="D527" s="261"/>
      <c r="E527" s="262"/>
      <c r="F527" s="261"/>
    </row>
    <row r="528" spans="1:6" s="263" customFormat="1">
      <c r="A528" s="260"/>
      <c r="B528" s="261"/>
      <c r="C528" s="262"/>
      <c r="D528" s="261"/>
      <c r="E528" s="262"/>
      <c r="F528" s="261"/>
    </row>
    <row r="529" spans="1:6" s="263" customFormat="1">
      <c r="A529" s="260"/>
      <c r="B529" s="261"/>
      <c r="C529" s="262"/>
      <c r="D529" s="261"/>
      <c r="E529" s="262"/>
      <c r="F529" s="261"/>
    </row>
    <row r="530" spans="1:6" s="263" customFormat="1">
      <c r="A530" s="260"/>
      <c r="B530" s="261"/>
      <c r="C530" s="262"/>
      <c r="D530" s="261"/>
      <c r="E530" s="262"/>
      <c r="F530" s="261"/>
    </row>
    <row r="531" spans="1:6" s="263" customFormat="1">
      <c r="A531" s="260"/>
      <c r="B531" s="261"/>
      <c r="C531" s="262"/>
      <c r="D531" s="261"/>
      <c r="E531" s="262"/>
      <c r="F531" s="261"/>
    </row>
    <row r="532" spans="1:6" s="263" customFormat="1">
      <c r="A532" s="260"/>
      <c r="B532" s="261"/>
      <c r="C532" s="262"/>
      <c r="D532" s="261"/>
      <c r="E532" s="262"/>
      <c r="F532" s="261"/>
    </row>
    <row r="533" spans="1:6" s="263" customFormat="1">
      <c r="A533" s="260"/>
      <c r="B533" s="261"/>
      <c r="C533" s="262"/>
      <c r="D533" s="261"/>
      <c r="E533" s="262"/>
      <c r="F533" s="261"/>
    </row>
    <row r="534" spans="1:6" s="263" customFormat="1">
      <c r="A534" s="260"/>
      <c r="B534" s="261"/>
      <c r="C534" s="262"/>
      <c r="D534" s="261"/>
      <c r="E534" s="262"/>
      <c r="F534" s="261"/>
    </row>
    <row r="535" spans="1:6" s="263" customFormat="1">
      <c r="A535" s="260"/>
      <c r="B535" s="261"/>
      <c r="C535" s="262"/>
      <c r="D535" s="261"/>
      <c r="E535" s="262"/>
      <c r="F535" s="261"/>
    </row>
    <row r="536" spans="1:6" s="263" customFormat="1">
      <c r="A536" s="260"/>
      <c r="B536" s="261"/>
      <c r="C536" s="262"/>
      <c r="D536" s="261"/>
      <c r="E536" s="262"/>
      <c r="F536" s="261"/>
    </row>
    <row r="537" spans="1:6" s="263" customFormat="1">
      <c r="A537" s="260"/>
      <c r="B537" s="261"/>
      <c r="C537" s="262"/>
      <c r="D537" s="261"/>
      <c r="E537" s="262"/>
      <c r="F537" s="261"/>
    </row>
    <row r="538" spans="1:6" s="263" customFormat="1">
      <c r="A538" s="260"/>
      <c r="B538" s="261"/>
      <c r="C538" s="262"/>
      <c r="D538" s="261"/>
      <c r="E538" s="262"/>
      <c r="F538" s="261"/>
    </row>
    <row r="539" spans="1:6" s="263" customFormat="1">
      <c r="A539" s="260"/>
      <c r="B539" s="261"/>
      <c r="C539" s="262"/>
      <c r="D539" s="261"/>
      <c r="E539" s="262"/>
      <c r="F539" s="261"/>
    </row>
    <row r="540" spans="1:6" s="263" customFormat="1">
      <c r="A540" s="260"/>
      <c r="B540" s="261"/>
      <c r="C540" s="262"/>
      <c r="D540" s="261"/>
      <c r="E540" s="262"/>
      <c r="F540" s="261"/>
    </row>
    <row r="541" spans="1:6" s="263" customFormat="1">
      <c r="A541" s="260"/>
      <c r="B541" s="261"/>
      <c r="C541" s="262"/>
      <c r="D541" s="261"/>
      <c r="E541" s="262"/>
      <c r="F541" s="261"/>
    </row>
    <row r="542" spans="1:6" s="263" customFormat="1">
      <c r="A542" s="260"/>
      <c r="B542" s="261"/>
      <c r="C542" s="262"/>
      <c r="D542" s="261"/>
      <c r="E542" s="262"/>
      <c r="F542" s="261"/>
    </row>
    <row r="543" spans="1:6" s="263" customFormat="1">
      <c r="A543" s="260"/>
      <c r="B543" s="261"/>
      <c r="C543" s="262"/>
      <c r="D543" s="261"/>
      <c r="E543" s="262"/>
      <c r="F543" s="261"/>
    </row>
    <row r="544" spans="1:6" s="263" customFormat="1">
      <c r="A544" s="260"/>
      <c r="B544" s="261"/>
      <c r="C544" s="262"/>
      <c r="D544" s="261"/>
      <c r="E544" s="262"/>
      <c r="F544" s="261"/>
    </row>
    <row r="545" spans="1:6" s="263" customFormat="1">
      <c r="A545" s="260"/>
      <c r="B545" s="261"/>
      <c r="C545" s="262"/>
      <c r="D545" s="261"/>
      <c r="E545" s="262"/>
      <c r="F545" s="261"/>
    </row>
    <row r="546" spans="1:6" s="263" customFormat="1">
      <c r="A546" s="260"/>
      <c r="B546" s="261"/>
      <c r="C546" s="262"/>
      <c r="D546" s="261"/>
      <c r="E546" s="262"/>
      <c r="F546" s="261"/>
    </row>
    <row r="547" spans="1:6" s="263" customFormat="1">
      <c r="A547" s="260"/>
      <c r="B547" s="261"/>
      <c r="C547" s="262"/>
      <c r="D547" s="261"/>
      <c r="E547" s="262"/>
      <c r="F547" s="261"/>
    </row>
    <row r="548" spans="1:6" s="263" customFormat="1">
      <c r="A548" s="260"/>
      <c r="B548" s="261"/>
      <c r="C548" s="262"/>
      <c r="D548" s="261"/>
      <c r="E548" s="262"/>
      <c r="F548" s="261"/>
    </row>
    <row r="549" spans="1:6" s="263" customFormat="1">
      <c r="A549" s="260"/>
      <c r="B549" s="261"/>
      <c r="C549" s="262"/>
      <c r="D549" s="261"/>
      <c r="E549" s="262"/>
      <c r="F549" s="261"/>
    </row>
    <row r="550" spans="1:6" s="263" customFormat="1">
      <c r="A550" s="260"/>
      <c r="B550" s="261"/>
      <c r="C550" s="262"/>
      <c r="D550" s="261"/>
      <c r="E550" s="262"/>
      <c r="F550" s="261"/>
    </row>
    <row r="551" spans="1:6" s="263" customFormat="1">
      <c r="A551" s="260"/>
      <c r="B551" s="261"/>
      <c r="C551" s="262"/>
      <c r="D551" s="261"/>
      <c r="E551" s="262"/>
      <c r="F551" s="261"/>
    </row>
    <row r="552" spans="1:6" s="263" customFormat="1">
      <c r="A552" s="260"/>
      <c r="B552" s="261"/>
      <c r="C552" s="262"/>
      <c r="D552" s="261"/>
      <c r="E552" s="262"/>
      <c r="F552" s="261"/>
    </row>
    <row r="553" spans="1:6" s="263" customFormat="1">
      <c r="A553" s="260"/>
      <c r="B553" s="261"/>
      <c r="C553" s="262"/>
      <c r="D553" s="261"/>
      <c r="E553" s="262"/>
      <c r="F553" s="261"/>
    </row>
    <row r="554" spans="1:6" s="263" customFormat="1">
      <c r="A554" s="260"/>
      <c r="B554" s="261"/>
      <c r="C554" s="262"/>
      <c r="D554" s="261"/>
      <c r="E554" s="262"/>
      <c r="F554" s="261"/>
    </row>
    <row r="555" spans="1:6" s="263" customFormat="1">
      <c r="A555" s="260"/>
      <c r="B555" s="261"/>
      <c r="C555" s="262"/>
      <c r="D555" s="261"/>
      <c r="E555" s="262"/>
      <c r="F555" s="261"/>
    </row>
    <row r="556" spans="1:6" s="263" customFormat="1">
      <c r="A556" s="260"/>
      <c r="B556" s="261"/>
      <c r="C556" s="262"/>
      <c r="D556" s="261"/>
      <c r="E556" s="262"/>
      <c r="F556" s="261"/>
    </row>
    <row r="557" spans="1:6" s="263" customFormat="1">
      <c r="A557" s="260"/>
      <c r="B557" s="261"/>
      <c r="C557" s="262"/>
      <c r="D557" s="261"/>
      <c r="E557" s="262"/>
      <c r="F557" s="261"/>
    </row>
    <row r="558" spans="1:6" s="263" customFormat="1">
      <c r="A558" s="260"/>
      <c r="B558" s="261"/>
      <c r="C558" s="262"/>
      <c r="D558" s="261"/>
      <c r="E558" s="262"/>
      <c r="F558" s="261"/>
    </row>
    <row r="559" spans="1:6" s="263" customFormat="1">
      <c r="A559" s="260"/>
      <c r="B559" s="261"/>
      <c r="C559" s="262"/>
      <c r="D559" s="261"/>
      <c r="E559" s="262"/>
      <c r="F559" s="261"/>
    </row>
    <row r="560" spans="1:6" s="263" customFormat="1">
      <c r="A560" s="260"/>
      <c r="B560" s="261"/>
      <c r="C560" s="262"/>
      <c r="D560" s="261"/>
      <c r="E560" s="262"/>
      <c r="F560" s="261"/>
    </row>
    <row r="561" spans="1:6" s="263" customFormat="1">
      <c r="A561" s="260"/>
      <c r="B561" s="261"/>
      <c r="C561" s="262"/>
      <c r="D561" s="261"/>
      <c r="E561" s="262"/>
      <c r="F561" s="261"/>
    </row>
    <row r="562" spans="1:6" s="263" customFormat="1">
      <c r="A562" s="260"/>
      <c r="B562" s="261"/>
      <c r="C562" s="262"/>
      <c r="D562" s="261"/>
      <c r="E562" s="262"/>
      <c r="F562" s="261"/>
    </row>
    <row r="563" spans="1:6" s="263" customFormat="1">
      <c r="A563" s="260"/>
      <c r="B563" s="261"/>
      <c r="C563" s="262"/>
      <c r="D563" s="261"/>
      <c r="E563" s="262"/>
      <c r="F563" s="261"/>
    </row>
    <row r="564" spans="1:6" s="263" customFormat="1">
      <c r="A564" s="260"/>
      <c r="B564" s="261"/>
      <c r="C564" s="262"/>
      <c r="D564" s="261"/>
      <c r="E564" s="262"/>
      <c r="F564" s="261"/>
    </row>
    <row r="565" spans="1:6" s="263" customFormat="1">
      <c r="A565" s="260"/>
      <c r="B565" s="261"/>
      <c r="C565" s="262"/>
      <c r="D565" s="261"/>
      <c r="E565" s="262"/>
      <c r="F565" s="261"/>
    </row>
    <row r="566" spans="1:6" s="263" customFormat="1">
      <c r="A566" s="260"/>
      <c r="B566" s="261"/>
      <c r="C566" s="262"/>
      <c r="D566" s="261"/>
      <c r="E566" s="262"/>
      <c r="F566" s="261"/>
    </row>
    <row r="567" spans="1:6" s="263" customFormat="1">
      <c r="A567" s="260"/>
      <c r="B567" s="261"/>
      <c r="C567" s="262"/>
      <c r="D567" s="261"/>
      <c r="E567" s="262"/>
      <c r="F567" s="261"/>
    </row>
    <row r="568" spans="1:6" s="263" customFormat="1">
      <c r="A568" s="260"/>
      <c r="B568" s="261"/>
      <c r="C568" s="262"/>
      <c r="D568" s="261"/>
      <c r="E568" s="262"/>
      <c r="F568" s="261"/>
    </row>
    <row r="569" spans="1:6" s="263" customFormat="1">
      <c r="A569" s="260"/>
      <c r="B569" s="261"/>
      <c r="C569" s="262"/>
      <c r="D569" s="261"/>
      <c r="E569" s="262"/>
      <c r="F569" s="261"/>
    </row>
    <row r="570" spans="1:6" s="263" customFormat="1">
      <c r="A570" s="260"/>
      <c r="B570" s="261"/>
      <c r="C570" s="262"/>
      <c r="D570" s="261"/>
      <c r="E570" s="262"/>
      <c r="F570" s="261"/>
    </row>
    <row r="571" spans="1:6" s="263" customFormat="1">
      <c r="A571" s="260"/>
      <c r="B571" s="261"/>
      <c r="C571" s="262"/>
      <c r="D571" s="261"/>
      <c r="E571" s="262"/>
      <c r="F571" s="261"/>
    </row>
    <row r="572" spans="1:6" s="263" customFormat="1">
      <c r="A572" s="260"/>
      <c r="B572" s="261"/>
      <c r="C572" s="262"/>
      <c r="D572" s="261"/>
      <c r="E572" s="262"/>
      <c r="F572" s="261"/>
    </row>
    <row r="573" spans="1:6" s="263" customFormat="1">
      <c r="A573" s="260"/>
      <c r="B573" s="261"/>
      <c r="C573" s="262"/>
      <c r="D573" s="261"/>
      <c r="E573" s="262"/>
      <c r="F573" s="261"/>
    </row>
    <row r="574" spans="1:6" s="263" customFormat="1">
      <c r="A574" s="260"/>
      <c r="B574" s="261"/>
      <c r="C574" s="262"/>
      <c r="D574" s="261"/>
      <c r="E574" s="262"/>
      <c r="F574" s="261"/>
    </row>
    <row r="575" spans="1:6" s="263" customFormat="1">
      <c r="A575" s="260"/>
      <c r="B575" s="261"/>
      <c r="C575" s="262"/>
      <c r="D575" s="261"/>
      <c r="E575" s="262"/>
      <c r="F575" s="261"/>
    </row>
    <row r="576" spans="1:6" s="263" customFormat="1">
      <c r="A576" s="260"/>
      <c r="B576" s="261"/>
      <c r="C576" s="262"/>
      <c r="D576" s="261"/>
      <c r="E576" s="262"/>
      <c r="F576" s="261"/>
    </row>
    <row r="577" spans="1:6" s="263" customFormat="1">
      <c r="A577" s="260"/>
      <c r="B577" s="261"/>
      <c r="C577" s="262"/>
      <c r="D577" s="261"/>
      <c r="E577" s="262"/>
      <c r="F577" s="261"/>
    </row>
    <row r="578" spans="1:6" s="263" customFormat="1">
      <c r="A578" s="260"/>
      <c r="B578" s="261"/>
      <c r="C578" s="262"/>
      <c r="D578" s="261"/>
      <c r="E578" s="262"/>
      <c r="F578" s="261"/>
    </row>
    <row r="579" spans="1:6" s="263" customFormat="1">
      <c r="A579" s="260"/>
      <c r="B579" s="261"/>
      <c r="C579" s="262"/>
      <c r="D579" s="261"/>
      <c r="E579" s="262"/>
      <c r="F579" s="261"/>
    </row>
    <row r="580" spans="1:6">
      <c r="A580" s="260"/>
    </row>
  </sheetData>
  <mergeCells count="6">
    <mergeCell ref="A80:F80"/>
    <mergeCell ref="A55:F55"/>
    <mergeCell ref="A37:F37"/>
    <mergeCell ref="A1:F1"/>
    <mergeCell ref="A19:F19"/>
    <mergeCell ref="A73:F73"/>
  </mergeCells>
  <phoneticPr fontId="6" type="noConversion"/>
  <printOptions horizontalCentered="1" verticalCentered="1"/>
  <pageMargins left="0" right="0" top="0" bottom="0" header="0.5" footer="0.5"/>
  <pageSetup scale="89" orientation="landscape" r:id="rId1"/>
  <headerFooter alignWithMargins="0"/>
  <rowBreaks count="1" manualBreakCount="1">
    <brk id="39" max="33" man="1"/>
  </rowBreaks>
</worksheet>
</file>

<file path=xl/worksheets/sheet9.xml><?xml version="1.0" encoding="utf-8"?>
<worksheet xmlns="http://schemas.openxmlformats.org/spreadsheetml/2006/main" xmlns:r="http://schemas.openxmlformats.org/officeDocument/2006/relationships">
  <dimension ref="A1:AG651"/>
  <sheetViews>
    <sheetView view="pageBreakPreview" zoomScale="60" zoomScaleNormal="75" workbookViewId="0">
      <selection sqref="A1:G152"/>
    </sheetView>
  </sheetViews>
  <sheetFormatPr defaultColWidth="21" defaultRowHeight="12.75"/>
  <cols>
    <col min="1" max="1" width="33.42578125" style="225" customWidth="1"/>
    <col min="2" max="2" width="19.140625" style="190" bestFit="1" customWidth="1"/>
    <col min="3" max="3" width="56.140625" style="224" hidden="1" customWidth="1"/>
    <col min="4" max="4" width="80" style="274" customWidth="1"/>
    <col min="5" max="5" width="64.7109375" style="274" customWidth="1"/>
    <col min="6" max="7" width="31.28515625" style="224" hidden="1" customWidth="1"/>
    <col min="8" max="10" width="17.7109375" style="190" customWidth="1"/>
    <col min="11" max="11" width="16.42578125" style="190" customWidth="1"/>
    <col min="12" max="12" width="13.85546875" style="190" customWidth="1"/>
    <col min="13" max="21" width="21" style="190"/>
    <col min="22" max="24" width="16.42578125" style="190" customWidth="1"/>
    <col min="25" max="25" width="19" style="190" customWidth="1"/>
    <col min="26" max="16384" width="21" style="190"/>
  </cols>
  <sheetData>
    <row r="1" spans="1:33" s="187" customFormat="1">
      <c r="A1" s="187" t="s">
        <v>119</v>
      </c>
      <c r="B1" s="188"/>
      <c r="C1" s="189"/>
      <c r="D1" s="272"/>
      <c r="E1" s="272"/>
      <c r="F1" s="189"/>
      <c r="G1" s="189"/>
    </row>
    <row r="2" spans="1:33" s="187" customFormat="1">
      <c r="A2" s="187" t="s">
        <v>535</v>
      </c>
      <c r="B2" s="188"/>
      <c r="C2" s="189"/>
      <c r="D2" s="272"/>
      <c r="E2" s="272"/>
      <c r="F2" s="189"/>
      <c r="G2" s="189"/>
    </row>
    <row r="3" spans="1:33" s="187" customFormat="1">
      <c r="A3" s="187" t="s">
        <v>114</v>
      </c>
      <c r="B3" s="188"/>
      <c r="C3" s="189"/>
      <c r="D3" s="272"/>
      <c r="E3" s="272"/>
      <c r="F3" s="189"/>
      <c r="G3" s="189"/>
    </row>
    <row r="4" spans="1:33" s="187" customFormat="1" ht="13.5" thickBot="1">
      <c r="B4" s="188"/>
      <c r="C4" s="189"/>
      <c r="D4" s="272"/>
      <c r="E4" s="272"/>
      <c r="F4" s="189"/>
      <c r="G4" s="189"/>
    </row>
    <row r="5" spans="1:33" ht="19.5">
      <c r="A5" s="627" t="s">
        <v>46</v>
      </c>
      <c r="B5" s="639"/>
      <c r="C5" s="639"/>
      <c r="D5" s="639"/>
      <c r="E5" s="629"/>
      <c r="F5" s="629"/>
      <c r="G5" s="454"/>
      <c r="J5" s="191"/>
      <c r="L5" s="191"/>
      <c r="O5" s="192"/>
      <c r="P5" s="193"/>
      <c r="Q5" s="193"/>
      <c r="R5" s="193"/>
      <c r="S5" s="193"/>
      <c r="T5" s="193"/>
      <c r="U5" s="193"/>
      <c r="V5" s="193"/>
      <c r="W5" s="193"/>
      <c r="X5" s="193"/>
      <c r="Y5" s="193"/>
      <c r="Z5" s="193"/>
      <c r="AA5" s="193"/>
      <c r="AB5" s="193"/>
      <c r="AC5" s="193"/>
      <c r="AD5" s="193"/>
      <c r="AE5" s="193"/>
      <c r="AF5" s="193"/>
      <c r="AG5" s="192"/>
    </row>
    <row r="6" spans="1:33">
      <c r="A6" s="194"/>
      <c r="B6" s="195"/>
      <c r="C6" s="196">
        <v>2012</v>
      </c>
      <c r="D6" s="273">
        <v>2013</v>
      </c>
      <c r="E6" s="275">
        <v>2014</v>
      </c>
      <c r="F6" s="271">
        <v>2015</v>
      </c>
      <c r="G6" s="271">
        <v>2016</v>
      </c>
      <c r="H6" s="191"/>
      <c r="I6" s="191"/>
      <c r="J6" s="191"/>
      <c r="K6" s="191"/>
      <c r="L6" s="191"/>
      <c r="O6" s="191"/>
      <c r="S6" s="192"/>
      <c r="T6" s="192"/>
      <c r="AG6" s="191"/>
    </row>
    <row r="7" spans="1:33" ht="13.5" thickBot="1">
      <c r="A7" s="197" t="s">
        <v>53</v>
      </c>
      <c r="B7" s="195"/>
      <c r="C7" s="621" t="s">
        <v>540</v>
      </c>
      <c r="D7" s="622"/>
      <c r="E7" s="623"/>
      <c r="F7" s="623"/>
      <c r="G7" s="624"/>
    </row>
    <row r="8" spans="1:33" ht="15.75">
      <c r="A8" s="198" t="s">
        <v>54</v>
      </c>
      <c r="B8" s="199" t="s">
        <v>55</v>
      </c>
      <c r="C8" s="609" t="s">
        <v>528</v>
      </c>
      <c r="D8" s="610"/>
      <c r="E8" s="611"/>
      <c r="F8" s="611"/>
      <c r="G8" s="612"/>
      <c r="H8" s="200"/>
      <c r="I8" s="200"/>
      <c r="J8" s="201"/>
      <c r="K8" s="201"/>
      <c r="L8" s="202"/>
      <c r="M8" s="192"/>
    </row>
    <row r="9" spans="1:33" ht="26.25" customHeight="1" thickBot="1">
      <c r="A9" s="194"/>
      <c r="B9" s="203" t="s">
        <v>58</v>
      </c>
      <c r="C9" s="615" t="s">
        <v>527</v>
      </c>
      <c r="D9" s="611"/>
      <c r="E9" s="611"/>
      <c r="F9" s="611"/>
      <c r="G9" s="612"/>
      <c r="H9" s="204"/>
      <c r="I9" s="204"/>
      <c r="J9" s="204"/>
      <c r="K9" s="204"/>
      <c r="L9" s="202"/>
    </row>
    <row r="10" spans="1:33" ht="15.75">
      <c r="A10" s="198" t="s">
        <v>60</v>
      </c>
      <c r="B10" s="199" t="s">
        <v>55</v>
      </c>
      <c r="C10" s="609" t="s">
        <v>528</v>
      </c>
      <c r="D10" s="610"/>
      <c r="E10" s="611"/>
      <c r="F10" s="611"/>
      <c r="G10" s="612"/>
      <c r="H10" s="200"/>
      <c r="I10" s="200"/>
      <c r="J10" s="201"/>
      <c r="K10" s="201"/>
      <c r="L10" s="202"/>
      <c r="M10" s="192"/>
    </row>
    <row r="11" spans="1:33" ht="26.25" customHeight="1" thickBot="1">
      <c r="A11" s="194"/>
      <c r="B11" s="203" t="s">
        <v>58</v>
      </c>
      <c r="C11" s="615" t="s">
        <v>527</v>
      </c>
      <c r="D11" s="611"/>
      <c r="E11" s="611"/>
      <c r="F11" s="611"/>
      <c r="G11" s="612"/>
      <c r="O11" s="191"/>
      <c r="AG11" s="191"/>
    </row>
    <row r="12" spans="1:33" ht="15.75">
      <c r="A12" s="198" t="s">
        <v>61</v>
      </c>
      <c r="B12" s="199" t="s">
        <v>55</v>
      </c>
      <c r="C12" s="609" t="s">
        <v>528</v>
      </c>
      <c r="D12" s="610"/>
      <c r="E12" s="611"/>
      <c r="F12" s="611"/>
      <c r="G12" s="612"/>
      <c r="H12" s="200"/>
      <c r="I12" s="200"/>
      <c r="J12" s="201"/>
      <c r="K12" s="201"/>
      <c r="L12" s="202"/>
      <c r="M12" s="205"/>
      <c r="N12" s="206"/>
      <c r="O12" s="207"/>
      <c r="P12" s="206"/>
      <c r="Q12" s="206"/>
      <c r="R12" s="206"/>
      <c r="S12" s="206"/>
      <c r="T12" s="206"/>
      <c r="AG12" s="191"/>
    </row>
    <row r="13" spans="1:33" ht="26.25" customHeight="1" thickBot="1">
      <c r="A13" s="194"/>
      <c r="B13" s="203" t="s">
        <v>58</v>
      </c>
      <c r="C13" s="615" t="s">
        <v>527</v>
      </c>
      <c r="D13" s="611"/>
      <c r="E13" s="611"/>
      <c r="F13" s="611"/>
      <c r="G13" s="612"/>
    </row>
    <row r="14" spans="1:33" ht="15.75">
      <c r="A14" s="198" t="s">
        <v>62</v>
      </c>
      <c r="B14" s="199" t="s">
        <v>55</v>
      </c>
      <c r="C14" s="609" t="s">
        <v>528</v>
      </c>
      <c r="D14" s="610"/>
      <c r="E14" s="611"/>
      <c r="F14" s="611"/>
      <c r="G14" s="612"/>
      <c r="H14" s="200"/>
      <c r="I14" s="200"/>
      <c r="J14" s="201"/>
      <c r="K14" s="201"/>
      <c r="L14" s="202"/>
      <c r="M14" s="192"/>
    </row>
    <row r="15" spans="1:33" ht="26.25" customHeight="1" thickBot="1">
      <c r="A15" s="194"/>
      <c r="B15" s="203" t="s">
        <v>58</v>
      </c>
      <c r="C15" s="615" t="s">
        <v>527</v>
      </c>
      <c r="D15" s="611"/>
      <c r="E15" s="611"/>
      <c r="F15" s="611"/>
      <c r="G15" s="612"/>
    </row>
    <row r="16" spans="1:33">
      <c r="A16" s="198" t="s">
        <v>63</v>
      </c>
      <c r="B16" s="199" t="s">
        <v>55</v>
      </c>
      <c r="C16" s="609" t="s">
        <v>528</v>
      </c>
      <c r="D16" s="610"/>
      <c r="E16" s="611"/>
      <c r="F16" s="611"/>
      <c r="G16" s="612"/>
    </row>
    <row r="17" spans="1:33" ht="26.25" customHeight="1" thickBot="1">
      <c r="A17" s="197"/>
      <c r="B17" s="203" t="s">
        <v>58</v>
      </c>
      <c r="C17" s="615" t="s">
        <v>527</v>
      </c>
      <c r="D17" s="611"/>
      <c r="E17" s="611"/>
      <c r="F17" s="611"/>
      <c r="G17" s="612"/>
      <c r="O17" s="192"/>
      <c r="P17" s="193"/>
      <c r="Q17" s="193"/>
      <c r="R17" s="193"/>
      <c r="S17" s="193"/>
      <c r="T17" s="193"/>
      <c r="U17" s="193"/>
      <c r="V17" s="193"/>
      <c r="W17" s="193"/>
      <c r="X17" s="193"/>
      <c r="Y17" s="193"/>
      <c r="Z17" s="193"/>
      <c r="AA17" s="193"/>
      <c r="AB17" s="193"/>
      <c r="AC17" s="193"/>
      <c r="AD17" s="193"/>
      <c r="AE17" s="193"/>
      <c r="AF17" s="193"/>
      <c r="AG17" s="192"/>
    </row>
    <row r="18" spans="1:33" ht="15.75">
      <c r="A18" s="198" t="s">
        <v>65</v>
      </c>
      <c r="B18" s="199" t="s">
        <v>55</v>
      </c>
      <c r="C18" s="609" t="s">
        <v>528</v>
      </c>
      <c r="D18" s="610"/>
      <c r="E18" s="611"/>
      <c r="F18" s="611"/>
      <c r="G18" s="612"/>
      <c r="H18" s="200"/>
      <c r="I18" s="200"/>
      <c r="J18" s="208"/>
      <c r="K18" s="201"/>
      <c r="L18" s="202"/>
      <c r="M18" s="192"/>
    </row>
    <row r="19" spans="1:33" ht="26.25" customHeight="1" thickBot="1">
      <c r="A19" s="209"/>
      <c r="B19" s="210" t="s">
        <v>58</v>
      </c>
      <c r="C19" s="615" t="s">
        <v>527</v>
      </c>
      <c r="D19" s="611"/>
      <c r="E19" s="611"/>
      <c r="F19" s="611"/>
      <c r="G19" s="612"/>
    </row>
    <row r="20" spans="1:33" ht="15.75">
      <c r="A20" s="197" t="s">
        <v>66</v>
      </c>
      <c r="B20" s="203" t="s">
        <v>55</v>
      </c>
      <c r="C20" s="609" t="s">
        <v>528</v>
      </c>
      <c r="D20" s="610"/>
      <c r="E20" s="611"/>
      <c r="F20" s="611"/>
      <c r="G20" s="612"/>
      <c r="H20" s="200"/>
      <c r="I20" s="200"/>
      <c r="J20" s="201"/>
      <c r="K20" s="201"/>
      <c r="L20" s="202"/>
      <c r="M20" s="192"/>
    </row>
    <row r="21" spans="1:33" ht="26.25" customHeight="1" thickBot="1">
      <c r="A21" s="194"/>
      <c r="B21" s="203" t="s">
        <v>58</v>
      </c>
      <c r="C21" s="615" t="s">
        <v>527</v>
      </c>
      <c r="D21" s="611"/>
      <c r="E21" s="611"/>
      <c r="F21" s="611"/>
      <c r="G21" s="612"/>
    </row>
    <row r="22" spans="1:33">
      <c r="A22" s="211" t="s">
        <v>67</v>
      </c>
      <c r="B22" s="199" t="s">
        <v>55</v>
      </c>
      <c r="C22" s="609" t="s">
        <v>528</v>
      </c>
      <c r="D22" s="610"/>
      <c r="E22" s="611"/>
      <c r="F22" s="611"/>
      <c r="G22" s="612"/>
    </row>
    <row r="23" spans="1:33" ht="26.25" customHeight="1" thickBot="1">
      <c r="A23" s="194"/>
      <c r="B23" s="203" t="s">
        <v>58</v>
      </c>
      <c r="C23" s="615" t="s">
        <v>527</v>
      </c>
      <c r="D23" s="611"/>
      <c r="E23" s="611"/>
      <c r="F23" s="611"/>
      <c r="G23" s="612"/>
      <c r="O23" s="191"/>
      <c r="R23" s="192"/>
      <c r="AG23" s="191"/>
    </row>
    <row r="24" spans="1:33">
      <c r="A24" s="198" t="s">
        <v>68</v>
      </c>
      <c r="B24" s="199" t="s">
        <v>55</v>
      </c>
      <c r="C24" s="609" t="s">
        <v>528</v>
      </c>
      <c r="D24" s="610"/>
      <c r="E24" s="611"/>
      <c r="F24" s="611"/>
      <c r="G24" s="612"/>
      <c r="H24" s="212"/>
      <c r="I24" s="212"/>
      <c r="J24" s="212"/>
      <c r="K24" s="212"/>
      <c r="L24" s="202"/>
      <c r="O24" s="191"/>
      <c r="R24" s="192"/>
      <c r="AG24" s="191"/>
    </row>
    <row r="25" spans="1:33" ht="26.25" customHeight="1" thickBot="1">
      <c r="A25" s="194"/>
      <c r="B25" s="203" t="s">
        <v>58</v>
      </c>
      <c r="C25" s="615" t="s">
        <v>527</v>
      </c>
      <c r="D25" s="611"/>
      <c r="E25" s="611"/>
      <c r="F25" s="611"/>
      <c r="G25" s="612"/>
      <c r="H25" s="206"/>
      <c r="I25" s="206"/>
      <c r="J25" s="206"/>
      <c r="K25" s="206"/>
      <c r="L25" s="202"/>
      <c r="O25" s="191"/>
      <c r="AG25" s="191"/>
    </row>
    <row r="26" spans="1:33">
      <c r="A26" s="198" t="s">
        <v>69</v>
      </c>
      <c r="B26" s="199" t="s">
        <v>55</v>
      </c>
      <c r="C26" s="609" t="s">
        <v>528</v>
      </c>
      <c r="D26" s="610"/>
      <c r="E26" s="611"/>
      <c r="F26" s="611"/>
      <c r="G26" s="612"/>
      <c r="H26" s="212"/>
      <c r="I26" s="213"/>
      <c r="J26" s="212"/>
      <c r="K26" s="212"/>
      <c r="L26" s="202"/>
      <c r="M26" s="192"/>
    </row>
    <row r="27" spans="1:33" ht="26.25" customHeight="1" thickBot="1">
      <c r="A27" s="194"/>
      <c r="B27" s="203" t="s">
        <v>58</v>
      </c>
      <c r="C27" s="615" t="s">
        <v>527</v>
      </c>
      <c r="D27" s="611"/>
      <c r="E27" s="611"/>
      <c r="F27" s="611"/>
      <c r="G27" s="612"/>
      <c r="H27" s="206"/>
      <c r="I27" s="206"/>
      <c r="J27" s="206"/>
      <c r="K27" s="206"/>
      <c r="L27" s="202"/>
    </row>
    <row r="28" spans="1:33">
      <c r="A28" s="198" t="s">
        <v>115</v>
      </c>
      <c r="B28" s="199" t="s">
        <v>55</v>
      </c>
      <c r="C28" s="609" t="s">
        <v>528</v>
      </c>
      <c r="D28" s="610"/>
      <c r="E28" s="611"/>
      <c r="F28" s="611"/>
      <c r="G28" s="612"/>
      <c r="H28" s="193"/>
      <c r="I28" s="193"/>
      <c r="J28" s="193"/>
      <c r="K28" s="193"/>
      <c r="L28" s="214"/>
    </row>
    <row r="29" spans="1:33" ht="26.25" customHeight="1" thickBot="1">
      <c r="A29" s="197"/>
      <c r="B29" s="203" t="s">
        <v>58</v>
      </c>
      <c r="C29" s="615" t="s">
        <v>527</v>
      </c>
      <c r="D29" s="611"/>
      <c r="E29" s="611"/>
      <c r="F29" s="611"/>
      <c r="G29" s="612"/>
      <c r="H29" s="215"/>
      <c r="I29" s="191"/>
      <c r="J29" s="215"/>
      <c r="K29" s="191"/>
      <c r="L29" s="191"/>
    </row>
    <row r="30" spans="1:33" ht="15.75">
      <c r="A30" s="198" t="s">
        <v>72</v>
      </c>
      <c r="B30" s="199" t="s">
        <v>55</v>
      </c>
      <c r="C30" s="609" t="s">
        <v>528</v>
      </c>
      <c r="D30" s="610"/>
      <c r="E30" s="611"/>
      <c r="F30" s="611"/>
      <c r="G30" s="612"/>
      <c r="H30" s="200"/>
      <c r="I30" s="200"/>
      <c r="J30" s="201"/>
      <c r="K30" s="201"/>
      <c r="L30" s="202"/>
    </row>
    <row r="31" spans="1:33" ht="26.25" customHeight="1" thickBot="1">
      <c r="A31" s="194"/>
      <c r="B31" s="203" t="s">
        <v>58</v>
      </c>
      <c r="C31" s="615" t="s">
        <v>527</v>
      </c>
      <c r="D31" s="611"/>
      <c r="E31" s="611"/>
      <c r="F31" s="611"/>
      <c r="G31" s="612"/>
    </row>
    <row r="32" spans="1:33">
      <c r="A32" s="198" t="s">
        <v>73</v>
      </c>
      <c r="B32" s="199" t="s">
        <v>55</v>
      </c>
      <c r="C32" s="609" t="s">
        <v>116</v>
      </c>
      <c r="D32" s="618"/>
      <c r="E32" s="618"/>
      <c r="F32" s="618"/>
      <c r="G32" s="619"/>
      <c r="H32" s="212"/>
      <c r="I32" s="212"/>
      <c r="J32" s="212"/>
      <c r="K32" s="213"/>
      <c r="L32" s="202"/>
    </row>
    <row r="33" spans="1:33" ht="13.5" thickBot="1">
      <c r="A33" s="194"/>
      <c r="B33" s="203" t="s">
        <v>58</v>
      </c>
      <c r="C33" s="620"/>
      <c r="D33" s="618"/>
      <c r="E33" s="618"/>
      <c r="F33" s="618"/>
      <c r="G33" s="619"/>
      <c r="H33" s="206"/>
      <c r="I33" s="206"/>
      <c r="J33" s="206"/>
      <c r="K33" s="206"/>
      <c r="L33" s="202"/>
    </row>
    <row r="34" spans="1:33">
      <c r="A34" s="198" t="s">
        <v>74</v>
      </c>
      <c r="B34" s="199" t="s">
        <v>55</v>
      </c>
      <c r="C34" s="609" t="s">
        <v>528</v>
      </c>
      <c r="D34" s="610"/>
      <c r="E34" s="611"/>
      <c r="F34" s="611"/>
      <c r="G34" s="612"/>
      <c r="H34" s="212"/>
      <c r="I34" s="212"/>
      <c r="J34" s="212"/>
      <c r="K34" s="213"/>
      <c r="L34" s="202"/>
    </row>
    <row r="35" spans="1:33" ht="26.25" customHeight="1" thickBot="1">
      <c r="A35" s="194"/>
      <c r="B35" s="203" t="s">
        <v>58</v>
      </c>
      <c r="C35" s="615" t="s">
        <v>527</v>
      </c>
      <c r="D35" s="611"/>
      <c r="E35" s="611"/>
      <c r="F35" s="611"/>
      <c r="G35" s="612"/>
      <c r="H35" s="206"/>
      <c r="I35" s="206"/>
      <c r="J35" s="206"/>
      <c r="K35" s="206"/>
      <c r="L35" s="202"/>
    </row>
    <row r="36" spans="1:33">
      <c r="A36" s="198" t="s">
        <v>117</v>
      </c>
      <c r="B36" s="199" t="s">
        <v>55</v>
      </c>
      <c r="C36" s="609" t="s">
        <v>116</v>
      </c>
      <c r="D36" s="610"/>
      <c r="E36" s="611"/>
      <c r="F36" s="611"/>
      <c r="G36" s="612"/>
      <c r="H36" s="191"/>
      <c r="I36" s="191"/>
      <c r="J36" s="191"/>
      <c r="K36" s="191"/>
      <c r="L36" s="216"/>
    </row>
    <row r="37" spans="1:33" ht="13.5" thickBot="1">
      <c r="A37" s="197"/>
      <c r="B37" s="203" t="s">
        <v>58</v>
      </c>
      <c r="C37" s="616"/>
      <c r="D37" s="617"/>
      <c r="E37" s="611"/>
      <c r="F37" s="611"/>
      <c r="G37" s="612"/>
    </row>
    <row r="38" spans="1:33">
      <c r="A38" s="198" t="s">
        <v>76</v>
      </c>
      <c r="B38" s="199" t="s">
        <v>55</v>
      </c>
      <c r="C38" s="609" t="s">
        <v>116</v>
      </c>
      <c r="D38" s="610"/>
      <c r="E38" s="611"/>
      <c r="F38" s="611"/>
      <c r="G38" s="612"/>
    </row>
    <row r="39" spans="1:33" ht="13.5" thickBot="1">
      <c r="A39" s="217"/>
      <c r="B39" s="210" t="s">
        <v>58</v>
      </c>
      <c r="C39" s="633"/>
      <c r="D39" s="634"/>
      <c r="E39" s="635"/>
      <c r="F39" s="635"/>
      <c r="G39" s="636"/>
      <c r="H39" s="218"/>
      <c r="I39" s="193"/>
      <c r="J39" s="193"/>
      <c r="K39" s="193"/>
      <c r="L39" s="214"/>
    </row>
    <row r="40" spans="1:33" ht="13.5" thickBot="1">
      <c r="A40" s="219" t="s">
        <v>1</v>
      </c>
      <c r="B40" s="220" t="s">
        <v>1</v>
      </c>
      <c r="C40" s="220" t="s">
        <v>1</v>
      </c>
      <c r="D40" s="220" t="s">
        <v>1</v>
      </c>
      <c r="E40" s="220" t="s">
        <v>1</v>
      </c>
      <c r="F40" s="221" t="s">
        <v>1</v>
      </c>
      <c r="G40" s="221" t="s">
        <v>1</v>
      </c>
    </row>
    <row r="41" spans="1:33">
      <c r="A41" s="198" t="s">
        <v>78</v>
      </c>
      <c r="B41" s="199" t="s">
        <v>15</v>
      </c>
      <c r="C41" s="630" t="s">
        <v>529</v>
      </c>
      <c r="D41" s="631"/>
      <c r="E41" s="629"/>
      <c r="F41" s="629"/>
      <c r="G41" s="455"/>
    </row>
    <row r="42" spans="1:33">
      <c r="A42" s="197" t="s">
        <v>79</v>
      </c>
      <c r="B42" s="195"/>
      <c r="C42" s="617"/>
      <c r="D42" s="617"/>
      <c r="E42" s="632"/>
      <c r="F42" s="632"/>
      <c r="G42" s="455"/>
    </row>
    <row r="43" spans="1:33" ht="19.5">
      <c r="A43" s="613" t="s">
        <v>80</v>
      </c>
      <c r="B43" s="637"/>
      <c r="C43" s="637"/>
      <c r="D43" s="637"/>
      <c r="E43" s="632"/>
      <c r="F43" s="632"/>
      <c r="G43" s="455"/>
      <c r="L43" s="191"/>
    </row>
    <row r="44" spans="1:33">
      <c r="A44" s="194"/>
      <c r="B44" s="195"/>
      <c r="C44" s="196">
        <f>C6</f>
        <v>2012</v>
      </c>
      <c r="D44" s="273">
        <f>D6</f>
        <v>2013</v>
      </c>
      <c r="E44" s="275">
        <f>E6</f>
        <v>2014</v>
      </c>
      <c r="F44" s="271">
        <f>F6</f>
        <v>2015</v>
      </c>
      <c r="G44" s="271">
        <f>G6</f>
        <v>2016</v>
      </c>
      <c r="H44" s="191"/>
      <c r="I44" s="191"/>
      <c r="J44" s="191"/>
      <c r="K44" s="191"/>
      <c r="L44" s="191"/>
      <c r="O44" s="191"/>
      <c r="S44" s="192"/>
      <c r="T44" s="192"/>
      <c r="AG44" s="191"/>
    </row>
    <row r="45" spans="1:33" ht="13.5" thickBot="1">
      <c r="A45" s="197" t="s">
        <v>53</v>
      </c>
      <c r="B45" s="195"/>
      <c r="C45" s="621" t="str">
        <f>C7</f>
        <v>Based upon 2nd pass system delivery from Gina Money 06/13/12.</v>
      </c>
      <c r="D45" s="622"/>
      <c r="E45" s="626"/>
      <c r="F45" s="626"/>
      <c r="G45" s="456"/>
    </row>
    <row r="46" spans="1:33" ht="15.75">
      <c r="A46" s="198" t="s">
        <v>54</v>
      </c>
      <c r="B46" s="199" t="s">
        <v>55</v>
      </c>
      <c r="C46" s="609" t="s">
        <v>528</v>
      </c>
      <c r="D46" s="610"/>
      <c r="E46" s="611"/>
      <c r="F46" s="611"/>
      <c r="G46" s="612"/>
      <c r="H46" s="200"/>
      <c r="I46" s="200"/>
      <c r="J46" s="201"/>
      <c r="K46" s="201"/>
      <c r="L46" s="202"/>
      <c r="M46" s="192"/>
    </row>
    <row r="47" spans="1:33" ht="26.25" customHeight="1" thickBot="1">
      <c r="A47" s="194"/>
      <c r="B47" s="203" t="s">
        <v>58</v>
      </c>
      <c r="C47" s="615" t="s">
        <v>527</v>
      </c>
      <c r="D47" s="611"/>
      <c r="E47" s="611"/>
      <c r="F47" s="611"/>
      <c r="G47" s="612"/>
      <c r="H47" s="204"/>
      <c r="I47" s="204"/>
      <c r="J47" s="204"/>
      <c r="K47" s="204"/>
      <c r="L47" s="202"/>
    </row>
    <row r="48" spans="1:33" ht="15.75">
      <c r="A48" s="198" t="s">
        <v>60</v>
      </c>
      <c r="B48" s="199" t="s">
        <v>55</v>
      </c>
      <c r="C48" s="609" t="s">
        <v>528</v>
      </c>
      <c r="D48" s="610"/>
      <c r="E48" s="611"/>
      <c r="F48" s="611"/>
      <c r="G48" s="612"/>
      <c r="H48" s="200"/>
      <c r="I48" s="200"/>
      <c r="J48" s="201"/>
      <c r="K48" s="201"/>
      <c r="L48" s="202"/>
      <c r="M48" s="192"/>
    </row>
    <row r="49" spans="1:33" ht="26.25" customHeight="1" thickBot="1">
      <c r="A49" s="194"/>
      <c r="B49" s="203" t="s">
        <v>58</v>
      </c>
      <c r="C49" s="615" t="s">
        <v>527</v>
      </c>
      <c r="D49" s="611"/>
      <c r="E49" s="611"/>
      <c r="F49" s="611"/>
      <c r="G49" s="612"/>
      <c r="O49" s="191"/>
      <c r="AG49" s="191"/>
    </row>
    <row r="50" spans="1:33" ht="15.75">
      <c r="A50" s="198" t="s">
        <v>61</v>
      </c>
      <c r="B50" s="199" t="s">
        <v>55</v>
      </c>
      <c r="C50" s="609" t="s">
        <v>528</v>
      </c>
      <c r="D50" s="610"/>
      <c r="E50" s="611"/>
      <c r="F50" s="611"/>
      <c r="G50" s="612"/>
      <c r="H50" s="200"/>
      <c r="I50" s="200"/>
      <c r="J50" s="201"/>
      <c r="K50" s="201"/>
      <c r="L50" s="202"/>
      <c r="M50" s="205"/>
      <c r="N50" s="206"/>
      <c r="O50" s="207"/>
      <c r="P50" s="206"/>
      <c r="Q50" s="206"/>
      <c r="R50" s="206"/>
      <c r="S50" s="206"/>
      <c r="T50" s="206"/>
      <c r="AG50" s="191"/>
    </row>
    <row r="51" spans="1:33" ht="26.25" customHeight="1" thickBot="1">
      <c r="A51" s="194"/>
      <c r="B51" s="203" t="s">
        <v>58</v>
      </c>
      <c r="C51" s="615" t="s">
        <v>527</v>
      </c>
      <c r="D51" s="611"/>
      <c r="E51" s="611"/>
      <c r="F51" s="611"/>
      <c r="G51" s="612"/>
    </row>
    <row r="52" spans="1:33" ht="15.75">
      <c r="A52" s="198" t="s">
        <v>62</v>
      </c>
      <c r="B52" s="199" t="s">
        <v>55</v>
      </c>
      <c r="C52" s="609" t="s">
        <v>116</v>
      </c>
      <c r="D52" s="610"/>
      <c r="E52" s="632"/>
      <c r="F52" s="632"/>
      <c r="G52" s="638"/>
      <c r="H52" s="200"/>
      <c r="I52" s="200"/>
      <c r="J52" s="201"/>
      <c r="K52" s="201"/>
      <c r="L52" s="202"/>
      <c r="M52" s="192"/>
    </row>
    <row r="53" spans="1:33" ht="13.5" thickBot="1">
      <c r="A53" s="194"/>
      <c r="B53" s="203" t="s">
        <v>58</v>
      </c>
      <c r="C53" s="616"/>
      <c r="D53" s="617"/>
      <c r="E53" s="632"/>
      <c r="F53" s="632"/>
      <c r="G53" s="638"/>
    </row>
    <row r="54" spans="1:33">
      <c r="A54" s="198" t="s">
        <v>63</v>
      </c>
      <c r="B54" s="199" t="s">
        <v>55</v>
      </c>
      <c r="C54" s="609" t="s">
        <v>528</v>
      </c>
      <c r="D54" s="610"/>
      <c r="E54" s="611"/>
      <c r="F54" s="611"/>
      <c r="G54" s="612"/>
    </row>
    <row r="55" spans="1:33" ht="26.25" customHeight="1" thickBot="1">
      <c r="A55" s="197"/>
      <c r="B55" s="203" t="s">
        <v>58</v>
      </c>
      <c r="C55" s="615" t="s">
        <v>527</v>
      </c>
      <c r="D55" s="611"/>
      <c r="E55" s="611"/>
      <c r="F55" s="611"/>
      <c r="G55" s="612"/>
      <c r="O55" s="192"/>
      <c r="P55" s="193"/>
      <c r="Q55" s="193"/>
      <c r="R55" s="193"/>
      <c r="S55" s="193"/>
      <c r="T55" s="193"/>
      <c r="U55" s="193"/>
      <c r="V55" s="193"/>
      <c r="W55" s="193"/>
      <c r="X55" s="193"/>
      <c r="Y55" s="193"/>
      <c r="Z55" s="193"/>
      <c r="AA55" s="193"/>
      <c r="AB55" s="193"/>
      <c r="AC55" s="193"/>
      <c r="AD55" s="193"/>
      <c r="AE55" s="193"/>
      <c r="AF55" s="193"/>
      <c r="AG55" s="192"/>
    </row>
    <row r="56" spans="1:33" ht="15.75">
      <c r="A56" s="198" t="s">
        <v>65</v>
      </c>
      <c r="B56" s="199" t="s">
        <v>55</v>
      </c>
      <c r="C56" s="609" t="s">
        <v>528</v>
      </c>
      <c r="D56" s="610"/>
      <c r="E56" s="611"/>
      <c r="F56" s="611"/>
      <c r="G56" s="612"/>
      <c r="H56" s="200"/>
      <c r="I56" s="200"/>
      <c r="J56" s="208"/>
      <c r="K56" s="201"/>
      <c r="L56" s="202"/>
      <c r="M56" s="192"/>
    </row>
    <row r="57" spans="1:33" ht="26.25" customHeight="1" thickBot="1">
      <c r="A57" s="209"/>
      <c r="B57" s="210" t="s">
        <v>58</v>
      </c>
      <c r="C57" s="615" t="s">
        <v>527</v>
      </c>
      <c r="D57" s="611"/>
      <c r="E57" s="611"/>
      <c r="F57" s="611"/>
      <c r="G57" s="612"/>
    </row>
    <row r="58" spans="1:33" ht="15.75">
      <c r="A58" s="197" t="s">
        <v>66</v>
      </c>
      <c r="B58" s="203" t="s">
        <v>55</v>
      </c>
      <c r="C58" s="609" t="s">
        <v>528</v>
      </c>
      <c r="D58" s="610"/>
      <c r="E58" s="611"/>
      <c r="F58" s="611"/>
      <c r="G58" s="612"/>
      <c r="H58" s="200"/>
      <c r="I58" s="200"/>
      <c r="J58" s="201"/>
      <c r="K58" s="201"/>
      <c r="L58" s="202"/>
      <c r="M58" s="192"/>
    </row>
    <row r="59" spans="1:33" ht="26.25" customHeight="1" thickBot="1">
      <c r="A59" s="194"/>
      <c r="B59" s="203" t="s">
        <v>58</v>
      </c>
      <c r="C59" s="615" t="s">
        <v>527</v>
      </c>
      <c r="D59" s="611"/>
      <c r="E59" s="611"/>
      <c r="F59" s="611"/>
      <c r="G59" s="612"/>
    </row>
    <row r="60" spans="1:33">
      <c r="A60" s="211" t="s">
        <v>67</v>
      </c>
      <c r="B60" s="199" t="s">
        <v>55</v>
      </c>
      <c r="C60" s="609" t="s">
        <v>528</v>
      </c>
      <c r="D60" s="610"/>
      <c r="E60" s="611"/>
      <c r="F60" s="611"/>
      <c r="G60" s="612"/>
    </row>
    <row r="61" spans="1:33" ht="26.25" customHeight="1" thickBot="1">
      <c r="A61" s="194"/>
      <c r="B61" s="203" t="s">
        <v>58</v>
      </c>
      <c r="C61" s="615" t="s">
        <v>527</v>
      </c>
      <c r="D61" s="611"/>
      <c r="E61" s="611"/>
      <c r="F61" s="611"/>
      <c r="G61" s="612"/>
      <c r="O61" s="191"/>
      <c r="R61" s="192"/>
      <c r="AG61" s="191"/>
    </row>
    <row r="62" spans="1:33">
      <c r="A62" s="198" t="s">
        <v>68</v>
      </c>
      <c r="B62" s="199" t="s">
        <v>55</v>
      </c>
      <c r="C62" s="609" t="s">
        <v>528</v>
      </c>
      <c r="D62" s="610"/>
      <c r="E62" s="611"/>
      <c r="F62" s="611"/>
      <c r="G62" s="612"/>
      <c r="H62" s="212"/>
      <c r="I62" s="212"/>
      <c r="J62" s="212"/>
      <c r="K62" s="212"/>
      <c r="L62" s="202"/>
      <c r="O62" s="191"/>
      <c r="R62" s="192"/>
      <c r="AG62" s="191"/>
    </row>
    <row r="63" spans="1:33" ht="26.25" customHeight="1" thickBot="1">
      <c r="A63" s="194"/>
      <c r="B63" s="203" t="s">
        <v>58</v>
      </c>
      <c r="C63" s="615" t="s">
        <v>527</v>
      </c>
      <c r="D63" s="611"/>
      <c r="E63" s="611"/>
      <c r="F63" s="611"/>
      <c r="G63" s="612"/>
      <c r="H63" s="206"/>
      <c r="I63" s="206"/>
      <c r="J63" s="206"/>
      <c r="K63" s="206"/>
      <c r="L63" s="202"/>
      <c r="O63" s="191"/>
      <c r="AG63" s="191"/>
    </row>
    <row r="64" spans="1:33">
      <c r="A64" s="198" t="s">
        <v>69</v>
      </c>
      <c r="B64" s="199" t="s">
        <v>55</v>
      </c>
      <c r="C64" s="609" t="s">
        <v>528</v>
      </c>
      <c r="D64" s="610"/>
      <c r="E64" s="611"/>
      <c r="F64" s="611"/>
      <c r="G64" s="612"/>
      <c r="H64" s="212"/>
      <c r="I64" s="213"/>
      <c r="J64" s="212"/>
      <c r="K64" s="212"/>
      <c r="L64" s="202"/>
      <c r="M64" s="192"/>
    </row>
    <row r="65" spans="1:33" ht="26.25" customHeight="1" thickBot="1">
      <c r="A65" s="194"/>
      <c r="B65" s="203" t="s">
        <v>58</v>
      </c>
      <c r="C65" s="615" t="s">
        <v>527</v>
      </c>
      <c r="D65" s="611"/>
      <c r="E65" s="611"/>
      <c r="F65" s="611"/>
      <c r="G65" s="612"/>
      <c r="H65" s="206"/>
      <c r="I65" s="206"/>
      <c r="J65" s="206"/>
      <c r="K65" s="206"/>
      <c r="L65" s="202"/>
    </row>
    <row r="66" spans="1:33" ht="13.15" customHeight="1">
      <c r="A66" s="198" t="s">
        <v>115</v>
      </c>
      <c r="B66" s="199" t="s">
        <v>55</v>
      </c>
      <c r="C66" s="609" t="s">
        <v>528</v>
      </c>
      <c r="D66" s="610"/>
      <c r="E66" s="611"/>
      <c r="F66" s="611"/>
      <c r="G66" s="612"/>
      <c r="H66" s="193"/>
      <c r="I66" s="193"/>
      <c r="J66" s="193"/>
      <c r="K66" s="193"/>
      <c r="L66" s="214"/>
    </row>
    <row r="67" spans="1:33" ht="26.25" customHeight="1" thickBot="1">
      <c r="A67" s="197"/>
      <c r="B67" s="203" t="s">
        <v>58</v>
      </c>
      <c r="C67" s="615" t="s">
        <v>527</v>
      </c>
      <c r="D67" s="611"/>
      <c r="E67" s="611"/>
      <c r="F67" s="611"/>
      <c r="G67" s="612"/>
      <c r="H67" s="215"/>
      <c r="I67" s="191"/>
      <c r="J67" s="215"/>
      <c r="K67" s="191"/>
      <c r="L67" s="191"/>
    </row>
    <row r="68" spans="1:33" ht="15.75">
      <c r="A68" s="198" t="s">
        <v>72</v>
      </c>
      <c r="B68" s="199" t="s">
        <v>55</v>
      </c>
      <c r="C68" s="609" t="s">
        <v>528</v>
      </c>
      <c r="D68" s="610"/>
      <c r="E68" s="611"/>
      <c r="F68" s="611"/>
      <c r="G68" s="612"/>
      <c r="H68" s="200"/>
      <c r="I68" s="200"/>
      <c r="J68" s="201"/>
      <c r="K68" s="201"/>
      <c r="L68" s="202"/>
    </row>
    <row r="69" spans="1:33" ht="26.25" customHeight="1" thickBot="1">
      <c r="A69" s="194"/>
      <c r="B69" s="203" t="s">
        <v>58</v>
      </c>
      <c r="C69" s="615" t="s">
        <v>527</v>
      </c>
      <c r="D69" s="611"/>
      <c r="E69" s="611"/>
      <c r="F69" s="611"/>
      <c r="G69" s="612"/>
    </row>
    <row r="70" spans="1:33">
      <c r="A70" s="198" t="s">
        <v>73</v>
      </c>
      <c r="B70" s="199" t="s">
        <v>55</v>
      </c>
      <c r="C70" s="609" t="s">
        <v>116</v>
      </c>
      <c r="D70" s="610"/>
      <c r="E70" s="611"/>
      <c r="F70" s="611"/>
      <c r="G70" s="612"/>
      <c r="H70" s="212"/>
      <c r="I70" s="212"/>
      <c r="J70" s="212"/>
      <c r="K70" s="213"/>
      <c r="L70" s="202"/>
    </row>
    <row r="71" spans="1:33" ht="13.5" thickBot="1">
      <c r="A71" s="194"/>
      <c r="B71" s="203" t="s">
        <v>58</v>
      </c>
      <c r="C71" s="616"/>
      <c r="D71" s="617"/>
      <c r="E71" s="611"/>
      <c r="F71" s="611"/>
      <c r="G71" s="612"/>
      <c r="H71" s="206"/>
      <c r="I71" s="206"/>
      <c r="J71" s="206"/>
      <c r="K71" s="206"/>
      <c r="L71" s="202"/>
    </row>
    <row r="72" spans="1:33">
      <c r="A72" s="198" t="s">
        <v>74</v>
      </c>
      <c r="B72" s="199" t="s">
        <v>55</v>
      </c>
      <c r="C72" s="609" t="s">
        <v>528</v>
      </c>
      <c r="D72" s="610"/>
      <c r="E72" s="611"/>
      <c r="F72" s="611"/>
      <c r="G72" s="612"/>
      <c r="H72" s="212"/>
      <c r="I72" s="212"/>
      <c r="J72" s="212"/>
      <c r="K72" s="213"/>
      <c r="L72" s="202"/>
    </row>
    <row r="73" spans="1:33" ht="26.25" customHeight="1" thickBot="1">
      <c r="A73" s="194"/>
      <c r="B73" s="203" t="s">
        <v>58</v>
      </c>
      <c r="C73" s="615" t="s">
        <v>527</v>
      </c>
      <c r="D73" s="611"/>
      <c r="E73" s="611"/>
      <c r="F73" s="611"/>
      <c r="G73" s="612"/>
      <c r="H73" s="206"/>
      <c r="I73" s="206"/>
      <c r="J73" s="206"/>
      <c r="K73" s="206"/>
      <c r="L73" s="202"/>
    </row>
    <row r="74" spans="1:33" ht="13.15" customHeight="1">
      <c r="A74" s="198" t="s">
        <v>117</v>
      </c>
      <c r="B74" s="199" t="s">
        <v>55</v>
      </c>
      <c r="C74" s="609" t="s">
        <v>528</v>
      </c>
      <c r="D74" s="610"/>
      <c r="E74" s="611"/>
      <c r="F74" s="611"/>
      <c r="G74" s="612"/>
      <c r="H74" s="191"/>
      <c r="I74" s="191"/>
      <c r="J74" s="191"/>
      <c r="K74" s="191"/>
      <c r="L74" s="216"/>
    </row>
    <row r="75" spans="1:33" ht="26.25" customHeight="1" thickBot="1">
      <c r="A75" s="197"/>
      <c r="B75" s="203" t="s">
        <v>58</v>
      </c>
      <c r="C75" s="615" t="s">
        <v>527</v>
      </c>
      <c r="D75" s="611"/>
      <c r="E75" s="611"/>
      <c r="F75" s="611"/>
      <c r="G75" s="612"/>
    </row>
    <row r="76" spans="1:33">
      <c r="A76" s="198" t="s">
        <v>76</v>
      </c>
      <c r="B76" s="199" t="s">
        <v>55</v>
      </c>
      <c r="C76" s="609" t="s">
        <v>116</v>
      </c>
      <c r="D76" s="610"/>
      <c r="E76" s="611"/>
      <c r="F76" s="611"/>
      <c r="G76" s="612"/>
    </row>
    <row r="77" spans="1:33">
      <c r="A77" s="197"/>
      <c r="B77" s="203" t="s">
        <v>58</v>
      </c>
      <c r="C77" s="616"/>
      <c r="D77" s="617"/>
      <c r="E77" s="611"/>
      <c r="F77" s="611"/>
      <c r="G77" s="612"/>
      <c r="H77" s="218"/>
      <c r="I77" s="193"/>
      <c r="J77" s="193"/>
      <c r="K77" s="193"/>
      <c r="L77" s="214"/>
    </row>
    <row r="78" spans="1:33" ht="20.25">
      <c r="A78" s="613" t="s">
        <v>83</v>
      </c>
      <c r="B78" s="614"/>
      <c r="C78" s="614"/>
      <c r="D78" s="614"/>
      <c r="E78" s="611"/>
      <c r="F78" s="611"/>
      <c r="G78" s="612"/>
      <c r="H78" s="191"/>
      <c r="I78" s="191"/>
      <c r="J78" s="191"/>
      <c r="K78" s="191"/>
      <c r="L78" s="191"/>
    </row>
    <row r="79" spans="1:33">
      <c r="A79" s="194"/>
      <c r="B79" s="195"/>
      <c r="C79" s="196">
        <f>C6</f>
        <v>2012</v>
      </c>
      <c r="D79" s="273">
        <f>D6</f>
        <v>2013</v>
      </c>
      <c r="E79" s="275">
        <f>E6</f>
        <v>2014</v>
      </c>
      <c r="F79" s="271">
        <f>F6</f>
        <v>2015</v>
      </c>
      <c r="G79" s="271">
        <f>G6</f>
        <v>2016</v>
      </c>
      <c r="H79" s="191"/>
      <c r="I79" s="191"/>
      <c r="J79" s="191"/>
      <c r="K79" s="191"/>
      <c r="L79" s="191"/>
      <c r="O79" s="191"/>
      <c r="S79" s="192"/>
      <c r="T79" s="192"/>
      <c r="AG79" s="191"/>
    </row>
    <row r="80" spans="1:33" ht="13.5" thickBot="1">
      <c r="A80" s="197" t="s">
        <v>53</v>
      </c>
      <c r="B80" s="195"/>
      <c r="C80" s="621" t="str">
        <f>C7</f>
        <v>Based upon 2nd pass system delivery from Gina Money 06/13/12.</v>
      </c>
      <c r="D80" s="622"/>
      <c r="E80" s="623"/>
      <c r="F80" s="623"/>
      <c r="G80" s="624"/>
    </row>
    <row r="81" spans="1:33" ht="15.75">
      <c r="A81" s="198" t="s">
        <v>54</v>
      </c>
      <c r="B81" s="199" t="s">
        <v>118</v>
      </c>
      <c r="C81" s="609" t="s">
        <v>116</v>
      </c>
      <c r="D81" s="610"/>
      <c r="E81" s="611"/>
      <c r="F81" s="611"/>
      <c r="G81" s="612"/>
      <c r="H81" s="200"/>
      <c r="I81" s="200"/>
      <c r="J81" s="201"/>
      <c r="K81" s="201"/>
      <c r="L81" s="202"/>
      <c r="M81" s="192"/>
    </row>
    <row r="82" spans="1:33" ht="13.5" thickBot="1">
      <c r="A82" s="194"/>
      <c r="B82" s="203" t="s">
        <v>58</v>
      </c>
      <c r="C82" s="625"/>
      <c r="D82" s="611"/>
      <c r="E82" s="611"/>
      <c r="F82" s="611"/>
      <c r="G82" s="612"/>
      <c r="H82" s="204"/>
      <c r="I82" s="204"/>
      <c r="J82" s="204"/>
      <c r="K82" s="204"/>
      <c r="L82" s="202"/>
    </row>
    <row r="83" spans="1:33" ht="27.75" customHeight="1">
      <c r="A83" s="198" t="s">
        <v>60</v>
      </c>
      <c r="B83" s="199" t="s">
        <v>118</v>
      </c>
      <c r="C83" s="609" t="s">
        <v>530</v>
      </c>
      <c r="D83" s="610"/>
      <c r="E83" s="611"/>
      <c r="F83" s="611"/>
      <c r="G83" s="612"/>
      <c r="H83" s="200"/>
      <c r="I83" s="200"/>
      <c r="J83" s="201"/>
      <c r="K83" s="201"/>
      <c r="L83" s="202"/>
      <c r="M83" s="192"/>
    </row>
    <row r="84" spans="1:33" ht="26.25" customHeight="1" thickBot="1">
      <c r="A84" s="194"/>
      <c r="B84" s="203" t="s">
        <v>58</v>
      </c>
      <c r="C84" s="615" t="s">
        <v>527</v>
      </c>
      <c r="D84" s="611"/>
      <c r="E84" s="611"/>
      <c r="F84" s="611"/>
      <c r="G84" s="612"/>
      <c r="O84" s="191"/>
      <c r="AG84" s="191"/>
    </row>
    <row r="85" spans="1:33" ht="28.5" customHeight="1">
      <c r="A85" s="198" t="s">
        <v>61</v>
      </c>
      <c r="B85" s="199" t="s">
        <v>118</v>
      </c>
      <c r="C85" s="609" t="s">
        <v>530</v>
      </c>
      <c r="D85" s="610"/>
      <c r="E85" s="611"/>
      <c r="F85" s="611"/>
      <c r="G85" s="612"/>
      <c r="H85" s="200"/>
      <c r="I85" s="200"/>
      <c r="J85" s="201"/>
      <c r="K85" s="201"/>
      <c r="L85" s="202"/>
      <c r="M85" s="205"/>
      <c r="N85" s="206"/>
      <c r="O85" s="207"/>
      <c r="P85" s="206"/>
      <c r="Q85" s="206"/>
      <c r="R85" s="206"/>
      <c r="S85" s="206"/>
      <c r="T85" s="206"/>
      <c r="AG85" s="191"/>
    </row>
    <row r="86" spans="1:33" ht="26.25" customHeight="1" thickBot="1">
      <c r="A86" s="194"/>
      <c r="B86" s="203" t="s">
        <v>58</v>
      </c>
      <c r="C86" s="615" t="s">
        <v>527</v>
      </c>
      <c r="D86" s="611"/>
      <c r="E86" s="611"/>
      <c r="F86" s="611"/>
      <c r="G86" s="612"/>
    </row>
    <row r="87" spans="1:33" ht="15.75" customHeight="1">
      <c r="A87" s="198" t="s">
        <v>62</v>
      </c>
      <c r="B87" s="199" t="s">
        <v>118</v>
      </c>
      <c r="C87" s="609" t="s">
        <v>530</v>
      </c>
      <c r="D87" s="610"/>
      <c r="E87" s="611"/>
      <c r="F87" s="611"/>
      <c r="G87" s="612"/>
      <c r="H87" s="200"/>
      <c r="I87" s="200"/>
      <c r="J87" s="201"/>
      <c r="K87" s="201"/>
      <c r="L87" s="202"/>
      <c r="M87" s="192"/>
    </row>
    <row r="88" spans="1:33" ht="26.25" customHeight="1" thickBot="1">
      <c r="A88" s="194"/>
      <c r="B88" s="203" t="s">
        <v>58</v>
      </c>
      <c r="C88" s="615" t="s">
        <v>527</v>
      </c>
      <c r="D88" s="611"/>
      <c r="E88" s="611"/>
      <c r="F88" s="611"/>
      <c r="G88" s="612"/>
    </row>
    <row r="89" spans="1:33">
      <c r="A89" s="198" t="s">
        <v>63</v>
      </c>
      <c r="B89" s="199" t="s">
        <v>118</v>
      </c>
      <c r="C89" s="609" t="s">
        <v>116</v>
      </c>
      <c r="D89" s="610"/>
      <c r="E89" s="611"/>
      <c r="F89" s="611"/>
      <c r="G89" s="612"/>
    </row>
    <row r="90" spans="1:33" ht="13.5" thickBot="1">
      <c r="A90" s="197"/>
      <c r="B90" s="203" t="s">
        <v>58</v>
      </c>
      <c r="C90" s="625"/>
      <c r="D90" s="611"/>
      <c r="E90" s="611"/>
      <c r="F90" s="611"/>
      <c r="G90" s="612"/>
      <c r="O90" s="192"/>
      <c r="P90" s="193"/>
      <c r="Q90" s="193"/>
      <c r="R90" s="193"/>
      <c r="S90" s="193"/>
      <c r="T90" s="193"/>
      <c r="U90" s="193"/>
      <c r="V90" s="193"/>
      <c r="W90" s="193"/>
      <c r="X90" s="193"/>
      <c r="Y90" s="193"/>
      <c r="Z90" s="193"/>
      <c r="AA90" s="193"/>
      <c r="AB90" s="193"/>
      <c r="AC90" s="193"/>
      <c r="AD90" s="193"/>
      <c r="AE90" s="193"/>
      <c r="AF90" s="193"/>
      <c r="AG90" s="192"/>
    </row>
    <row r="91" spans="1:33" ht="15.6" customHeight="1">
      <c r="A91" s="198" t="s">
        <v>65</v>
      </c>
      <c r="B91" s="199" t="s">
        <v>118</v>
      </c>
      <c r="C91" s="609" t="s">
        <v>530</v>
      </c>
      <c r="D91" s="610"/>
      <c r="E91" s="611"/>
      <c r="F91" s="611"/>
      <c r="G91" s="612"/>
      <c r="H91" s="200"/>
      <c r="I91" s="200"/>
      <c r="J91" s="208"/>
      <c r="K91" s="201"/>
      <c r="L91" s="202"/>
      <c r="M91" s="192"/>
    </row>
    <row r="92" spans="1:33" ht="26.25" customHeight="1" thickBot="1">
      <c r="A92" s="209"/>
      <c r="B92" s="210" t="s">
        <v>58</v>
      </c>
      <c r="C92" s="615" t="s">
        <v>527</v>
      </c>
      <c r="D92" s="611"/>
      <c r="E92" s="611"/>
      <c r="F92" s="611"/>
      <c r="G92" s="612"/>
    </row>
    <row r="93" spans="1:33" ht="15.6" customHeight="1">
      <c r="A93" s="197" t="s">
        <v>66</v>
      </c>
      <c r="B93" s="199" t="s">
        <v>118</v>
      </c>
      <c r="C93" s="609" t="s">
        <v>530</v>
      </c>
      <c r="D93" s="610"/>
      <c r="E93" s="611"/>
      <c r="F93" s="611"/>
      <c r="G93" s="612"/>
      <c r="H93" s="200"/>
      <c r="I93" s="200"/>
      <c r="J93" s="201"/>
      <c r="K93" s="201"/>
      <c r="L93" s="202"/>
      <c r="M93" s="192"/>
    </row>
    <row r="94" spans="1:33" ht="26.25" customHeight="1" thickBot="1">
      <c r="A94" s="194"/>
      <c r="B94" s="203" t="s">
        <v>58</v>
      </c>
      <c r="C94" s="615" t="s">
        <v>527</v>
      </c>
      <c r="D94" s="611"/>
      <c r="E94" s="611"/>
      <c r="F94" s="611"/>
      <c r="G94" s="612"/>
    </row>
    <row r="95" spans="1:33">
      <c r="A95" s="211" t="s">
        <v>67</v>
      </c>
      <c r="B95" s="199" t="s">
        <v>118</v>
      </c>
      <c r="C95" s="609" t="s">
        <v>116</v>
      </c>
      <c r="D95" s="610"/>
      <c r="E95" s="611"/>
      <c r="F95" s="611"/>
      <c r="G95" s="612"/>
    </row>
    <row r="96" spans="1:33" ht="13.5" thickBot="1">
      <c r="A96" s="194"/>
      <c r="B96" s="203" t="s">
        <v>58</v>
      </c>
      <c r="C96" s="625"/>
      <c r="D96" s="611"/>
      <c r="E96" s="611"/>
      <c r="F96" s="611"/>
      <c r="G96" s="612"/>
      <c r="O96" s="191"/>
      <c r="R96" s="192"/>
      <c r="AG96" s="191"/>
    </row>
    <row r="97" spans="1:33" ht="13.15" customHeight="1">
      <c r="A97" s="198" t="s">
        <v>68</v>
      </c>
      <c r="B97" s="199" t="s">
        <v>118</v>
      </c>
      <c r="C97" s="609" t="s">
        <v>530</v>
      </c>
      <c r="D97" s="610"/>
      <c r="E97" s="611"/>
      <c r="F97" s="611"/>
      <c r="G97" s="612"/>
      <c r="H97" s="212"/>
      <c r="I97" s="212"/>
      <c r="J97" s="212"/>
      <c r="K97" s="212"/>
      <c r="L97" s="202"/>
      <c r="O97" s="191"/>
      <c r="R97" s="192"/>
      <c r="AG97" s="191"/>
    </row>
    <row r="98" spans="1:33" ht="26.25" customHeight="1" thickBot="1">
      <c r="A98" s="194"/>
      <c r="B98" s="203" t="s">
        <v>58</v>
      </c>
      <c r="C98" s="615" t="s">
        <v>527</v>
      </c>
      <c r="D98" s="611"/>
      <c r="E98" s="611"/>
      <c r="F98" s="611"/>
      <c r="G98" s="612"/>
      <c r="H98" s="206"/>
      <c r="I98" s="206"/>
      <c r="J98" s="206"/>
      <c r="K98" s="206"/>
      <c r="L98" s="202"/>
      <c r="O98" s="191"/>
      <c r="AG98" s="191"/>
    </row>
    <row r="99" spans="1:33">
      <c r="A99" s="198" t="s">
        <v>69</v>
      </c>
      <c r="B99" s="199" t="s">
        <v>118</v>
      </c>
      <c r="C99" s="609" t="s">
        <v>116</v>
      </c>
      <c r="D99" s="610"/>
      <c r="E99" s="611"/>
      <c r="F99" s="611"/>
      <c r="G99" s="612"/>
      <c r="H99" s="212"/>
      <c r="I99" s="213"/>
      <c r="J99" s="212"/>
      <c r="K99" s="212"/>
      <c r="L99" s="202"/>
      <c r="M99" s="192"/>
    </row>
    <row r="100" spans="1:33" ht="13.5" thickBot="1">
      <c r="A100" s="194"/>
      <c r="B100" s="203" t="s">
        <v>58</v>
      </c>
      <c r="C100" s="625"/>
      <c r="D100" s="611"/>
      <c r="E100" s="611"/>
      <c r="F100" s="611"/>
      <c r="G100" s="612"/>
      <c r="H100" s="206"/>
      <c r="I100" s="206"/>
      <c r="J100" s="206"/>
      <c r="K100" s="206"/>
      <c r="L100" s="202"/>
    </row>
    <row r="101" spans="1:33" ht="27" customHeight="1">
      <c r="A101" s="198" t="s">
        <v>115</v>
      </c>
      <c r="B101" s="199" t="s">
        <v>118</v>
      </c>
      <c r="C101" s="609" t="s">
        <v>530</v>
      </c>
      <c r="D101" s="610"/>
      <c r="E101" s="611"/>
      <c r="F101" s="611"/>
      <c r="G101" s="612"/>
      <c r="H101" s="193"/>
      <c r="I101" s="193"/>
      <c r="J101" s="193"/>
      <c r="K101" s="193"/>
      <c r="L101" s="214"/>
    </row>
    <row r="102" spans="1:33" ht="26.25" customHeight="1" thickBot="1">
      <c r="A102" s="197"/>
      <c r="B102" s="203" t="s">
        <v>58</v>
      </c>
      <c r="C102" s="615" t="s">
        <v>527</v>
      </c>
      <c r="D102" s="611"/>
      <c r="E102" s="611"/>
      <c r="F102" s="611"/>
      <c r="G102" s="612"/>
      <c r="H102" s="215"/>
      <c r="I102" s="191"/>
      <c r="J102" s="215"/>
      <c r="K102" s="191"/>
      <c r="L102" s="191"/>
    </row>
    <row r="103" spans="1:33" ht="15.75">
      <c r="A103" s="198" t="s">
        <v>72</v>
      </c>
      <c r="B103" s="199" t="s">
        <v>118</v>
      </c>
      <c r="C103" s="609" t="s">
        <v>116</v>
      </c>
      <c r="D103" s="610"/>
      <c r="E103" s="611"/>
      <c r="F103" s="611"/>
      <c r="G103" s="612"/>
      <c r="H103" s="200"/>
      <c r="I103" s="200"/>
      <c r="J103" s="201"/>
      <c r="K103" s="201"/>
      <c r="L103" s="202"/>
    </row>
    <row r="104" spans="1:33" ht="13.5" thickBot="1">
      <c r="A104" s="194"/>
      <c r="B104" s="203" t="s">
        <v>58</v>
      </c>
      <c r="C104" s="625"/>
      <c r="D104" s="611"/>
      <c r="E104" s="611"/>
      <c r="F104" s="611"/>
      <c r="G104" s="612"/>
    </row>
    <row r="105" spans="1:33" ht="13.15" customHeight="1">
      <c r="A105" s="198" t="s">
        <v>73</v>
      </c>
      <c r="B105" s="199" t="s">
        <v>118</v>
      </c>
      <c r="C105" s="609" t="s">
        <v>530</v>
      </c>
      <c r="D105" s="610"/>
      <c r="E105" s="611"/>
      <c r="F105" s="611"/>
      <c r="G105" s="612"/>
      <c r="H105" s="212"/>
      <c r="I105" s="212"/>
      <c r="J105" s="212"/>
      <c r="K105" s="213"/>
      <c r="L105" s="202"/>
    </row>
    <row r="106" spans="1:33" ht="26.25" customHeight="1" thickBot="1">
      <c r="A106" s="194"/>
      <c r="B106" s="203" t="s">
        <v>58</v>
      </c>
      <c r="C106" s="615" t="s">
        <v>527</v>
      </c>
      <c r="D106" s="611"/>
      <c r="E106" s="611"/>
      <c r="F106" s="611"/>
      <c r="G106" s="612"/>
      <c r="H106" s="206"/>
      <c r="I106" s="206"/>
      <c r="J106" s="206"/>
      <c r="K106" s="206"/>
      <c r="L106" s="202"/>
    </row>
    <row r="107" spans="1:33" ht="13.15" customHeight="1">
      <c r="A107" s="198" t="s">
        <v>74</v>
      </c>
      <c r="B107" s="199" t="s">
        <v>118</v>
      </c>
      <c r="C107" s="609" t="s">
        <v>530</v>
      </c>
      <c r="D107" s="610"/>
      <c r="E107" s="611"/>
      <c r="F107" s="611"/>
      <c r="G107" s="612"/>
      <c r="H107" s="212"/>
      <c r="I107" s="212"/>
      <c r="J107" s="212"/>
      <c r="K107" s="213"/>
      <c r="L107" s="202"/>
    </row>
    <row r="108" spans="1:33" ht="26.25" customHeight="1" thickBot="1">
      <c r="A108" s="194"/>
      <c r="B108" s="203" t="s">
        <v>58</v>
      </c>
      <c r="C108" s="615" t="s">
        <v>527</v>
      </c>
      <c r="D108" s="611"/>
      <c r="E108" s="611"/>
      <c r="F108" s="611"/>
      <c r="G108" s="612"/>
      <c r="H108" s="206"/>
      <c r="I108" s="206"/>
      <c r="J108" s="206"/>
      <c r="K108" s="206"/>
      <c r="L108" s="202"/>
    </row>
    <row r="109" spans="1:33" ht="13.15" customHeight="1">
      <c r="A109" s="198" t="s">
        <v>117</v>
      </c>
      <c r="B109" s="199" t="s">
        <v>118</v>
      </c>
      <c r="C109" s="609" t="s">
        <v>530</v>
      </c>
      <c r="D109" s="610"/>
      <c r="E109" s="611"/>
      <c r="F109" s="611"/>
      <c r="G109" s="612"/>
      <c r="H109" s="191"/>
      <c r="I109" s="191"/>
      <c r="J109" s="191"/>
      <c r="K109" s="191"/>
      <c r="L109" s="216"/>
    </row>
    <row r="110" spans="1:33" ht="26.25" customHeight="1" thickBot="1">
      <c r="A110" s="197"/>
      <c r="B110" s="203" t="s">
        <v>58</v>
      </c>
      <c r="C110" s="615" t="s">
        <v>527</v>
      </c>
      <c r="D110" s="611"/>
      <c r="E110" s="611"/>
      <c r="F110" s="611"/>
      <c r="G110" s="612"/>
    </row>
    <row r="111" spans="1:33" ht="13.15" customHeight="1">
      <c r="A111" s="198" t="s">
        <v>76</v>
      </c>
      <c r="B111" s="199" t="s">
        <v>118</v>
      </c>
      <c r="C111" s="609" t="s">
        <v>530</v>
      </c>
      <c r="D111" s="610"/>
      <c r="E111" s="611"/>
      <c r="F111" s="611"/>
      <c r="G111" s="612"/>
    </row>
    <row r="112" spans="1:33" ht="26.25" customHeight="1" thickBot="1">
      <c r="A112" s="197"/>
      <c r="B112" s="203" t="s">
        <v>58</v>
      </c>
      <c r="C112" s="615" t="s">
        <v>527</v>
      </c>
      <c r="D112" s="611"/>
      <c r="E112" s="611"/>
      <c r="F112" s="611"/>
      <c r="G112" s="612"/>
      <c r="H112" s="218"/>
      <c r="I112" s="193"/>
      <c r="J112" s="193"/>
      <c r="K112" s="193"/>
      <c r="L112" s="214"/>
    </row>
    <row r="113" spans="1:33" ht="27" customHeight="1">
      <c r="A113" s="627" t="s">
        <v>85</v>
      </c>
      <c r="B113" s="628"/>
      <c r="C113" s="628"/>
      <c r="D113" s="628"/>
      <c r="E113" s="629"/>
      <c r="F113" s="629"/>
      <c r="G113" s="455"/>
      <c r="H113" s="191"/>
      <c r="I113" s="191"/>
      <c r="J113" s="191"/>
      <c r="K113" s="191"/>
      <c r="L113" s="191"/>
    </row>
    <row r="114" spans="1:33">
      <c r="A114" s="194"/>
      <c r="B114" s="195"/>
      <c r="C114" s="196">
        <f>C6</f>
        <v>2012</v>
      </c>
      <c r="D114" s="273">
        <f>D6</f>
        <v>2013</v>
      </c>
      <c r="E114" s="275">
        <f>E6</f>
        <v>2014</v>
      </c>
      <c r="F114" s="271">
        <f>F6</f>
        <v>2015</v>
      </c>
      <c r="G114" s="271">
        <f>G6</f>
        <v>2016</v>
      </c>
      <c r="H114" s="191"/>
      <c r="I114" s="191"/>
      <c r="J114" s="191"/>
      <c r="K114" s="191"/>
      <c r="L114" s="191"/>
      <c r="O114" s="191"/>
      <c r="S114" s="192"/>
      <c r="T114" s="192"/>
      <c r="AG114" s="191"/>
    </row>
    <row r="115" spans="1:33" ht="13.5" thickBot="1">
      <c r="A115" s="197" t="s">
        <v>53</v>
      </c>
      <c r="B115" s="195"/>
      <c r="C115" s="621" t="str">
        <f>C80</f>
        <v>Based upon 2nd pass system delivery from Gina Money 06/13/12.</v>
      </c>
      <c r="D115" s="622"/>
      <c r="E115" s="626"/>
      <c r="F115" s="626"/>
      <c r="G115" s="456"/>
    </row>
    <row r="116" spans="1:33" ht="15.75" customHeight="1">
      <c r="A116" s="198" t="s">
        <v>54</v>
      </c>
      <c r="B116" s="199" t="s">
        <v>55</v>
      </c>
      <c r="C116" s="609" t="s">
        <v>531</v>
      </c>
      <c r="D116" s="610"/>
      <c r="E116" s="611"/>
      <c r="F116" s="611"/>
      <c r="G116" s="612"/>
      <c r="H116" s="200"/>
      <c r="I116" s="200"/>
      <c r="J116" s="201"/>
      <c r="K116" s="201"/>
      <c r="L116" s="202"/>
      <c r="M116" s="192"/>
    </row>
    <row r="117" spans="1:33" ht="26.25" customHeight="1" thickBot="1">
      <c r="A117" s="194"/>
      <c r="B117" s="203" t="s">
        <v>58</v>
      </c>
      <c r="C117" s="615" t="s">
        <v>527</v>
      </c>
      <c r="D117" s="611"/>
      <c r="E117" s="611"/>
      <c r="F117" s="611"/>
      <c r="G117" s="612"/>
      <c r="H117" s="204"/>
      <c r="I117" s="204"/>
      <c r="J117" s="204"/>
      <c r="K117" s="204"/>
      <c r="L117" s="202"/>
    </row>
    <row r="118" spans="1:33" ht="15.75" customHeight="1">
      <c r="A118" s="198" t="s">
        <v>60</v>
      </c>
      <c r="B118" s="199" t="s">
        <v>55</v>
      </c>
      <c r="C118" s="609" t="s">
        <v>531</v>
      </c>
      <c r="D118" s="610"/>
      <c r="E118" s="611"/>
      <c r="F118" s="611"/>
      <c r="G118" s="612"/>
      <c r="H118" s="200"/>
      <c r="I118" s="200"/>
      <c r="J118" s="201"/>
      <c r="K118" s="201"/>
      <c r="L118" s="202"/>
      <c r="M118" s="192"/>
    </row>
    <row r="119" spans="1:33" ht="26.25" customHeight="1" thickBot="1">
      <c r="A119" s="194"/>
      <c r="B119" s="203" t="s">
        <v>58</v>
      </c>
      <c r="C119" s="615" t="s">
        <v>527</v>
      </c>
      <c r="D119" s="611"/>
      <c r="E119" s="611"/>
      <c r="F119" s="611"/>
      <c r="G119" s="612"/>
      <c r="O119" s="191"/>
      <c r="AG119" s="191"/>
    </row>
    <row r="120" spans="1:33" ht="15.75" customHeight="1">
      <c r="A120" s="198" t="s">
        <v>61</v>
      </c>
      <c r="B120" s="199" t="s">
        <v>55</v>
      </c>
      <c r="C120" s="609" t="s">
        <v>531</v>
      </c>
      <c r="D120" s="610"/>
      <c r="E120" s="611"/>
      <c r="F120" s="611"/>
      <c r="G120" s="612"/>
      <c r="H120" s="200"/>
      <c r="I120" s="200"/>
      <c r="J120" s="201"/>
      <c r="K120" s="201"/>
      <c r="L120" s="202"/>
      <c r="M120" s="205"/>
      <c r="N120" s="206"/>
      <c r="O120" s="207"/>
      <c r="P120" s="206"/>
      <c r="Q120" s="206"/>
      <c r="R120" s="206"/>
      <c r="S120" s="206"/>
      <c r="T120" s="206"/>
      <c r="AG120" s="191"/>
    </row>
    <row r="121" spans="1:33" ht="26.25" customHeight="1" thickBot="1">
      <c r="A121" s="194"/>
      <c r="B121" s="203" t="s">
        <v>58</v>
      </c>
      <c r="C121" s="615" t="s">
        <v>527</v>
      </c>
      <c r="D121" s="611"/>
      <c r="E121" s="611"/>
      <c r="F121" s="611"/>
      <c r="G121" s="612"/>
    </row>
    <row r="122" spans="1:33" ht="15.75">
      <c r="A122" s="198" t="s">
        <v>62</v>
      </c>
      <c r="B122" s="199" t="s">
        <v>55</v>
      </c>
      <c r="C122" s="609" t="s">
        <v>116</v>
      </c>
      <c r="D122" s="610"/>
      <c r="E122" s="632"/>
      <c r="F122" s="632"/>
      <c r="G122" s="638"/>
      <c r="H122" s="200"/>
      <c r="I122" s="200"/>
      <c r="J122" s="201"/>
      <c r="K122" s="201"/>
      <c r="L122" s="202"/>
      <c r="M122" s="192"/>
    </row>
    <row r="123" spans="1:33" ht="13.5" thickBot="1">
      <c r="A123" s="194"/>
      <c r="B123" s="203" t="s">
        <v>58</v>
      </c>
      <c r="C123" s="616"/>
      <c r="D123" s="617"/>
      <c r="E123" s="632"/>
      <c r="F123" s="632"/>
      <c r="G123" s="638"/>
    </row>
    <row r="124" spans="1:33" ht="12.75" customHeight="1">
      <c r="A124" s="198" t="s">
        <v>63</v>
      </c>
      <c r="B124" s="199" t="s">
        <v>55</v>
      </c>
      <c r="C124" s="609" t="s">
        <v>531</v>
      </c>
      <c r="D124" s="610"/>
      <c r="E124" s="611"/>
      <c r="F124" s="611"/>
      <c r="G124" s="612"/>
    </row>
    <row r="125" spans="1:33" ht="26.25" customHeight="1" thickBot="1">
      <c r="A125" s="197"/>
      <c r="B125" s="203" t="s">
        <v>58</v>
      </c>
      <c r="C125" s="615" t="s">
        <v>527</v>
      </c>
      <c r="D125" s="611"/>
      <c r="E125" s="611"/>
      <c r="F125" s="611"/>
      <c r="G125" s="612"/>
      <c r="O125" s="192"/>
      <c r="P125" s="193"/>
      <c r="Q125" s="193"/>
      <c r="R125" s="193"/>
      <c r="S125" s="193"/>
      <c r="T125" s="193"/>
      <c r="U125" s="193"/>
      <c r="V125" s="193"/>
      <c r="W125" s="193"/>
      <c r="X125" s="193"/>
      <c r="Y125" s="193"/>
      <c r="Z125" s="193"/>
      <c r="AA125" s="193"/>
      <c r="AB125" s="193"/>
      <c r="AC125" s="193"/>
      <c r="AD125" s="193"/>
      <c r="AE125" s="193"/>
      <c r="AF125" s="193"/>
      <c r="AG125" s="192"/>
    </row>
    <row r="126" spans="1:33" ht="15.75" customHeight="1">
      <c r="A126" s="198" t="s">
        <v>65</v>
      </c>
      <c r="B126" s="199" t="s">
        <v>55</v>
      </c>
      <c r="C126" s="609" t="s">
        <v>531</v>
      </c>
      <c r="D126" s="610"/>
      <c r="E126" s="611"/>
      <c r="F126" s="611"/>
      <c r="G126" s="612"/>
      <c r="H126" s="200"/>
      <c r="I126" s="200"/>
      <c r="J126" s="208"/>
      <c r="K126" s="201"/>
      <c r="L126" s="202"/>
      <c r="M126" s="192"/>
    </row>
    <row r="127" spans="1:33" ht="26.25" customHeight="1" thickBot="1">
      <c r="A127" s="209"/>
      <c r="B127" s="210" t="s">
        <v>58</v>
      </c>
      <c r="C127" s="615" t="s">
        <v>527</v>
      </c>
      <c r="D127" s="611"/>
      <c r="E127" s="611"/>
      <c r="F127" s="611"/>
      <c r="G127" s="612"/>
    </row>
    <row r="128" spans="1:33" ht="15.75" customHeight="1">
      <c r="A128" s="197" t="s">
        <v>66</v>
      </c>
      <c r="B128" s="203" t="s">
        <v>55</v>
      </c>
      <c r="C128" s="609" t="s">
        <v>531</v>
      </c>
      <c r="D128" s="610"/>
      <c r="E128" s="611"/>
      <c r="F128" s="611"/>
      <c r="G128" s="612"/>
      <c r="H128" s="200"/>
      <c r="I128" s="200"/>
      <c r="J128" s="201"/>
      <c r="K128" s="201"/>
      <c r="L128" s="202"/>
      <c r="M128" s="192"/>
    </row>
    <row r="129" spans="1:33" ht="26.25" customHeight="1" thickBot="1">
      <c r="A129" s="194"/>
      <c r="B129" s="203" t="s">
        <v>58</v>
      </c>
      <c r="C129" s="615" t="s">
        <v>527</v>
      </c>
      <c r="D129" s="611"/>
      <c r="E129" s="611"/>
      <c r="F129" s="611"/>
      <c r="G129" s="612"/>
    </row>
    <row r="130" spans="1:33" ht="12.75" customHeight="1">
      <c r="A130" s="211" t="s">
        <v>67</v>
      </c>
      <c r="B130" s="199" t="s">
        <v>55</v>
      </c>
      <c r="C130" s="609" t="s">
        <v>531</v>
      </c>
      <c r="D130" s="610"/>
      <c r="E130" s="611"/>
      <c r="F130" s="611"/>
      <c r="G130" s="612"/>
    </row>
    <row r="131" spans="1:33" ht="26.25" customHeight="1" thickBot="1">
      <c r="A131" s="194"/>
      <c r="B131" s="203" t="s">
        <v>58</v>
      </c>
      <c r="C131" s="615" t="s">
        <v>527</v>
      </c>
      <c r="D131" s="611"/>
      <c r="E131" s="611"/>
      <c r="F131" s="611"/>
      <c r="G131" s="612"/>
      <c r="O131" s="191"/>
      <c r="R131" s="192"/>
      <c r="AG131" s="191"/>
    </row>
    <row r="132" spans="1:33">
      <c r="A132" s="198" t="s">
        <v>68</v>
      </c>
      <c r="B132" s="199" t="s">
        <v>55</v>
      </c>
      <c r="C132" s="609" t="s">
        <v>116</v>
      </c>
      <c r="D132" s="610"/>
      <c r="E132" s="632"/>
      <c r="F132" s="632"/>
      <c r="G132" s="638"/>
      <c r="H132" s="212"/>
      <c r="I132" s="212"/>
      <c r="J132" s="212"/>
      <c r="K132" s="212"/>
      <c r="L132" s="202"/>
      <c r="O132" s="191"/>
      <c r="R132" s="192"/>
      <c r="AG132" s="191"/>
    </row>
    <row r="133" spans="1:33" ht="26.25" customHeight="1" thickBot="1">
      <c r="A133" s="194"/>
      <c r="B133" s="203" t="s">
        <v>58</v>
      </c>
      <c r="C133" s="616"/>
      <c r="D133" s="617"/>
      <c r="E133" s="632"/>
      <c r="F133" s="632"/>
      <c r="G133" s="638"/>
      <c r="H133" s="206"/>
      <c r="I133" s="206"/>
      <c r="J133" s="206"/>
      <c r="K133" s="206"/>
      <c r="L133" s="202"/>
      <c r="O133" s="191"/>
      <c r="AG133" s="191"/>
    </row>
    <row r="134" spans="1:33" ht="12.75" customHeight="1">
      <c r="A134" s="198" t="s">
        <v>69</v>
      </c>
      <c r="B134" s="199" t="s">
        <v>55</v>
      </c>
      <c r="C134" s="609" t="s">
        <v>531</v>
      </c>
      <c r="D134" s="610"/>
      <c r="E134" s="611"/>
      <c r="F134" s="611"/>
      <c r="G134" s="612"/>
      <c r="H134" s="212"/>
      <c r="I134" s="213"/>
      <c r="J134" s="212"/>
      <c r="K134" s="212"/>
      <c r="L134" s="202"/>
      <c r="M134" s="192"/>
    </row>
    <row r="135" spans="1:33" ht="26.25" customHeight="1" thickBot="1">
      <c r="A135" s="194"/>
      <c r="B135" s="203" t="s">
        <v>58</v>
      </c>
      <c r="C135" s="615" t="s">
        <v>527</v>
      </c>
      <c r="D135" s="611"/>
      <c r="E135" s="611"/>
      <c r="F135" s="611"/>
      <c r="G135" s="612"/>
      <c r="H135" s="206"/>
      <c r="I135" s="206"/>
      <c r="J135" s="206"/>
      <c r="K135" s="206"/>
      <c r="L135" s="202"/>
    </row>
    <row r="136" spans="1:33" ht="12.75" customHeight="1">
      <c r="A136" s="198" t="s">
        <v>115</v>
      </c>
      <c r="B136" s="199" t="s">
        <v>55</v>
      </c>
      <c r="C136" s="609" t="s">
        <v>531</v>
      </c>
      <c r="D136" s="610"/>
      <c r="E136" s="611"/>
      <c r="F136" s="611"/>
      <c r="G136" s="612"/>
      <c r="H136" s="193"/>
      <c r="I136" s="193"/>
      <c r="J136" s="193"/>
      <c r="K136" s="193"/>
      <c r="L136" s="214"/>
    </row>
    <row r="137" spans="1:33" ht="26.25" customHeight="1" thickBot="1">
      <c r="A137" s="197"/>
      <c r="B137" s="203" t="s">
        <v>58</v>
      </c>
      <c r="C137" s="615" t="s">
        <v>527</v>
      </c>
      <c r="D137" s="611"/>
      <c r="E137" s="611"/>
      <c r="F137" s="611"/>
      <c r="G137" s="612"/>
      <c r="H137" s="215"/>
      <c r="I137" s="191"/>
      <c r="J137" s="215"/>
      <c r="K137" s="191"/>
      <c r="L137" s="191"/>
    </row>
    <row r="138" spans="1:33" ht="15.75" customHeight="1">
      <c r="A138" s="198" t="s">
        <v>72</v>
      </c>
      <c r="B138" s="199" t="s">
        <v>55</v>
      </c>
      <c r="C138" s="609" t="s">
        <v>531</v>
      </c>
      <c r="D138" s="610"/>
      <c r="E138" s="611"/>
      <c r="F138" s="611"/>
      <c r="G138" s="612"/>
      <c r="H138" s="200"/>
      <c r="I138" s="200"/>
      <c r="J138" s="201"/>
      <c r="K138" s="201"/>
      <c r="L138" s="202"/>
    </row>
    <row r="139" spans="1:33" ht="26.25" customHeight="1" thickBot="1">
      <c r="A139" s="194"/>
      <c r="B139" s="203" t="s">
        <v>58</v>
      </c>
      <c r="C139" s="615" t="s">
        <v>527</v>
      </c>
      <c r="D139" s="611"/>
      <c r="E139" s="611"/>
      <c r="F139" s="611"/>
      <c r="G139" s="612"/>
    </row>
    <row r="140" spans="1:33" ht="12.75" customHeight="1">
      <c r="A140" s="198" t="s">
        <v>113</v>
      </c>
      <c r="B140" s="199" t="s">
        <v>55</v>
      </c>
      <c r="C140" s="609" t="s">
        <v>531</v>
      </c>
      <c r="D140" s="610"/>
      <c r="E140" s="611"/>
      <c r="F140" s="611"/>
      <c r="G140" s="612"/>
      <c r="H140" s="212"/>
      <c r="I140" s="212"/>
      <c r="J140" s="212"/>
      <c r="K140" s="213"/>
      <c r="L140" s="202"/>
    </row>
    <row r="141" spans="1:33" ht="26.25" customHeight="1" thickBot="1">
      <c r="A141" s="194"/>
      <c r="B141" s="203" t="s">
        <v>58</v>
      </c>
      <c r="C141" s="615" t="s">
        <v>527</v>
      </c>
      <c r="D141" s="611"/>
      <c r="E141" s="611"/>
      <c r="F141" s="611"/>
      <c r="G141" s="612"/>
      <c r="H141" s="206"/>
      <c r="I141" s="206"/>
      <c r="J141" s="206"/>
      <c r="K141" s="206"/>
      <c r="L141" s="202"/>
    </row>
    <row r="142" spans="1:33">
      <c r="A142" s="198" t="s">
        <v>74</v>
      </c>
      <c r="B142" s="199" t="s">
        <v>55</v>
      </c>
      <c r="C142" s="609" t="s">
        <v>116</v>
      </c>
      <c r="D142" s="610"/>
      <c r="E142" s="632"/>
      <c r="F142" s="632"/>
      <c r="G142" s="638"/>
      <c r="H142" s="212"/>
      <c r="I142" s="212"/>
      <c r="J142" s="212"/>
      <c r="K142" s="213"/>
      <c r="L142" s="202"/>
    </row>
    <row r="143" spans="1:33" ht="26.25" customHeight="1" thickBot="1">
      <c r="A143" s="194"/>
      <c r="B143" s="203" t="s">
        <v>58</v>
      </c>
      <c r="C143" s="616"/>
      <c r="D143" s="617"/>
      <c r="E143" s="632"/>
      <c r="F143" s="632"/>
      <c r="G143" s="638"/>
      <c r="H143" s="206"/>
      <c r="I143" s="206"/>
      <c r="J143" s="206"/>
      <c r="K143" s="206"/>
      <c r="L143" s="202"/>
    </row>
    <row r="144" spans="1:33">
      <c r="A144" s="198" t="s">
        <v>117</v>
      </c>
      <c r="B144" s="199" t="s">
        <v>55</v>
      </c>
      <c r="C144" s="609" t="s">
        <v>116</v>
      </c>
      <c r="D144" s="610"/>
      <c r="E144" s="632"/>
      <c r="F144" s="632"/>
      <c r="G144" s="638"/>
      <c r="H144" s="191"/>
      <c r="I144" s="191"/>
      <c r="J144" s="191"/>
      <c r="K144" s="191"/>
      <c r="L144" s="216"/>
    </row>
    <row r="145" spans="1:12" ht="26.25" customHeight="1" thickBot="1">
      <c r="A145" s="197"/>
      <c r="B145" s="203" t="s">
        <v>58</v>
      </c>
      <c r="C145" s="616"/>
      <c r="D145" s="617"/>
      <c r="E145" s="632"/>
      <c r="F145" s="632"/>
      <c r="G145" s="638"/>
    </row>
    <row r="146" spans="1:12">
      <c r="A146" s="198" t="s">
        <v>76</v>
      </c>
      <c r="B146" s="199" t="s">
        <v>55</v>
      </c>
      <c r="C146" s="609" t="s">
        <v>116</v>
      </c>
      <c r="D146" s="610"/>
      <c r="E146" s="632"/>
      <c r="F146" s="632"/>
      <c r="G146" s="638"/>
    </row>
    <row r="147" spans="1:12" ht="26.25" customHeight="1" thickBot="1">
      <c r="A147" s="217"/>
      <c r="B147" s="210" t="s">
        <v>58</v>
      </c>
      <c r="C147" s="616"/>
      <c r="D147" s="617"/>
      <c r="E147" s="632"/>
      <c r="F147" s="632"/>
      <c r="G147" s="638"/>
      <c r="H147" s="218"/>
      <c r="I147" s="193"/>
      <c r="J147" s="193"/>
      <c r="K147" s="193"/>
      <c r="L147" s="214"/>
    </row>
    <row r="148" spans="1:12" s="223" customFormat="1" ht="42" customHeight="1">
      <c r="A148" s="627" t="s">
        <v>83</v>
      </c>
      <c r="B148" s="628"/>
      <c r="C148" s="628"/>
      <c r="D148" s="628"/>
      <c r="E148" s="629"/>
      <c r="F148" s="629"/>
      <c r="G148" s="457"/>
    </row>
    <row r="149" spans="1:12" s="223" customFormat="1" ht="20.25" customHeight="1">
      <c r="A149" s="194"/>
      <c r="B149" s="195"/>
      <c r="C149" s="196" t="str">
        <f>C40</f>
        <v>*</v>
      </c>
      <c r="D149" s="273">
        <v>2013</v>
      </c>
      <c r="E149" s="275">
        <v>2014</v>
      </c>
      <c r="F149" s="271" t="str">
        <f>F40</f>
        <v>*</v>
      </c>
      <c r="G149" s="457"/>
    </row>
    <row r="150" spans="1:12" s="223" customFormat="1" ht="20.25" customHeight="1" thickBot="1">
      <c r="A150" s="194"/>
      <c r="B150" s="195"/>
      <c r="C150" s="196" t="str">
        <f>C41</f>
        <v>CAPEX</v>
      </c>
      <c r="D150" s="640" t="s">
        <v>533</v>
      </c>
      <c r="E150" s="641"/>
      <c r="F150" s="271">
        <f>F41</f>
        <v>0</v>
      </c>
      <c r="G150" s="457"/>
    </row>
    <row r="151" spans="1:12" s="223" customFormat="1" ht="31.5" customHeight="1">
      <c r="A151" s="627" t="s">
        <v>532</v>
      </c>
      <c r="B151" s="628"/>
      <c r="C151" s="628"/>
      <c r="D151" s="628"/>
      <c r="E151" s="629"/>
      <c r="F151" s="629"/>
      <c r="G151" s="457"/>
    </row>
    <row r="152" spans="1:12" s="223" customFormat="1" ht="20.25" customHeight="1" thickBot="1">
      <c r="A152" s="209"/>
      <c r="B152" s="458"/>
      <c r="C152" s="459">
        <f>C43</f>
        <v>0</v>
      </c>
      <c r="D152" s="640" t="s">
        <v>534</v>
      </c>
      <c r="E152" s="641"/>
      <c r="F152" s="460">
        <f>F43</f>
        <v>0</v>
      </c>
      <c r="G152" s="461"/>
    </row>
    <row r="153" spans="1:12" s="223" customFormat="1">
      <c r="A153" s="222"/>
      <c r="C153" s="224"/>
      <c r="D153" s="274"/>
      <c r="E153" s="274"/>
      <c r="F153" s="224"/>
      <c r="G153" s="224"/>
    </row>
    <row r="154" spans="1:12" s="223" customFormat="1">
      <c r="A154" s="222"/>
      <c r="C154" s="224"/>
      <c r="D154" s="274"/>
      <c r="E154" s="274"/>
      <c r="F154" s="224"/>
      <c r="G154" s="224"/>
    </row>
    <row r="155" spans="1:12" s="223" customFormat="1">
      <c r="A155" s="222"/>
      <c r="C155" s="224"/>
      <c r="D155" s="274"/>
      <c r="E155" s="274"/>
      <c r="F155" s="224"/>
      <c r="G155" s="224"/>
    </row>
    <row r="156" spans="1:12" s="223" customFormat="1">
      <c r="A156" s="222"/>
      <c r="C156" s="224"/>
      <c r="D156" s="274"/>
      <c r="E156" s="274"/>
      <c r="F156" s="224"/>
      <c r="G156" s="224"/>
    </row>
    <row r="157" spans="1:12" s="223" customFormat="1">
      <c r="A157" s="222"/>
      <c r="C157" s="224"/>
      <c r="D157" s="274"/>
      <c r="E157" s="274"/>
      <c r="F157" s="224"/>
      <c r="G157" s="224"/>
    </row>
    <row r="158" spans="1:12" s="223" customFormat="1">
      <c r="A158" s="222"/>
      <c r="C158" s="224"/>
      <c r="D158" s="274"/>
      <c r="E158" s="274"/>
      <c r="F158" s="224"/>
      <c r="G158" s="224"/>
    </row>
    <row r="159" spans="1:12" s="223" customFormat="1">
      <c r="A159" s="222"/>
      <c r="C159" s="224"/>
      <c r="D159" s="274"/>
      <c r="E159" s="274"/>
      <c r="F159" s="224"/>
      <c r="G159" s="224"/>
    </row>
    <row r="160" spans="1:12" s="223" customFormat="1">
      <c r="A160" s="222"/>
      <c r="C160" s="224"/>
      <c r="D160" s="274"/>
      <c r="E160" s="274"/>
      <c r="F160" s="224"/>
      <c r="G160" s="224"/>
    </row>
    <row r="161" spans="1:7" s="223" customFormat="1">
      <c r="A161" s="222"/>
      <c r="C161" s="224"/>
      <c r="D161" s="274"/>
      <c r="E161" s="274"/>
      <c r="F161" s="224"/>
      <c r="G161" s="224"/>
    </row>
    <row r="162" spans="1:7" s="223" customFormat="1">
      <c r="A162" s="222"/>
      <c r="C162" s="224"/>
      <c r="D162" s="274"/>
      <c r="E162" s="274"/>
      <c r="F162" s="224"/>
      <c r="G162" s="224"/>
    </row>
    <row r="163" spans="1:7" s="223" customFormat="1">
      <c r="A163" s="222"/>
      <c r="C163" s="224"/>
      <c r="D163" s="274"/>
      <c r="E163" s="274"/>
      <c r="F163" s="224"/>
      <c r="G163" s="224"/>
    </row>
    <row r="164" spans="1:7" s="223" customFormat="1">
      <c r="A164" s="222"/>
      <c r="C164" s="224"/>
      <c r="D164" s="274"/>
      <c r="E164" s="274"/>
      <c r="F164" s="224"/>
      <c r="G164" s="224"/>
    </row>
    <row r="165" spans="1:7" s="223" customFormat="1">
      <c r="A165" s="222"/>
      <c r="C165" s="224"/>
      <c r="D165" s="274"/>
      <c r="E165" s="274"/>
      <c r="F165" s="224"/>
      <c r="G165" s="224"/>
    </row>
    <row r="166" spans="1:7" s="223" customFormat="1">
      <c r="A166" s="222"/>
      <c r="C166" s="224"/>
      <c r="D166" s="274"/>
      <c r="E166" s="274"/>
      <c r="F166" s="224"/>
      <c r="G166" s="224"/>
    </row>
    <row r="167" spans="1:7" s="223" customFormat="1">
      <c r="A167" s="222"/>
      <c r="C167" s="224"/>
      <c r="D167" s="274"/>
      <c r="E167" s="274"/>
      <c r="F167" s="224"/>
      <c r="G167" s="224"/>
    </row>
    <row r="168" spans="1:7" s="223" customFormat="1">
      <c r="A168" s="222"/>
      <c r="C168" s="224"/>
      <c r="D168" s="274"/>
      <c r="E168" s="274"/>
      <c r="F168" s="224"/>
      <c r="G168" s="224"/>
    </row>
    <row r="169" spans="1:7" s="223" customFormat="1">
      <c r="A169" s="222"/>
      <c r="C169" s="224"/>
      <c r="D169" s="274"/>
      <c r="E169" s="274"/>
      <c r="F169" s="224"/>
      <c r="G169" s="224"/>
    </row>
    <row r="170" spans="1:7" s="223" customFormat="1">
      <c r="A170" s="222"/>
      <c r="C170" s="224"/>
      <c r="D170" s="274"/>
      <c r="E170" s="274"/>
      <c r="F170" s="224"/>
      <c r="G170" s="224"/>
    </row>
    <row r="171" spans="1:7" s="223" customFormat="1">
      <c r="A171" s="222"/>
      <c r="C171" s="224"/>
      <c r="D171" s="274"/>
      <c r="E171" s="274"/>
      <c r="F171" s="224"/>
      <c r="G171" s="224"/>
    </row>
    <row r="172" spans="1:7" s="223" customFormat="1">
      <c r="A172" s="222"/>
      <c r="C172" s="224"/>
      <c r="D172" s="274"/>
      <c r="E172" s="274"/>
      <c r="F172" s="224"/>
      <c r="G172" s="224"/>
    </row>
    <row r="173" spans="1:7" s="223" customFormat="1">
      <c r="A173" s="222"/>
      <c r="C173" s="224"/>
      <c r="D173" s="274"/>
      <c r="E173" s="274"/>
      <c r="F173" s="224"/>
      <c r="G173" s="224"/>
    </row>
    <row r="174" spans="1:7" s="223" customFormat="1">
      <c r="A174" s="222"/>
      <c r="C174" s="224"/>
      <c r="D174" s="274"/>
      <c r="E174" s="274"/>
      <c r="F174" s="224"/>
      <c r="G174" s="224"/>
    </row>
    <row r="175" spans="1:7" s="223" customFormat="1">
      <c r="A175" s="222"/>
      <c r="C175" s="224"/>
      <c r="D175" s="274"/>
      <c r="E175" s="274"/>
      <c r="F175" s="224"/>
      <c r="G175" s="224"/>
    </row>
    <row r="176" spans="1:7" s="223" customFormat="1">
      <c r="A176" s="222"/>
      <c r="C176" s="224"/>
      <c r="D176" s="274"/>
      <c r="E176" s="274"/>
      <c r="F176" s="224"/>
      <c r="G176" s="224"/>
    </row>
    <row r="177" spans="1:7" s="223" customFormat="1">
      <c r="A177" s="222"/>
      <c r="C177" s="224"/>
      <c r="D177" s="274"/>
      <c r="E177" s="274"/>
      <c r="F177" s="224"/>
      <c r="G177" s="224"/>
    </row>
    <row r="178" spans="1:7" s="223" customFormat="1">
      <c r="A178" s="222"/>
      <c r="C178" s="224"/>
      <c r="D178" s="274"/>
      <c r="E178" s="274"/>
      <c r="F178" s="224"/>
      <c r="G178" s="224"/>
    </row>
    <row r="179" spans="1:7" s="223" customFormat="1">
      <c r="A179" s="222"/>
      <c r="C179" s="224"/>
      <c r="D179" s="274"/>
      <c r="E179" s="274"/>
      <c r="F179" s="224"/>
      <c r="G179" s="224"/>
    </row>
    <row r="180" spans="1:7" s="223" customFormat="1">
      <c r="A180" s="222"/>
      <c r="C180" s="224"/>
      <c r="D180" s="274"/>
      <c r="E180" s="274"/>
      <c r="F180" s="224"/>
      <c r="G180" s="224"/>
    </row>
    <row r="181" spans="1:7" s="223" customFormat="1">
      <c r="A181" s="222"/>
      <c r="C181" s="224"/>
      <c r="D181" s="274"/>
      <c r="E181" s="274"/>
      <c r="F181" s="224"/>
      <c r="G181" s="224"/>
    </row>
    <row r="182" spans="1:7" s="223" customFormat="1">
      <c r="A182" s="222"/>
      <c r="C182" s="224"/>
      <c r="D182" s="274"/>
      <c r="E182" s="274"/>
      <c r="F182" s="224"/>
      <c r="G182" s="224"/>
    </row>
    <row r="183" spans="1:7" s="223" customFormat="1">
      <c r="A183" s="222"/>
      <c r="C183" s="224"/>
      <c r="D183" s="274"/>
      <c r="E183" s="274"/>
      <c r="F183" s="224"/>
      <c r="G183" s="224"/>
    </row>
    <row r="184" spans="1:7" s="223" customFormat="1">
      <c r="A184" s="222"/>
      <c r="C184" s="224"/>
      <c r="D184" s="274"/>
      <c r="E184" s="274"/>
      <c r="F184" s="224"/>
      <c r="G184" s="224"/>
    </row>
    <row r="185" spans="1:7" s="223" customFormat="1">
      <c r="A185" s="222"/>
      <c r="C185" s="224"/>
      <c r="D185" s="274"/>
      <c r="E185" s="274"/>
      <c r="F185" s="224"/>
      <c r="G185" s="224"/>
    </row>
    <row r="186" spans="1:7" s="223" customFormat="1">
      <c r="A186" s="222"/>
      <c r="C186" s="224"/>
      <c r="D186" s="274"/>
      <c r="E186" s="274"/>
      <c r="F186" s="224"/>
      <c r="G186" s="224"/>
    </row>
    <row r="187" spans="1:7" s="223" customFormat="1">
      <c r="A187" s="222"/>
      <c r="C187" s="224"/>
      <c r="D187" s="274"/>
      <c r="E187" s="274"/>
      <c r="F187" s="224"/>
      <c r="G187" s="224"/>
    </row>
    <row r="188" spans="1:7" s="223" customFormat="1">
      <c r="A188" s="222"/>
      <c r="C188" s="224"/>
      <c r="D188" s="274"/>
      <c r="E188" s="274"/>
      <c r="F188" s="224"/>
      <c r="G188" s="224"/>
    </row>
    <row r="189" spans="1:7" s="223" customFormat="1">
      <c r="A189" s="222"/>
      <c r="C189" s="224"/>
      <c r="D189" s="274"/>
      <c r="E189" s="274"/>
      <c r="F189" s="224"/>
      <c r="G189" s="224"/>
    </row>
    <row r="190" spans="1:7" s="223" customFormat="1">
      <c r="A190" s="222"/>
      <c r="C190" s="224"/>
      <c r="D190" s="274"/>
      <c r="E190" s="274"/>
      <c r="F190" s="224"/>
      <c r="G190" s="224"/>
    </row>
    <row r="191" spans="1:7" s="223" customFormat="1">
      <c r="A191" s="222"/>
      <c r="C191" s="224"/>
      <c r="D191" s="274"/>
      <c r="E191" s="274"/>
      <c r="F191" s="224"/>
      <c r="G191" s="224"/>
    </row>
    <row r="192" spans="1:7" s="223" customFormat="1">
      <c r="A192" s="222"/>
      <c r="C192" s="224"/>
      <c r="D192" s="274"/>
      <c r="E192" s="274"/>
      <c r="F192" s="224"/>
      <c r="G192" s="224"/>
    </row>
    <row r="193" spans="1:7" s="223" customFormat="1">
      <c r="A193" s="222"/>
      <c r="C193" s="224"/>
      <c r="D193" s="274"/>
      <c r="E193" s="274"/>
      <c r="F193" s="224"/>
      <c r="G193" s="224"/>
    </row>
    <row r="194" spans="1:7" s="223" customFormat="1">
      <c r="A194" s="222"/>
      <c r="C194" s="224"/>
      <c r="D194" s="274"/>
      <c r="E194" s="274"/>
      <c r="F194" s="224"/>
      <c r="G194" s="224"/>
    </row>
    <row r="195" spans="1:7" s="223" customFormat="1">
      <c r="A195" s="222"/>
      <c r="C195" s="224"/>
      <c r="D195" s="274"/>
      <c r="E195" s="274"/>
      <c r="F195" s="224"/>
      <c r="G195" s="224"/>
    </row>
    <row r="196" spans="1:7" s="223" customFormat="1">
      <c r="A196" s="222"/>
      <c r="C196" s="224"/>
      <c r="D196" s="274"/>
      <c r="E196" s="274"/>
      <c r="F196" s="224"/>
      <c r="G196" s="224"/>
    </row>
    <row r="197" spans="1:7" s="223" customFormat="1">
      <c r="A197" s="222"/>
      <c r="C197" s="224"/>
      <c r="D197" s="274"/>
      <c r="E197" s="274"/>
      <c r="F197" s="224"/>
      <c r="G197" s="224"/>
    </row>
    <row r="198" spans="1:7" s="223" customFormat="1">
      <c r="A198" s="222"/>
      <c r="C198" s="224"/>
      <c r="D198" s="274"/>
      <c r="E198" s="274"/>
      <c r="F198" s="224"/>
      <c r="G198" s="224"/>
    </row>
    <row r="199" spans="1:7" s="223" customFormat="1">
      <c r="A199" s="222"/>
      <c r="C199" s="224"/>
      <c r="D199" s="274"/>
      <c r="E199" s="274"/>
      <c r="F199" s="224"/>
      <c r="G199" s="224"/>
    </row>
    <row r="200" spans="1:7" s="223" customFormat="1">
      <c r="A200" s="222"/>
      <c r="C200" s="224"/>
      <c r="D200" s="274"/>
      <c r="E200" s="274"/>
      <c r="F200" s="224"/>
      <c r="G200" s="224"/>
    </row>
    <row r="201" spans="1:7" s="223" customFormat="1">
      <c r="A201" s="222"/>
      <c r="C201" s="224"/>
      <c r="D201" s="274"/>
      <c r="E201" s="274"/>
      <c r="F201" s="224"/>
      <c r="G201" s="224"/>
    </row>
    <row r="202" spans="1:7" s="223" customFormat="1">
      <c r="A202" s="222"/>
      <c r="C202" s="224"/>
      <c r="D202" s="274"/>
      <c r="E202" s="274"/>
      <c r="F202" s="224"/>
      <c r="G202" s="224"/>
    </row>
    <row r="203" spans="1:7" s="223" customFormat="1">
      <c r="A203" s="222"/>
      <c r="C203" s="224"/>
      <c r="D203" s="274"/>
      <c r="E203" s="274"/>
      <c r="F203" s="224"/>
      <c r="G203" s="224"/>
    </row>
    <row r="204" spans="1:7" s="223" customFormat="1">
      <c r="A204" s="222"/>
      <c r="C204" s="224"/>
      <c r="D204" s="274"/>
      <c r="E204" s="274"/>
      <c r="F204" s="224"/>
      <c r="G204" s="224"/>
    </row>
    <row r="205" spans="1:7" s="223" customFormat="1">
      <c r="A205" s="222"/>
      <c r="C205" s="224"/>
      <c r="D205" s="274"/>
      <c r="E205" s="274"/>
      <c r="F205" s="224"/>
      <c r="G205" s="224"/>
    </row>
    <row r="206" spans="1:7" s="223" customFormat="1">
      <c r="A206" s="222"/>
      <c r="C206" s="224"/>
      <c r="D206" s="274"/>
      <c r="E206" s="274"/>
      <c r="F206" s="224"/>
      <c r="G206" s="224"/>
    </row>
    <row r="207" spans="1:7" s="223" customFormat="1">
      <c r="A207" s="222"/>
      <c r="C207" s="224"/>
      <c r="D207" s="274"/>
      <c r="E207" s="274"/>
      <c r="F207" s="224"/>
      <c r="G207" s="224"/>
    </row>
    <row r="208" spans="1:7" s="223" customFormat="1">
      <c r="A208" s="222"/>
      <c r="C208" s="224"/>
      <c r="D208" s="274"/>
      <c r="E208" s="274"/>
      <c r="F208" s="224"/>
      <c r="G208" s="224"/>
    </row>
    <row r="209" spans="1:7" s="223" customFormat="1">
      <c r="A209" s="222"/>
      <c r="C209" s="224"/>
      <c r="D209" s="274"/>
      <c r="E209" s="274"/>
      <c r="F209" s="224"/>
      <c r="G209" s="224"/>
    </row>
    <row r="210" spans="1:7" s="223" customFormat="1">
      <c r="A210" s="222"/>
      <c r="C210" s="224"/>
      <c r="D210" s="274"/>
      <c r="E210" s="274"/>
      <c r="F210" s="224"/>
      <c r="G210" s="224"/>
    </row>
    <row r="211" spans="1:7" s="223" customFormat="1">
      <c r="A211" s="222"/>
      <c r="C211" s="224"/>
      <c r="D211" s="274"/>
      <c r="E211" s="274"/>
      <c r="F211" s="224"/>
      <c r="G211" s="224"/>
    </row>
    <row r="212" spans="1:7" s="223" customFormat="1">
      <c r="A212" s="222"/>
      <c r="C212" s="224"/>
      <c r="D212" s="274"/>
      <c r="E212" s="274"/>
      <c r="F212" s="224"/>
      <c r="G212" s="224"/>
    </row>
    <row r="213" spans="1:7" s="223" customFormat="1">
      <c r="A213" s="222"/>
      <c r="C213" s="224"/>
      <c r="D213" s="274"/>
      <c r="E213" s="274"/>
      <c r="F213" s="224"/>
      <c r="G213" s="224"/>
    </row>
    <row r="214" spans="1:7" s="223" customFormat="1">
      <c r="A214" s="222"/>
      <c r="C214" s="224"/>
      <c r="D214" s="274"/>
      <c r="E214" s="274"/>
      <c r="F214" s="224"/>
      <c r="G214" s="224"/>
    </row>
    <row r="215" spans="1:7" s="223" customFormat="1">
      <c r="A215" s="222"/>
      <c r="C215" s="224"/>
      <c r="D215" s="274"/>
      <c r="E215" s="274"/>
      <c r="F215" s="224"/>
      <c r="G215" s="224"/>
    </row>
    <row r="216" spans="1:7" s="223" customFormat="1">
      <c r="A216" s="222"/>
      <c r="C216" s="224"/>
      <c r="D216" s="274"/>
      <c r="E216" s="274"/>
      <c r="F216" s="224"/>
      <c r="G216" s="224"/>
    </row>
    <row r="217" spans="1:7" s="223" customFormat="1">
      <c r="A217" s="222"/>
      <c r="C217" s="224"/>
      <c r="D217" s="274"/>
      <c r="E217" s="274"/>
      <c r="F217" s="224"/>
      <c r="G217" s="224"/>
    </row>
    <row r="218" spans="1:7" s="223" customFormat="1">
      <c r="A218" s="222"/>
      <c r="C218" s="224"/>
      <c r="D218" s="274"/>
      <c r="E218" s="274"/>
      <c r="F218" s="224"/>
      <c r="G218" s="224"/>
    </row>
    <row r="219" spans="1:7" s="223" customFormat="1">
      <c r="A219" s="222"/>
      <c r="C219" s="224"/>
      <c r="D219" s="274"/>
      <c r="E219" s="274"/>
      <c r="F219" s="224"/>
      <c r="G219" s="224"/>
    </row>
    <row r="220" spans="1:7" s="223" customFormat="1">
      <c r="A220" s="222"/>
      <c r="C220" s="224"/>
      <c r="D220" s="274"/>
      <c r="E220" s="274"/>
      <c r="F220" s="224"/>
      <c r="G220" s="224"/>
    </row>
    <row r="221" spans="1:7" s="223" customFormat="1">
      <c r="A221" s="222"/>
      <c r="C221" s="224"/>
      <c r="D221" s="274"/>
      <c r="E221" s="274"/>
      <c r="F221" s="224"/>
      <c r="G221" s="224"/>
    </row>
    <row r="222" spans="1:7" s="223" customFormat="1">
      <c r="A222" s="222"/>
      <c r="C222" s="224"/>
      <c r="D222" s="274"/>
      <c r="E222" s="274"/>
      <c r="F222" s="224"/>
      <c r="G222" s="224"/>
    </row>
    <row r="223" spans="1:7" s="223" customFormat="1">
      <c r="A223" s="222"/>
      <c r="C223" s="224"/>
      <c r="D223" s="274"/>
      <c r="E223" s="274"/>
      <c r="F223" s="224"/>
      <c r="G223" s="224"/>
    </row>
    <row r="224" spans="1:7" s="223" customFormat="1">
      <c r="A224" s="222"/>
      <c r="C224" s="224"/>
      <c r="D224" s="274"/>
      <c r="E224" s="274"/>
      <c r="F224" s="224"/>
      <c r="G224" s="224"/>
    </row>
    <row r="225" spans="1:7" s="223" customFormat="1">
      <c r="A225" s="222"/>
      <c r="C225" s="224"/>
      <c r="D225" s="274"/>
      <c r="E225" s="274"/>
      <c r="F225" s="224"/>
      <c r="G225" s="224"/>
    </row>
    <row r="226" spans="1:7" s="223" customFormat="1">
      <c r="A226" s="222"/>
      <c r="C226" s="224"/>
      <c r="D226" s="274"/>
      <c r="E226" s="274"/>
      <c r="F226" s="224"/>
      <c r="G226" s="224"/>
    </row>
    <row r="227" spans="1:7" s="223" customFormat="1">
      <c r="A227" s="222"/>
      <c r="C227" s="224"/>
      <c r="D227" s="274"/>
      <c r="E227" s="274"/>
      <c r="F227" s="224"/>
      <c r="G227" s="224"/>
    </row>
    <row r="228" spans="1:7" s="223" customFormat="1">
      <c r="A228" s="222"/>
      <c r="C228" s="224"/>
      <c r="D228" s="274"/>
      <c r="E228" s="274"/>
      <c r="F228" s="224"/>
      <c r="G228" s="224"/>
    </row>
    <row r="229" spans="1:7" s="223" customFormat="1">
      <c r="A229" s="222"/>
      <c r="C229" s="224"/>
      <c r="D229" s="274"/>
      <c r="E229" s="274"/>
      <c r="F229" s="224"/>
      <c r="G229" s="224"/>
    </row>
    <row r="230" spans="1:7" s="223" customFormat="1">
      <c r="A230" s="222"/>
      <c r="C230" s="224"/>
      <c r="D230" s="274"/>
      <c r="E230" s="274"/>
      <c r="F230" s="224"/>
      <c r="G230" s="224"/>
    </row>
    <row r="231" spans="1:7" s="223" customFormat="1">
      <c r="A231" s="222"/>
      <c r="C231" s="224"/>
      <c r="D231" s="274"/>
      <c r="E231" s="274"/>
      <c r="F231" s="224"/>
      <c r="G231" s="224"/>
    </row>
    <row r="232" spans="1:7" s="223" customFormat="1">
      <c r="A232" s="222"/>
      <c r="C232" s="224"/>
      <c r="D232" s="274"/>
      <c r="E232" s="274"/>
      <c r="F232" s="224"/>
      <c r="G232" s="224"/>
    </row>
    <row r="233" spans="1:7" s="223" customFormat="1">
      <c r="A233" s="222"/>
      <c r="C233" s="224"/>
      <c r="D233" s="274"/>
      <c r="E233" s="274"/>
      <c r="F233" s="224"/>
      <c r="G233" s="224"/>
    </row>
    <row r="234" spans="1:7" s="223" customFormat="1">
      <c r="A234" s="222"/>
      <c r="C234" s="224"/>
      <c r="D234" s="274"/>
      <c r="E234" s="274"/>
      <c r="F234" s="224"/>
      <c r="G234" s="224"/>
    </row>
    <row r="235" spans="1:7" s="223" customFormat="1">
      <c r="A235" s="222"/>
      <c r="C235" s="224"/>
      <c r="D235" s="274"/>
      <c r="E235" s="274"/>
      <c r="F235" s="224"/>
      <c r="G235" s="224"/>
    </row>
    <row r="236" spans="1:7" s="223" customFormat="1">
      <c r="A236" s="222"/>
      <c r="C236" s="224"/>
      <c r="D236" s="274"/>
      <c r="E236" s="274"/>
      <c r="F236" s="224"/>
      <c r="G236" s="224"/>
    </row>
    <row r="237" spans="1:7" s="223" customFormat="1">
      <c r="A237" s="222"/>
      <c r="C237" s="224"/>
      <c r="D237" s="274"/>
      <c r="E237" s="274"/>
      <c r="F237" s="224"/>
      <c r="G237" s="224"/>
    </row>
    <row r="238" spans="1:7" s="223" customFormat="1">
      <c r="A238" s="222"/>
      <c r="C238" s="224"/>
      <c r="D238" s="274"/>
      <c r="E238" s="274"/>
      <c r="F238" s="224"/>
      <c r="G238" s="224"/>
    </row>
    <row r="239" spans="1:7" s="223" customFormat="1">
      <c r="A239" s="222"/>
      <c r="C239" s="224"/>
      <c r="D239" s="274"/>
      <c r="E239" s="274"/>
      <c r="F239" s="224"/>
      <c r="G239" s="224"/>
    </row>
    <row r="240" spans="1:7" s="223" customFormat="1">
      <c r="A240" s="222"/>
      <c r="C240" s="224"/>
      <c r="D240" s="274"/>
      <c r="E240" s="274"/>
      <c r="F240" s="224"/>
      <c r="G240" s="224"/>
    </row>
    <row r="241" spans="1:7" s="223" customFormat="1">
      <c r="A241" s="222"/>
      <c r="C241" s="224"/>
      <c r="D241" s="274"/>
      <c r="E241" s="274"/>
      <c r="F241" s="224"/>
      <c r="G241" s="224"/>
    </row>
    <row r="242" spans="1:7" s="223" customFormat="1">
      <c r="A242" s="222"/>
      <c r="C242" s="224"/>
      <c r="D242" s="274"/>
      <c r="E242" s="274"/>
      <c r="F242" s="224"/>
      <c r="G242" s="224"/>
    </row>
    <row r="243" spans="1:7" s="223" customFormat="1">
      <c r="A243" s="222"/>
      <c r="C243" s="224"/>
      <c r="D243" s="274"/>
      <c r="E243" s="274"/>
      <c r="F243" s="224"/>
      <c r="G243" s="224"/>
    </row>
    <row r="244" spans="1:7" s="223" customFormat="1">
      <c r="A244" s="222"/>
      <c r="C244" s="224"/>
      <c r="D244" s="274"/>
      <c r="E244" s="274"/>
      <c r="F244" s="224"/>
      <c r="G244" s="224"/>
    </row>
    <row r="245" spans="1:7" s="223" customFormat="1">
      <c r="A245" s="222"/>
      <c r="C245" s="224"/>
      <c r="D245" s="274"/>
      <c r="E245" s="274"/>
      <c r="F245" s="224"/>
      <c r="G245" s="224"/>
    </row>
    <row r="246" spans="1:7" s="223" customFormat="1">
      <c r="A246" s="222"/>
      <c r="C246" s="224"/>
      <c r="D246" s="274"/>
      <c r="E246" s="274"/>
      <c r="F246" s="224"/>
      <c r="G246" s="224"/>
    </row>
    <row r="247" spans="1:7" s="223" customFormat="1">
      <c r="A247" s="222"/>
      <c r="C247" s="224"/>
      <c r="D247" s="274"/>
      <c r="E247" s="274"/>
      <c r="F247" s="224"/>
      <c r="G247" s="224"/>
    </row>
    <row r="248" spans="1:7" s="223" customFormat="1">
      <c r="A248" s="222"/>
      <c r="C248" s="224"/>
      <c r="D248" s="274"/>
      <c r="E248" s="274"/>
      <c r="F248" s="224"/>
      <c r="G248" s="224"/>
    </row>
    <row r="249" spans="1:7" s="223" customFormat="1">
      <c r="A249" s="222"/>
      <c r="C249" s="224"/>
      <c r="D249" s="274"/>
      <c r="E249" s="274"/>
      <c r="F249" s="224"/>
      <c r="G249" s="224"/>
    </row>
    <row r="250" spans="1:7" s="223" customFormat="1">
      <c r="A250" s="222"/>
      <c r="C250" s="224"/>
      <c r="D250" s="274"/>
      <c r="E250" s="274"/>
      <c r="F250" s="224"/>
      <c r="G250" s="224"/>
    </row>
    <row r="251" spans="1:7" s="223" customFormat="1">
      <c r="A251" s="222"/>
      <c r="C251" s="224"/>
      <c r="D251" s="274"/>
      <c r="E251" s="274"/>
      <c r="F251" s="224"/>
      <c r="G251" s="224"/>
    </row>
    <row r="252" spans="1:7" s="223" customFormat="1">
      <c r="A252" s="222"/>
      <c r="C252" s="224"/>
      <c r="D252" s="274"/>
      <c r="E252" s="274"/>
      <c r="F252" s="224"/>
      <c r="G252" s="224"/>
    </row>
    <row r="253" spans="1:7" s="223" customFormat="1">
      <c r="A253" s="222"/>
      <c r="C253" s="224"/>
      <c r="D253" s="274"/>
      <c r="E253" s="274"/>
      <c r="F253" s="224"/>
      <c r="G253" s="224"/>
    </row>
    <row r="254" spans="1:7" s="223" customFormat="1">
      <c r="A254" s="222"/>
      <c r="C254" s="224"/>
      <c r="D254" s="274"/>
      <c r="E254" s="274"/>
      <c r="F254" s="224"/>
      <c r="G254" s="224"/>
    </row>
    <row r="255" spans="1:7" s="223" customFormat="1">
      <c r="A255" s="222"/>
      <c r="C255" s="224"/>
      <c r="D255" s="274"/>
      <c r="E255" s="274"/>
      <c r="F255" s="224"/>
      <c r="G255" s="224"/>
    </row>
    <row r="256" spans="1:7" s="223" customFormat="1">
      <c r="A256" s="222"/>
      <c r="C256" s="224"/>
      <c r="D256" s="274"/>
      <c r="E256" s="274"/>
      <c r="F256" s="224"/>
      <c r="G256" s="224"/>
    </row>
    <row r="257" spans="1:7" s="223" customFormat="1">
      <c r="A257" s="222"/>
      <c r="C257" s="224"/>
      <c r="D257" s="274"/>
      <c r="E257" s="274"/>
      <c r="F257" s="224"/>
      <c r="G257" s="224"/>
    </row>
    <row r="258" spans="1:7" s="223" customFormat="1">
      <c r="A258" s="222"/>
      <c r="C258" s="224"/>
      <c r="D258" s="274"/>
      <c r="E258" s="274"/>
      <c r="F258" s="224"/>
      <c r="G258" s="224"/>
    </row>
    <row r="259" spans="1:7" s="223" customFormat="1">
      <c r="A259" s="222"/>
      <c r="C259" s="224"/>
      <c r="D259" s="274"/>
      <c r="E259" s="274"/>
      <c r="F259" s="224"/>
      <c r="G259" s="224"/>
    </row>
    <row r="260" spans="1:7" s="223" customFormat="1">
      <c r="A260" s="222"/>
      <c r="C260" s="224"/>
      <c r="D260" s="274"/>
      <c r="E260" s="274"/>
      <c r="F260" s="224"/>
      <c r="G260" s="224"/>
    </row>
    <row r="261" spans="1:7" s="223" customFormat="1">
      <c r="A261" s="222"/>
      <c r="C261" s="224"/>
      <c r="D261" s="274"/>
      <c r="E261" s="274"/>
      <c r="F261" s="224"/>
      <c r="G261" s="224"/>
    </row>
    <row r="262" spans="1:7" s="223" customFormat="1">
      <c r="A262" s="222"/>
      <c r="C262" s="224"/>
      <c r="D262" s="274"/>
      <c r="E262" s="274"/>
      <c r="F262" s="224"/>
      <c r="G262" s="224"/>
    </row>
    <row r="263" spans="1:7" s="223" customFormat="1">
      <c r="A263" s="222"/>
      <c r="C263" s="224"/>
      <c r="D263" s="274"/>
      <c r="E263" s="274"/>
      <c r="F263" s="224"/>
      <c r="G263" s="224"/>
    </row>
    <row r="264" spans="1:7" s="223" customFormat="1">
      <c r="A264" s="222"/>
      <c r="C264" s="224"/>
      <c r="D264" s="274"/>
      <c r="E264" s="274"/>
      <c r="F264" s="224"/>
      <c r="G264" s="224"/>
    </row>
    <row r="265" spans="1:7" s="223" customFormat="1">
      <c r="A265" s="222"/>
      <c r="C265" s="224"/>
      <c r="D265" s="274"/>
      <c r="E265" s="274"/>
      <c r="F265" s="224"/>
      <c r="G265" s="224"/>
    </row>
    <row r="266" spans="1:7" s="223" customFormat="1">
      <c r="A266" s="222"/>
      <c r="C266" s="224"/>
      <c r="D266" s="274"/>
      <c r="E266" s="274"/>
      <c r="F266" s="224"/>
      <c r="G266" s="224"/>
    </row>
    <row r="267" spans="1:7" s="223" customFormat="1">
      <c r="A267" s="222"/>
      <c r="C267" s="224"/>
      <c r="D267" s="274"/>
      <c r="E267" s="274"/>
      <c r="F267" s="224"/>
      <c r="G267" s="224"/>
    </row>
    <row r="268" spans="1:7" s="223" customFormat="1">
      <c r="A268" s="222"/>
      <c r="C268" s="224"/>
      <c r="D268" s="274"/>
      <c r="E268" s="274"/>
      <c r="F268" s="224"/>
      <c r="G268" s="224"/>
    </row>
    <row r="269" spans="1:7" s="223" customFormat="1">
      <c r="A269" s="222"/>
      <c r="C269" s="224"/>
      <c r="D269" s="274"/>
      <c r="E269" s="274"/>
      <c r="F269" s="224"/>
      <c r="G269" s="224"/>
    </row>
    <row r="270" spans="1:7" s="223" customFormat="1">
      <c r="A270" s="222"/>
      <c r="C270" s="224"/>
      <c r="D270" s="274"/>
      <c r="E270" s="274"/>
      <c r="F270" s="224"/>
      <c r="G270" s="224"/>
    </row>
    <row r="271" spans="1:7" s="223" customFormat="1">
      <c r="A271" s="222"/>
      <c r="C271" s="224"/>
      <c r="D271" s="274"/>
      <c r="E271" s="274"/>
      <c r="F271" s="224"/>
      <c r="G271" s="224"/>
    </row>
    <row r="272" spans="1:7" s="223" customFormat="1">
      <c r="A272" s="222"/>
      <c r="C272" s="224"/>
      <c r="D272" s="274"/>
      <c r="E272" s="274"/>
      <c r="F272" s="224"/>
      <c r="G272" s="224"/>
    </row>
    <row r="273" spans="1:7" s="223" customFormat="1">
      <c r="A273" s="222"/>
      <c r="C273" s="224"/>
      <c r="D273" s="274"/>
      <c r="E273" s="274"/>
      <c r="F273" s="224"/>
      <c r="G273" s="224"/>
    </row>
    <row r="274" spans="1:7" s="223" customFormat="1">
      <c r="A274" s="222"/>
      <c r="C274" s="224"/>
      <c r="D274" s="274"/>
      <c r="E274" s="274"/>
      <c r="F274" s="224"/>
      <c r="G274" s="224"/>
    </row>
    <row r="275" spans="1:7" s="223" customFormat="1">
      <c r="A275" s="222"/>
      <c r="C275" s="224"/>
      <c r="D275" s="274"/>
      <c r="E275" s="274"/>
      <c r="F275" s="224"/>
      <c r="G275" s="224"/>
    </row>
    <row r="276" spans="1:7" s="223" customFormat="1">
      <c r="A276" s="222"/>
      <c r="C276" s="224"/>
      <c r="D276" s="274"/>
      <c r="E276" s="274"/>
      <c r="F276" s="224"/>
      <c r="G276" s="224"/>
    </row>
    <row r="277" spans="1:7" s="223" customFormat="1">
      <c r="A277" s="222"/>
      <c r="C277" s="224"/>
      <c r="D277" s="274"/>
      <c r="E277" s="274"/>
      <c r="F277" s="224"/>
      <c r="G277" s="224"/>
    </row>
    <row r="278" spans="1:7" s="223" customFormat="1">
      <c r="A278" s="222"/>
      <c r="C278" s="224"/>
      <c r="D278" s="274"/>
      <c r="E278" s="274"/>
      <c r="F278" s="224"/>
      <c r="G278" s="224"/>
    </row>
    <row r="279" spans="1:7" s="223" customFormat="1">
      <c r="A279" s="222"/>
      <c r="C279" s="224"/>
      <c r="D279" s="274"/>
      <c r="E279" s="274"/>
      <c r="F279" s="224"/>
      <c r="G279" s="224"/>
    </row>
    <row r="280" spans="1:7" s="223" customFormat="1">
      <c r="A280" s="222"/>
      <c r="C280" s="224"/>
      <c r="D280" s="274"/>
      <c r="E280" s="274"/>
      <c r="F280" s="224"/>
      <c r="G280" s="224"/>
    </row>
    <row r="281" spans="1:7" s="223" customFormat="1">
      <c r="A281" s="222"/>
      <c r="C281" s="224"/>
      <c r="D281" s="274"/>
      <c r="E281" s="274"/>
      <c r="F281" s="224"/>
      <c r="G281" s="224"/>
    </row>
    <row r="282" spans="1:7" s="223" customFormat="1">
      <c r="A282" s="222"/>
      <c r="C282" s="224"/>
      <c r="D282" s="274"/>
      <c r="E282" s="274"/>
      <c r="F282" s="224"/>
      <c r="G282" s="224"/>
    </row>
    <row r="283" spans="1:7" s="223" customFormat="1">
      <c r="A283" s="222"/>
      <c r="C283" s="224"/>
      <c r="D283" s="274"/>
      <c r="E283" s="274"/>
      <c r="F283" s="224"/>
      <c r="G283" s="224"/>
    </row>
    <row r="284" spans="1:7" s="223" customFormat="1">
      <c r="A284" s="222"/>
      <c r="C284" s="224"/>
      <c r="D284" s="274"/>
      <c r="E284" s="274"/>
      <c r="F284" s="224"/>
      <c r="G284" s="224"/>
    </row>
    <row r="285" spans="1:7" s="223" customFormat="1">
      <c r="A285" s="222"/>
      <c r="C285" s="224"/>
      <c r="D285" s="274"/>
      <c r="E285" s="274"/>
      <c r="F285" s="224"/>
      <c r="G285" s="224"/>
    </row>
    <row r="286" spans="1:7" s="223" customFormat="1">
      <c r="A286" s="222"/>
      <c r="C286" s="224"/>
      <c r="D286" s="274"/>
      <c r="E286" s="274"/>
      <c r="F286" s="224"/>
      <c r="G286" s="224"/>
    </row>
    <row r="287" spans="1:7" s="223" customFormat="1">
      <c r="A287" s="222"/>
      <c r="C287" s="224"/>
      <c r="D287" s="274"/>
      <c r="E287" s="274"/>
      <c r="F287" s="224"/>
      <c r="G287" s="224"/>
    </row>
    <row r="288" spans="1:7" s="223" customFormat="1">
      <c r="A288" s="222"/>
      <c r="C288" s="224"/>
      <c r="D288" s="274"/>
      <c r="E288" s="274"/>
      <c r="F288" s="224"/>
      <c r="G288" s="224"/>
    </row>
    <row r="289" spans="1:7" s="223" customFormat="1">
      <c r="A289" s="222"/>
      <c r="C289" s="224"/>
      <c r="D289" s="274"/>
      <c r="E289" s="274"/>
      <c r="F289" s="224"/>
      <c r="G289" s="224"/>
    </row>
    <row r="290" spans="1:7" s="223" customFormat="1">
      <c r="A290" s="222"/>
      <c r="C290" s="224"/>
      <c r="D290" s="274"/>
      <c r="E290" s="274"/>
      <c r="F290" s="224"/>
      <c r="G290" s="224"/>
    </row>
    <row r="291" spans="1:7" s="223" customFormat="1">
      <c r="A291" s="222"/>
      <c r="C291" s="224"/>
      <c r="D291" s="274"/>
      <c r="E291" s="274"/>
      <c r="F291" s="224"/>
      <c r="G291" s="224"/>
    </row>
    <row r="292" spans="1:7" s="223" customFormat="1">
      <c r="A292" s="222"/>
      <c r="C292" s="224"/>
      <c r="D292" s="274"/>
      <c r="E292" s="274"/>
      <c r="F292" s="224"/>
      <c r="G292" s="224"/>
    </row>
    <row r="293" spans="1:7" s="223" customFormat="1">
      <c r="A293" s="222"/>
      <c r="C293" s="224"/>
      <c r="D293" s="274"/>
      <c r="E293" s="274"/>
      <c r="F293" s="224"/>
      <c r="G293" s="224"/>
    </row>
    <row r="294" spans="1:7" s="223" customFormat="1">
      <c r="A294" s="222"/>
      <c r="C294" s="224"/>
      <c r="D294" s="274"/>
      <c r="E294" s="274"/>
      <c r="F294" s="224"/>
      <c r="G294" s="224"/>
    </row>
    <row r="295" spans="1:7" s="223" customFormat="1">
      <c r="A295" s="222"/>
      <c r="C295" s="224"/>
      <c r="D295" s="274"/>
      <c r="E295" s="274"/>
      <c r="F295" s="224"/>
      <c r="G295" s="224"/>
    </row>
    <row r="296" spans="1:7" s="223" customFormat="1">
      <c r="A296" s="222"/>
      <c r="C296" s="224"/>
      <c r="D296" s="274"/>
      <c r="E296" s="274"/>
      <c r="F296" s="224"/>
      <c r="G296" s="224"/>
    </row>
    <row r="297" spans="1:7" s="223" customFormat="1">
      <c r="A297" s="222"/>
      <c r="C297" s="224"/>
      <c r="D297" s="274"/>
      <c r="E297" s="274"/>
      <c r="F297" s="224"/>
      <c r="G297" s="224"/>
    </row>
    <row r="298" spans="1:7" s="223" customFormat="1">
      <c r="A298" s="222"/>
      <c r="C298" s="224"/>
      <c r="D298" s="274"/>
      <c r="E298" s="274"/>
      <c r="F298" s="224"/>
      <c r="G298" s="224"/>
    </row>
    <row r="299" spans="1:7" s="223" customFormat="1">
      <c r="A299" s="222"/>
      <c r="C299" s="224"/>
      <c r="D299" s="274"/>
      <c r="E299" s="274"/>
      <c r="F299" s="224"/>
      <c r="G299" s="224"/>
    </row>
    <row r="300" spans="1:7" s="223" customFormat="1">
      <c r="A300" s="222"/>
      <c r="C300" s="224"/>
      <c r="D300" s="274"/>
      <c r="E300" s="274"/>
      <c r="F300" s="224"/>
      <c r="G300" s="224"/>
    </row>
    <row r="301" spans="1:7" s="223" customFormat="1">
      <c r="A301" s="222"/>
      <c r="C301" s="224"/>
      <c r="D301" s="274"/>
      <c r="E301" s="274"/>
      <c r="F301" s="224"/>
      <c r="G301" s="224"/>
    </row>
    <row r="302" spans="1:7" s="223" customFormat="1">
      <c r="A302" s="222"/>
      <c r="C302" s="224"/>
      <c r="D302" s="274"/>
      <c r="E302" s="274"/>
      <c r="F302" s="224"/>
      <c r="G302" s="224"/>
    </row>
    <row r="303" spans="1:7" s="223" customFormat="1">
      <c r="A303" s="222"/>
      <c r="C303" s="224"/>
      <c r="D303" s="274"/>
      <c r="E303" s="274"/>
      <c r="F303" s="224"/>
      <c r="G303" s="224"/>
    </row>
    <row r="304" spans="1:7" s="223" customFormat="1">
      <c r="A304" s="222"/>
      <c r="C304" s="224"/>
      <c r="D304" s="274"/>
      <c r="E304" s="274"/>
      <c r="F304" s="224"/>
      <c r="G304" s="224"/>
    </row>
    <row r="305" spans="1:7" s="223" customFormat="1">
      <c r="A305" s="222"/>
      <c r="C305" s="224"/>
      <c r="D305" s="274"/>
      <c r="E305" s="274"/>
      <c r="F305" s="224"/>
      <c r="G305" s="224"/>
    </row>
    <row r="306" spans="1:7" s="223" customFormat="1">
      <c r="A306" s="222"/>
      <c r="C306" s="224"/>
      <c r="D306" s="274"/>
      <c r="E306" s="274"/>
      <c r="F306" s="224"/>
      <c r="G306" s="224"/>
    </row>
    <row r="307" spans="1:7" s="223" customFormat="1">
      <c r="A307" s="222"/>
      <c r="C307" s="224"/>
      <c r="D307" s="274"/>
      <c r="E307" s="274"/>
      <c r="F307" s="224"/>
      <c r="G307" s="224"/>
    </row>
    <row r="308" spans="1:7" s="223" customFormat="1">
      <c r="A308" s="222"/>
      <c r="C308" s="224"/>
      <c r="D308" s="274"/>
      <c r="E308" s="274"/>
      <c r="F308" s="224"/>
      <c r="G308" s="224"/>
    </row>
    <row r="309" spans="1:7" s="223" customFormat="1">
      <c r="A309" s="222"/>
      <c r="C309" s="224"/>
      <c r="D309" s="274"/>
      <c r="E309" s="274"/>
      <c r="F309" s="224"/>
      <c r="G309" s="224"/>
    </row>
    <row r="310" spans="1:7" s="223" customFormat="1">
      <c r="A310" s="222"/>
      <c r="C310" s="224"/>
      <c r="D310" s="274"/>
      <c r="E310" s="274"/>
      <c r="F310" s="224"/>
      <c r="G310" s="224"/>
    </row>
    <row r="311" spans="1:7" s="223" customFormat="1">
      <c r="A311" s="222"/>
      <c r="C311" s="224"/>
      <c r="D311" s="274"/>
      <c r="E311" s="274"/>
      <c r="F311" s="224"/>
      <c r="G311" s="224"/>
    </row>
    <row r="312" spans="1:7" s="223" customFormat="1">
      <c r="A312" s="222"/>
      <c r="C312" s="224"/>
      <c r="D312" s="274"/>
      <c r="E312" s="274"/>
      <c r="F312" s="224"/>
      <c r="G312" s="224"/>
    </row>
    <row r="313" spans="1:7" s="223" customFormat="1">
      <c r="A313" s="222"/>
      <c r="C313" s="224"/>
      <c r="D313" s="274"/>
      <c r="E313" s="274"/>
      <c r="F313" s="224"/>
      <c r="G313" s="224"/>
    </row>
    <row r="314" spans="1:7" s="223" customFormat="1">
      <c r="A314" s="222"/>
      <c r="C314" s="224"/>
      <c r="D314" s="274"/>
      <c r="E314" s="274"/>
      <c r="F314" s="224"/>
      <c r="G314" s="224"/>
    </row>
    <row r="315" spans="1:7" s="223" customFormat="1">
      <c r="A315" s="222"/>
      <c r="C315" s="224"/>
      <c r="D315" s="274"/>
      <c r="E315" s="274"/>
      <c r="F315" s="224"/>
      <c r="G315" s="224"/>
    </row>
    <row r="316" spans="1:7" s="223" customFormat="1">
      <c r="A316" s="222"/>
      <c r="C316" s="224"/>
      <c r="D316" s="274"/>
      <c r="E316" s="274"/>
      <c r="F316" s="224"/>
      <c r="G316" s="224"/>
    </row>
    <row r="317" spans="1:7" s="223" customFormat="1">
      <c r="A317" s="222"/>
      <c r="C317" s="224"/>
      <c r="D317" s="274"/>
      <c r="E317" s="274"/>
      <c r="F317" s="224"/>
      <c r="G317" s="224"/>
    </row>
    <row r="318" spans="1:7" s="223" customFormat="1">
      <c r="A318" s="222"/>
      <c r="C318" s="224"/>
      <c r="D318" s="274"/>
      <c r="E318" s="274"/>
      <c r="F318" s="224"/>
      <c r="G318" s="224"/>
    </row>
    <row r="319" spans="1:7" s="223" customFormat="1">
      <c r="A319" s="222"/>
      <c r="C319" s="224"/>
      <c r="D319" s="274"/>
      <c r="E319" s="274"/>
      <c r="F319" s="224"/>
      <c r="G319" s="224"/>
    </row>
    <row r="320" spans="1:7" s="223" customFormat="1">
      <c r="A320" s="222"/>
      <c r="C320" s="224"/>
      <c r="D320" s="274"/>
      <c r="E320" s="274"/>
      <c r="F320" s="224"/>
      <c r="G320" s="224"/>
    </row>
    <row r="321" spans="1:7" s="223" customFormat="1">
      <c r="A321" s="222"/>
      <c r="C321" s="224"/>
      <c r="D321" s="274"/>
      <c r="E321" s="274"/>
      <c r="F321" s="224"/>
      <c r="G321" s="224"/>
    </row>
    <row r="322" spans="1:7" s="223" customFormat="1">
      <c r="A322" s="222"/>
      <c r="C322" s="224"/>
      <c r="D322" s="274"/>
      <c r="E322" s="274"/>
      <c r="F322" s="224"/>
      <c r="G322" s="224"/>
    </row>
    <row r="323" spans="1:7" s="223" customFormat="1">
      <c r="A323" s="222"/>
      <c r="C323" s="224"/>
      <c r="D323" s="274"/>
      <c r="E323" s="274"/>
      <c r="F323" s="224"/>
      <c r="G323" s="224"/>
    </row>
    <row r="324" spans="1:7" s="223" customFormat="1">
      <c r="A324" s="222"/>
      <c r="C324" s="224"/>
      <c r="D324" s="274"/>
      <c r="E324" s="274"/>
      <c r="F324" s="224"/>
      <c r="G324" s="224"/>
    </row>
    <row r="325" spans="1:7" s="223" customFormat="1">
      <c r="A325" s="222"/>
      <c r="C325" s="224"/>
      <c r="D325" s="274"/>
      <c r="E325" s="274"/>
      <c r="F325" s="224"/>
      <c r="G325" s="224"/>
    </row>
    <row r="326" spans="1:7" s="223" customFormat="1">
      <c r="A326" s="222"/>
      <c r="C326" s="224"/>
      <c r="D326" s="274"/>
      <c r="E326" s="274"/>
      <c r="F326" s="224"/>
      <c r="G326" s="224"/>
    </row>
    <row r="327" spans="1:7" s="223" customFormat="1">
      <c r="A327" s="222"/>
      <c r="C327" s="224"/>
      <c r="D327" s="274"/>
      <c r="E327" s="274"/>
      <c r="F327" s="224"/>
      <c r="G327" s="224"/>
    </row>
    <row r="328" spans="1:7" s="223" customFormat="1">
      <c r="A328" s="222"/>
      <c r="C328" s="224"/>
      <c r="D328" s="274"/>
      <c r="E328" s="274"/>
      <c r="F328" s="224"/>
      <c r="G328" s="224"/>
    </row>
    <row r="329" spans="1:7" s="223" customFormat="1">
      <c r="A329" s="222"/>
      <c r="C329" s="224"/>
      <c r="D329" s="274"/>
      <c r="E329" s="274"/>
      <c r="F329" s="224"/>
      <c r="G329" s="224"/>
    </row>
    <row r="330" spans="1:7" s="223" customFormat="1">
      <c r="A330" s="222"/>
      <c r="C330" s="224"/>
      <c r="D330" s="274"/>
      <c r="E330" s="274"/>
      <c r="F330" s="224"/>
      <c r="G330" s="224"/>
    </row>
    <row r="331" spans="1:7" s="223" customFormat="1">
      <c r="A331" s="222"/>
      <c r="C331" s="224"/>
      <c r="D331" s="274"/>
      <c r="E331" s="274"/>
      <c r="F331" s="224"/>
      <c r="G331" s="224"/>
    </row>
    <row r="332" spans="1:7" s="223" customFormat="1">
      <c r="A332" s="222"/>
      <c r="C332" s="224"/>
      <c r="D332" s="274"/>
      <c r="E332" s="274"/>
      <c r="F332" s="224"/>
      <c r="G332" s="224"/>
    </row>
    <row r="333" spans="1:7" s="223" customFormat="1">
      <c r="A333" s="222"/>
      <c r="C333" s="224"/>
      <c r="D333" s="274"/>
      <c r="E333" s="274"/>
      <c r="F333" s="224"/>
      <c r="G333" s="224"/>
    </row>
    <row r="334" spans="1:7" s="223" customFormat="1">
      <c r="A334" s="222"/>
      <c r="C334" s="224"/>
      <c r="D334" s="274"/>
      <c r="E334" s="274"/>
      <c r="F334" s="224"/>
      <c r="G334" s="224"/>
    </row>
    <row r="335" spans="1:7" s="223" customFormat="1">
      <c r="A335" s="222"/>
      <c r="C335" s="224"/>
      <c r="D335" s="274"/>
      <c r="E335" s="274"/>
      <c r="F335" s="224"/>
      <c r="G335" s="224"/>
    </row>
    <row r="336" spans="1:7" s="223" customFormat="1">
      <c r="A336" s="222"/>
      <c r="C336" s="224"/>
      <c r="D336" s="274"/>
      <c r="E336" s="274"/>
      <c r="F336" s="224"/>
      <c r="G336" s="224"/>
    </row>
    <row r="337" spans="1:7" s="223" customFormat="1">
      <c r="A337" s="222"/>
      <c r="C337" s="224"/>
      <c r="D337" s="274"/>
      <c r="E337" s="274"/>
      <c r="F337" s="224"/>
      <c r="G337" s="224"/>
    </row>
    <row r="338" spans="1:7" s="223" customFormat="1">
      <c r="A338" s="222"/>
      <c r="C338" s="224"/>
      <c r="D338" s="274"/>
      <c r="E338" s="274"/>
      <c r="F338" s="224"/>
      <c r="G338" s="224"/>
    </row>
    <row r="339" spans="1:7" s="223" customFormat="1">
      <c r="A339" s="222"/>
      <c r="C339" s="224"/>
      <c r="D339" s="274"/>
      <c r="E339" s="274"/>
      <c r="F339" s="224"/>
      <c r="G339" s="224"/>
    </row>
    <row r="340" spans="1:7" s="223" customFormat="1">
      <c r="A340" s="222"/>
      <c r="C340" s="224"/>
      <c r="D340" s="274"/>
      <c r="E340" s="274"/>
      <c r="F340" s="224"/>
      <c r="G340" s="224"/>
    </row>
    <row r="341" spans="1:7" s="223" customFormat="1">
      <c r="A341" s="222"/>
      <c r="C341" s="224"/>
      <c r="D341" s="274"/>
      <c r="E341" s="274"/>
      <c r="F341" s="224"/>
      <c r="G341" s="224"/>
    </row>
    <row r="342" spans="1:7" s="223" customFormat="1">
      <c r="A342" s="222"/>
      <c r="C342" s="224"/>
      <c r="D342" s="274"/>
      <c r="E342" s="274"/>
      <c r="F342" s="224"/>
      <c r="G342" s="224"/>
    </row>
    <row r="343" spans="1:7" s="223" customFormat="1">
      <c r="A343" s="222"/>
      <c r="C343" s="224"/>
      <c r="D343" s="274"/>
      <c r="E343" s="274"/>
      <c r="F343" s="224"/>
      <c r="G343" s="224"/>
    </row>
    <row r="344" spans="1:7" s="223" customFormat="1">
      <c r="A344" s="222"/>
      <c r="C344" s="224"/>
      <c r="D344" s="274"/>
      <c r="E344" s="274"/>
      <c r="F344" s="224"/>
      <c r="G344" s="224"/>
    </row>
    <row r="345" spans="1:7" s="223" customFormat="1">
      <c r="A345" s="222"/>
      <c r="C345" s="224"/>
      <c r="D345" s="274"/>
      <c r="E345" s="274"/>
      <c r="F345" s="224"/>
      <c r="G345" s="224"/>
    </row>
    <row r="346" spans="1:7" s="223" customFormat="1">
      <c r="A346" s="222"/>
      <c r="C346" s="224"/>
      <c r="D346" s="274"/>
      <c r="E346" s="274"/>
      <c r="F346" s="224"/>
      <c r="G346" s="224"/>
    </row>
    <row r="347" spans="1:7" s="223" customFormat="1">
      <c r="A347" s="222"/>
      <c r="C347" s="224"/>
      <c r="D347" s="274"/>
      <c r="E347" s="274"/>
      <c r="F347" s="224"/>
      <c r="G347" s="224"/>
    </row>
    <row r="348" spans="1:7" s="223" customFormat="1">
      <c r="A348" s="222"/>
      <c r="C348" s="224"/>
      <c r="D348" s="274"/>
      <c r="E348" s="274"/>
      <c r="F348" s="224"/>
      <c r="G348" s="224"/>
    </row>
    <row r="349" spans="1:7" s="223" customFormat="1">
      <c r="A349" s="222"/>
      <c r="C349" s="224"/>
      <c r="D349" s="274"/>
      <c r="E349" s="274"/>
      <c r="F349" s="224"/>
      <c r="G349" s="224"/>
    </row>
    <row r="350" spans="1:7" s="223" customFormat="1">
      <c r="A350" s="222"/>
      <c r="C350" s="224"/>
      <c r="D350" s="274"/>
      <c r="E350" s="274"/>
      <c r="F350" s="224"/>
      <c r="G350" s="224"/>
    </row>
    <row r="351" spans="1:7" s="223" customFormat="1">
      <c r="A351" s="222"/>
      <c r="C351" s="224"/>
      <c r="D351" s="274"/>
      <c r="E351" s="274"/>
      <c r="F351" s="224"/>
      <c r="G351" s="224"/>
    </row>
    <row r="352" spans="1:7" s="223" customFormat="1">
      <c r="A352" s="222"/>
      <c r="C352" s="224"/>
      <c r="D352" s="274"/>
      <c r="E352" s="274"/>
      <c r="F352" s="224"/>
      <c r="G352" s="224"/>
    </row>
    <row r="353" spans="1:7" s="223" customFormat="1">
      <c r="A353" s="222"/>
      <c r="C353" s="224"/>
      <c r="D353" s="274"/>
      <c r="E353" s="274"/>
      <c r="F353" s="224"/>
      <c r="G353" s="224"/>
    </row>
    <row r="354" spans="1:7" s="223" customFormat="1">
      <c r="A354" s="222"/>
      <c r="C354" s="224"/>
      <c r="D354" s="274"/>
      <c r="E354" s="274"/>
      <c r="F354" s="224"/>
      <c r="G354" s="224"/>
    </row>
    <row r="355" spans="1:7" s="223" customFormat="1">
      <c r="A355" s="222"/>
      <c r="C355" s="224"/>
      <c r="D355" s="274"/>
      <c r="E355" s="274"/>
      <c r="F355" s="224"/>
      <c r="G355" s="224"/>
    </row>
    <row r="356" spans="1:7" s="223" customFormat="1">
      <c r="A356" s="222"/>
      <c r="C356" s="224"/>
      <c r="D356" s="274"/>
      <c r="E356" s="274"/>
      <c r="F356" s="224"/>
      <c r="G356" s="224"/>
    </row>
    <row r="357" spans="1:7" s="223" customFormat="1">
      <c r="A357" s="222"/>
      <c r="C357" s="224"/>
      <c r="D357" s="274"/>
      <c r="E357" s="274"/>
      <c r="F357" s="224"/>
      <c r="G357" s="224"/>
    </row>
    <row r="358" spans="1:7" s="223" customFormat="1">
      <c r="A358" s="222"/>
      <c r="C358" s="224"/>
      <c r="D358" s="274"/>
      <c r="E358" s="274"/>
      <c r="F358" s="224"/>
      <c r="G358" s="224"/>
    </row>
    <row r="359" spans="1:7" s="223" customFormat="1">
      <c r="A359" s="222"/>
      <c r="C359" s="224"/>
      <c r="D359" s="274"/>
      <c r="E359" s="274"/>
      <c r="F359" s="224"/>
      <c r="G359" s="224"/>
    </row>
    <row r="360" spans="1:7" s="223" customFormat="1">
      <c r="A360" s="222"/>
      <c r="C360" s="224"/>
      <c r="D360" s="274"/>
      <c r="E360" s="274"/>
      <c r="F360" s="224"/>
      <c r="G360" s="224"/>
    </row>
    <row r="361" spans="1:7" s="223" customFormat="1">
      <c r="A361" s="222"/>
      <c r="C361" s="224"/>
      <c r="D361" s="274"/>
      <c r="E361" s="274"/>
      <c r="F361" s="224"/>
      <c r="G361" s="224"/>
    </row>
    <row r="362" spans="1:7" s="223" customFormat="1">
      <c r="A362" s="222"/>
      <c r="C362" s="224"/>
      <c r="D362" s="274"/>
      <c r="E362" s="274"/>
      <c r="F362" s="224"/>
      <c r="G362" s="224"/>
    </row>
    <row r="363" spans="1:7" s="223" customFormat="1">
      <c r="A363" s="222"/>
      <c r="C363" s="224"/>
      <c r="D363" s="274"/>
      <c r="E363" s="274"/>
      <c r="F363" s="224"/>
      <c r="G363" s="224"/>
    </row>
    <row r="364" spans="1:7" s="223" customFormat="1">
      <c r="A364" s="222"/>
      <c r="C364" s="224"/>
      <c r="D364" s="274"/>
      <c r="E364" s="274"/>
      <c r="F364" s="224"/>
      <c r="G364" s="224"/>
    </row>
    <row r="365" spans="1:7" s="223" customFormat="1">
      <c r="A365" s="222"/>
      <c r="C365" s="224"/>
      <c r="D365" s="274"/>
      <c r="E365" s="274"/>
      <c r="F365" s="224"/>
      <c r="G365" s="224"/>
    </row>
    <row r="366" spans="1:7" s="223" customFormat="1">
      <c r="A366" s="222"/>
      <c r="C366" s="224"/>
      <c r="D366" s="274"/>
      <c r="E366" s="274"/>
      <c r="F366" s="224"/>
      <c r="G366" s="224"/>
    </row>
    <row r="367" spans="1:7" s="223" customFormat="1">
      <c r="A367" s="222"/>
      <c r="C367" s="224"/>
      <c r="D367" s="274"/>
      <c r="E367" s="274"/>
      <c r="F367" s="224"/>
      <c r="G367" s="224"/>
    </row>
    <row r="368" spans="1:7" s="223" customFormat="1">
      <c r="A368" s="222"/>
      <c r="C368" s="224"/>
      <c r="D368" s="274"/>
      <c r="E368" s="274"/>
      <c r="F368" s="224"/>
      <c r="G368" s="224"/>
    </row>
    <row r="369" spans="1:7" s="223" customFormat="1">
      <c r="A369" s="222"/>
      <c r="C369" s="224"/>
      <c r="D369" s="274"/>
      <c r="E369" s="274"/>
      <c r="F369" s="224"/>
      <c r="G369" s="224"/>
    </row>
    <row r="370" spans="1:7" s="223" customFormat="1">
      <c r="A370" s="222"/>
      <c r="C370" s="224"/>
      <c r="D370" s="274"/>
      <c r="E370" s="274"/>
      <c r="F370" s="224"/>
      <c r="G370" s="224"/>
    </row>
    <row r="371" spans="1:7" s="223" customFormat="1">
      <c r="A371" s="222"/>
      <c r="C371" s="224"/>
      <c r="D371" s="274"/>
      <c r="E371" s="274"/>
      <c r="F371" s="224"/>
      <c r="G371" s="224"/>
    </row>
    <row r="372" spans="1:7" s="223" customFormat="1">
      <c r="A372" s="222"/>
      <c r="C372" s="224"/>
      <c r="D372" s="274"/>
      <c r="E372" s="274"/>
      <c r="F372" s="224"/>
      <c r="G372" s="224"/>
    </row>
    <row r="373" spans="1:7" s="223" customFormat="1">
      <c r="A373" s="222"/>
      <c r="C373" s="224"/>
      <c r="D373" s="274"/>
      <c r="E373" s="274"/>
      <c r="F373" s="224"/>
      <c r="G373" s="224"/>
    </row>
    <row r="374" spans="1:7" s="223" customFormat="1">
      <c r="A374" s="222"/>
      <c r="C374" s="224"/>
      <c r="D374" s="274"/>
      <c r="E374" s="274"/>
      <c r="F374" s="224"/>
      <c r="G374" s="224"/>
    </row>
    <row r="375" spans="1:7" s="223" customFormat="1">
      <c r="A375" s="222"/>
      <c r="C375" s="224"/>
      <c r="D375" s="274"/>
      <c r="E375" s="274"/>
      <c r="F375" s="224"/>
      <c r="G375" s="224"/>
    </row>
    <row r="376" spans="1:7" s="223" customFormat="1">
      <c r="A376" s="222"/>
      <c r="C376" s="224"/>
      <c r="D376" s="274"/>
      <c r="E376" s="274"/>
      <c r="F376" s="224"/>
      <c r="G376" s="224"/>
    </row>
    <row r="377" spans="1:7" s="223" customFormat="1">
      <c r="A377" s="222"/>
      <c r="C377" s="224"/>
      <c r="D377" s="274"/>
      <c r="E377" s="274"/>
      <c r="F377" s="224"/>
      <c r="G377" s="224"/>
    </row>
    <row r="378" spans="1:7" s="223" customFormat="1">
      <c r="A378" s="222"/>
      <c r="C378" s="224"/>
      <c r="D378" s="274"/>
      <c r="E378" s="274"/>
      <c r="F378" s="224"/>
      <c r="G378" s="224"/>
    </row>
    <row r="379" spans="1:7" s="223" customFormat="1">
      <c r="A379" s="222"/>
      <c r="C379" s="224"/>
      <c r="D379" s="274"/>
      <c r="E379" s="274"/>
      <c r="F379" s="224"/>
      <c r="G379" s="224"/>
    </row>
    <row r="380" spans="1:7" s="223" customFormat="1">
      <c r="A380" s="222"/>
      <c r="C380" s="224"/>
      <c r="D380" s="274"/>
      <c r="E380" s="274"/>
      <c r="F380" s="224"/>
      <c r="G380" s="224"/>
    </row>
    <row r="381" spans="1:7" s="223" customFormat="1">
      <c r="A381" s="222"/>
      <c r="C381" s="224"/>
      <c r="D381" s="274"/>
      <c r="E381" s="274"/>
      <c r="F381" s="224"/>
      <c r="G381" s="224"/>
    </row>
    <row r="382" spans="1:7" s="223" customFormat="1">
      <c r="A382" s="222"/>
      <c r="C382" s="224"/>
      <c r="D382" s="274"/>
      <c r="E382" s="274"/>
      <c r="F382" s="224"/>
      <c r="G382" s="224"/>
    </row>
    <row r="383" spans="1:7" s="223" customFormat="1">
      <c r="A383" s="222"/>
      <c r="C383" s="224"/>
      <c r="D383" s="274"/>
      <c r="E383" s="274"/>
      <c r="F383" s="224"/>
      <c r="G383" s="224"/>
    </row>
    <row r="384" spans="1:7" s="223" customFormat="1">
      <c r="A384" s="222"/>
      <c r="C384" s="224"/>
      <c r="D384" s="274"/>
      <c r="E384" s="274"/>
      <c r="F384" s="224"/>
      <c r="G384" s="224"/>
    </row>
    <row r="385" spans="1:7" s="223" customFormat="1">
      <c r="A385" s="222"/>
      <c r="C385" s="224"/>
      <c r="D385" s="274"/>
      <c r="E385" s="274"/>
      <c r="F385" s="224"/>
      <c r="G385" s="224"/>
    </row>
    <row r="386" spans="1:7" s="223" customFormat="1">
      <c r="A386" s="222"/>
      <c r="C386" s="224"/>
      <c r="D386" s="274"/>
      <c r="E386" s="274"/>
      <c r="F386" s="224"/>
      <c r="G386" s="224"/>
    </row>
    <row r="387" spans="1:7" s="223" customFormat="1">
      <c r="A387" s="222"/>
      <c r="C387" s="224"/>
      <c r="D387" s="274"/>
      <c r="E387" s="274"/>
      <c r="F387" s="224"/>
      <c r="G387" s="224"/>
    </row>
    <row r="388" spans="1:7" s="223" customFormat="1">
      <c r="A388" s="222"/>
      <c r="C388" s="224"/>
      <c r="D388" s="274"/>
      <c r="E388" s="274"/>
      <c r="F388" s="224"/>
      <c r="G388" s="224"/>
    </row>
    <row r="389" spans="1:7" s="223" customFormat="1">
      <c r="A389" s="222"/>
      <c r="C389" s="224"/>
      <c r="D389" s="274"/>
      <c r="E389" s="274"/>
      <c r="F389" s="224"/>
      <c r="G389" s="224"/>
    </row>
    <row r="390" spans="1:7" s="223" customFormat="1">
      <c r="A390" s="222"/>
      <c r="C390" s="224"/>
      <c r="D390" s="274"/>
      <c r="E390" s="274"/>
      <c r="F390" s="224"/>
      <c r="G390" s="224"/>
    </row>
    <row r="391" spans="1:7" s="223" customFormat="1">
      <c r="A391" s="222"/>
      <c r="C391" s="224"/>
      <c r="D391" s="274"/>
      <c r="E391" s="274"/>
      <c r="F391" s="224"/>
      <c r="G391" s="224"/>
    </row>
    <row r="392" spans="1:7" s="223" customFormat="1">
      <c r="A392" s="222"/>
      <c r="C392" s="224"/>
      <c r="D392" s="274"/>
      <c r="E392" s="274"/>
      <c r="F392" s="224"/>
      <c r="G392" s="224"/>
    </row>
    <row r="393" spans="1:7" s="223" customFormat="1">
      <c r="A393" s="222"/>
      <c r="C393" s="224"/>
      <c r="D393" s="274"/>
      <c r="E393" s="274"/>
      <c r="F393" s="224"/>
      <c r="G393" s="224"/>
    </row>
    <row r="394" spans="1:7" s="223" customFormat="1">
      <c r="A394" s="222"/>
      <c r="C394" s="224"/>
      <c r="D394" s="274"/>
      <c r="E394" s="274"/>
      <c r="F394" s="224"/>
      <c r="G394" s="224"/>
    </row>
    <row r="395" spans="1:7" s="223" customFormat="1">
      <c r="A395" s="222"/>
      <c r="C395" s="224"/>
      <c r="D395" s="274"/>
      <c r="E395" s="274"/>
      <c r="F395" s="224"/>
      <c r="G395" s="224"/>
    </row>
    <row r="396" spans="1:7" s="223" customFormat="1">
      <c r="A396" s="222"/>
      <c r="C396" s="224"/>
      <c r="D396" s="274"/>
      <c r="E396" s="274"/>
      <c r="F396" s="224"/>
      <c r="G396" s="224"/>
    </row>
    <row r="397" spans="1:7" s="223" customFormat="1">
      <c r="A397" s="222"/>
      <c r="C397" s="224"/>
      <c r="D397" s="274"/>
      <c r="E397" s="274"/>
      <c r="F397" s="224"/>
      <c r="G397" s="224"/>
    </row>
    <row r="398" spans="1:7" s="223" customFormat="1">
      <c r="A398" s="222"/>
      <c r="C398" s="224"/>
      <c r="D398" s="274"/>
      <c r="E398" s="274"/>
      <c r="F398" s="224"/>
      <c r="G398" s="224"/>
    </row>
    <row r="399" spans="1:7" s="223" customFormat="1">
      <c r="A399" s="222"/>
      <c r="C399" s="224"/>
      <c r="D399" s="274"/>
      <c r="E399" s="274"/>
      <c r="F399" s="224"/>
      <c r="G399" s="224"/>
    </row>
    <row r="400" spans="1:7" s="223" customFormat="1">
      <c r="A400" s="222"/>
      <c r="C400" s="224"/>
      <c r="D400" s="274"/>
      <c r="E400" s="274"/>
      <c r="F400" s="224"/>
      <c r="G400" s="224"/>
    </row>
    <row r="401" spans="1:7" s="223" customFormat="1">
      <c r="A401" s="222"/>
      <c r="C401" s="224"/>
      <c r="D401" s="274"/>
      <c r="E401" s="274"/>
      <c r="F401" s="224"/>
      <c r="G401" s="224"/>
    </row>
    <row r="402" spans="1:7" s="223" customFormat="1">
      <c r="A402" s="222"/>
      <c r="C402" s="224"/>
      <c r="D402" s="274"/>
      <c r="E402" s="274"/>
      <c r="F402" s="224"/>
      <c r="G402" s="224"/>
    </row>
    <row r="403" spans="1:7" s="223" customFormat="1">
      <c r="A403" s="222"/>
      <c r="C403" s="224"/>
      <c r="D403" s="274"/>
      <c r="E403" s="274"/>
      <c r="F403" s="224"/>
      <c r="G403" s="224"/>
    </row>
    <row r="404" spans="1:7" s="223" customFormat="1">
      <c r="A404" s="222"/>
      <c r="C404" s="224"/>
      <c r="D404" s="274"/>
      <c r="E404" s="274"/>
      <c r="F404" s="224"/>
      <c r="G404" s="224"/>
    </row>
    <row r="405" spans="1:7" s="223" customFormat="1">
      <c r="A405" s="222"/>
      <c r="C405" s="224"/>
      <c r="D405" s="274"/>
      <c r="E405" s="274"/>
      <c r="F405" s="224"/>
      <c r="G405" s="224"/>
    </row>
    <row r="406" spans="1:7" s="223" customFormat="1">
      <c r="A406" s="222"/>
      <c r="C406" s="224"/>
      <c r="D406" s="274"/>
      <c r="E406" s="274"/>
      <c r="F406" s="224"/>
      <c r="G406" s="224"/>
    </row>
    <row r="407" spans="1:7" s="223" customFormat="1">
      <c r="A407" s="222"/>
      <c r="C407" s="224"/>
      <c r="D407" s="274"/>
      <c r="E407" s="274"/>
      <c r="F407" s="224"/>
      <c r="G407" s="224"/>
    </row>
    <row r="408" spans="1:7" s="223" customFormat="1">
      <c r="A408" s="222"/>
      <c r="C408" s="224"/>
      <c r="D408" s="274"/>
      <c r="E408" s="274"/>
      <c r="F408" s="224"/>
      <c r="G408" s="224"/>
    </row>
    <row r="409" spans="1:7" s="223" customFormat="1">
      <c r="A409" s="222"/>
      <c r="C409" s="224"/>
      <c r="D409" s="274"/>
      <c r="E409" s="274"/>
      <c r="F409" s="224"/>
      <c r="G409" s="224"/>
    </row>
    <row r="410" spans="1:7" s="223" customFormat="1">
      <c r="A410" s="222"/>
      <c r="C410" s="224"/>
      <c r="D410" s="274"/>
      <c r="E410" s="274"/>
      <c r="F410" s="224"/>
      <c r="G410" s="224"/>
    </row>
    <row r="411" spans="1:7" s="223" customFormat="1">
      <c r="A411" s="222"/>
      <c r="C411" s="224"/>
      <c r="D411" s="274"/>
      <c r="E411" s="274"/>
      <c r="F411" s="224"/>
      <c r="G411" s="224"/>
    </row>
    <row r="412" spans="1:7" s="223" customFormat="1">
      <c r="A412" s="222"/>
      <c r="C412" s="224"/>
      <c r="D412" s="274"/>
      <c r="E412" s="274"/>
      <c r="F412" s="224"/>
      <c r="G412" s="224"/>
    </row>
    <row r="413" spans="1:7" s="223" customFormat="1">
      <c r="A413" s="222"/>
      <c r="C413" s="224"/>
      <c r="D413" s="274"/>
      <c r="E413" s="274"/>
      <c r="F413" s="224"/>
      <c r="G413" s="224"/>
    </row>
    <row r="414" spans="1:7" s="223" customFormat="1">
      <c r="A414" s="222"/>
      <c r="C414" s="224"/>
      <c r="D414" s="274"/>
      <c r="E414" s="274"/>
      <c r="F414" s="224"/>
      <c r="G414" s="224"/>
    </row>
    <row r="415" spans="1:7" s="223" customFormat="1">
      <c r="A415" s="222"/>
      <c r="C415" s="224"/>
      <c r="D415" s="274"/>
      <c r="E415" s="274"/>
      <c r="F415" s="224"/>
      <c r="G415" s="224"/>
    </row>
    <row r="416" spans="1:7" s="223" customFormat="1">
      <c r="A416" s="222"/>
      <c r="C416" s="224"/>
      <c r="D416" s="274"/>
      <c r="E416" s="274"/>
      <c r="F416" s="224"/>
      <c r="G416" s="224"/>
    </row>
    <row r="417" spans="1:7" s="223" customFormat="1">
      <c r="A417" s="222"/>
      <c r="C417" s="224"/>
      <c r="D417" s="274"/>
      <c r="E417" s="274"/>
      <c r="F417" s="224"/>
      <c r="G417" s="224"/>
    </row>
    <row r="418" spans="1:7" s="223" customFormat="1">
      <c r="A418" s="222"/>
      <c r="C418" s="224"/>
      <c r="D418" s="274"/>
      <c r="E418" s="274"/>
      <c r="F418" s="224"/>
      <c r="G418" s="224"/>
    </row>
    <row r="419" spans="1:7" s="223" customFormat="1">
      <c r="A419" s="222"/>
      <c r="C419" s="224"/>
      <c r="D419" s="274"/>
      <c r="E419" s="274"/>
      <c r="F419" s="224"/>
      <c r="G419" s="224"/>
    </row>
    <row r="420" spans="1:7" s="223" customFormat="1">
      <c r="A420" s="222"/>
      <c r="C420" s="224"/>
      <c r="D420" s="274"/>
      <c r="E420" s="274"/>
      <c r="F420" s="224"/>
      <c r="G420" s="224"/>
    </row>
    <row r="421" spans="1:7" s="223" customFormat="1">
      <c r="A421" s="222"/>
      <c r="C421" s="224"/>
      <c r="D421" s="274"/>
      <c r="E421" s="274"/>
      <c r="F421" s="224"/>
      <c r="G421" s="224"/>
    </row>
    <row r="422" spans="1:7" s="223" customFormat="1">
      <c r="A422" s="222"/>
      <c r="C422" s="224"/>
      <c r="D422" s="274"/>
      <c r="E422" s="274"/>
      <c r="F422" s="224"/>
      <c r="G422" s="224"/>
    </row>
    <row r="423" spans="1:7" s="223" customFormat="1">
      <c r="A423" s="222"/>
      <c r="C423" s="224"/>
      <c r="D423" s="274"/>
      <c r="E423" s="274"/>
      <c r="F423" s="224"/>
      <c r="G423" s="224"/>
    </row>
    <row r="424" spans="1:7" s="223" customFormat="1">
      <c r="A424" s="222"/>
      <c r="C424" s="224"/>
      <c r="D424" s="274"/>
      <c r="E424" s="274"/>
      <c r="F424" s="224"/>
      <c r="G424" s="224"/>
    </row>
    <row r="425" spans="1:7" s="223" customFormat="1">
      <c r="A425" s="222"/>
      <c r="C425" s="224"/>
      <c r="D425" s="274"/>
      <c r="E425" s="274"/>
      <c r="F425" s="224"/>
      <c r="G425" s="224"/>
    </row>
    <row r="426" spans="1:7" s="223" customFormat="1">
      <c r="A426" s="222"/>
      <c r="C426" s="224"/>
      <c r="D426" s="274"/>
      <c r="E426" s="274"/>
      <c r="F426" s="224"/>
      <c r="G426" s="224"/>
    </row>
    <row r="427" spans="1:7" s="223" customFormat="1">
      <c r="A427" s="222"/>
      <c r="C427" s="224"/>
      <c r="D427" s="274"/>
      <c r="E427" s="274"/>
      <c r="F427" s="224"/>
      <c r="G427" s="224"/>
    </row>
    <row r="428" spans="1:7" s="223" customFormat="1">
      <c r="A428" s="222"/>
      <c r="C428" s="224"/>
      <c r="D428" s="274"/>
      <c r="E428" s="274"/>
      <c r="F428" s="224"/>
      <c r="G428" s="224"/>
    </row>
    <row r="429" spans="1:7" s="223" customFormat="1">
      <c r="A429" s="222"/>
      <c r="C429" s="224"/>
      <c r="D429" s="274"/>
      <c r="E429" s="274"/>
      <c r="F429" s="224"/>
      <c r="G429" s="224"/>
    </row>
    <row r="430" spans="1:7" s="223" customFormat="1">
      <c r="A430" s="222"/>
      <c r="C430" s="224"/>
      <c r="D430" s="274"/>
      <c r="E430" s="274"/>
      <c r="F430" s="224"/>
      <c r="G430" s="224"/>
    </row>
    <row r="431" spans="1:7" s="223" customFormat="1">
      <c r="A431" s="222"/>
      <c r="C431" s="224"/>
      <c r="D431" s="274"/>
      <c r="E431" s="274"/>
      <c r="F431" s="224"/>
      <c r="G431" s="224"/>
    </row>
    <row r="432" spans="1:7" s="223" customFormat="1">
      <c r="A432" s="222"/>
      <c r="C432" s="224"/>
      <c r="D432" s="274"/>
      <c r="E432" s="274"/>
      <c r="F432" s="224"/>
      <c r="G432" s="224"/>
    </row>
    <row r="433" spans="1:7" s="223" customFormat="1">
      <c r="A433" s="222"/>
      <c r="C433" s="224"/>
      <c r="D433" s="274"/>
      <c r="E433" s="274"/>
      <c r="F433" s="224"/>
      <c r="G433" s="224"/>
    </row>
    <row r="434" spans="1:7" s="223" customFormat="1">
      <c r="A434" s="222"/>
      <c r="C434" s="224"/>
      <c r="D434" s="274"/>
      <c r="E434" s="274"/>
      <c r="F434" s="224"/>
      <c r="G434" s="224"/>
    </row>
    <row r="435" spans="1:7" s="223" customFormat="1">
      <c r="A435" s="222"/>
      <c r="C435" s="224"/>
      <c r="D435" s="274"/>
      <c r="E435" s="274"/>
      <c r="F435" s="224"/>
      <c r="G435" s="224"/>
    </row>
    <row r="436" spans="1:7" s="223" customFormat="1">
      <c r="A436" s="222"/>
      <c r="C436" s="224"/>
      <c r="D436" s="274"/>
      <c r="E436" s="274"/>
      <c r="F436" s="224"/>
      <c r="G436" s="224"/>
    </row>
    <row r="437" spans="1:7" s="223" customFormat="1">
      <c r="A437" s="222"/>
      <c r="C437" s="224"/>
      <c r="D437" s="274"/>
      <c r="E437" s="274"/>
      <c r="F437" s="224"/>
      <c r="G437" s="224"/>
    </row>
    <row r="438" spans="1:7" s="223" customFormat="1">
      <c r="A438" s="222"/>
      <c r="C438" s="224"/>
      <c r="D438" s="274"/>
      <c r="E438" s="274"/>
      <c r="F438" s="224"/>
      <c r="G438" s="224"/>
    </row>
    <row r="439" spans="1:7" s="223" customFormat="1">
      <c r="A439" s="222"/>
      <c r="C439" s="224"/>
      <c r="D439" s="274"/>
      <c r="E439" s="274"/>
      <c r="F439" s="224"/>
      <c r="G439" s="224"/>
    </row>
    <row r="440" spans="1:7" s="223" customFormat="1">
      <c r="A440" s="222"/>
      <c r="C440" s="224"/>
      <c r="D440" s="274"/>
      <c r="E440" s="274"/>
      <c r="F440" s="224"/>
      <c r="G440" s="224"/>
    </row>
    <row r="441" spans="1:7" s="223" customFormat="1">
      <c r="A441" s="222"/>
      <c r="C441" s="224"/>
      <c r="D441" s="274"/>
      <c r="E441" s="274"/>
      <c r="F441" s="224"/>
      <c r="G441" s="224"/>
    </row>
    <row r="442" spans="1:7" s="223" customFormat="1">
      <c r="A442" s="222"/>
      <c r="C442" s="224"/>
      <c r="D442" s="274"/>
      <c r="E442" s="274"/>
      <c r="F442" s="224"/>
      <c r="G442" s="224"/>
    </row>
    <row r="443" spans="1:7" s="223" customFormat="1">
      <c r="A443" s="222"/>
      <c r="C443" s="224"/>
      <c r="D443" s="274"/>
      <c r="E443" s="274"/>
      <c r="F443" s="224"/>
      <c r="G443" s="224"/>
    </row>
    <row r="444" spans="1:7" s="223" customFormat="1">
      <c r="A444" s="222"/>
      <c r="C444" s="224"/>
      <c r="D444" s="274"/>
      <c r="E444" s="274"/>
      <c r="F444" s="224"/>
      <c r="G444" s="224"/>
    </row>
    <row r="445" spans="1:7" s="223" customFormat="1">
      <c r="A445" s="222"/>
      <c r="C445" s="224"/>
      <c r="D445" s="274"/>
      <c r="E445" s="274"/>
      <c r="F445" s="224"/>
      <c r="G445" s="224"/>
    </row>
    <row r="446" spans="1:7" s="223" customFormat="1">
      <c r="A446" s="222"/>
      <c r="C446" s="224"/>
      <c r="D446" s="274"/>
      <c r="E446" s="274"/>
      <c r="F446" s="224"/>
      <c r="G446" s="224"/>
    </row>
    <row r="447" spans="1:7" s="223" customFormat="1">
      <c r="A447" s="222"/>
      <c r="C447" s="224"/>
      <c r="D447" s="274"/>
      <c r="E447" s="274"/>
      <c r="F447" s="224"/>
      <c r="G447" s="224"/>
    </row>
    <row r="448" spans="1:7" s="223" customFormat="1">
      <c r="A448" s="222"/>
      <c r="C448" s="224"/>
      <c r="D448" s="274"/>
      <c r="E448" s="274"/>
      <c r="F448" s="224"/>
      <c r="G448" s="224"/>
    </row>
    <row r="449" spans="1:7" s="223" customFormat="1">
      <c r="A449" s="222"/>
      <c r="C449" s="224"/>
      <c r="D449" s="274"/>
      <c r="E449" s="274"/>
      <c r="F449" s="224"/>
      <c r="G449" s="224"/>
    </row>
    <row r="450" spans="1:7" s="223" customFormat="1">
      <c r="A450" s="222"/>
      <c r="C450" s="224"/>
      <c r="D450" s="274"/>
      <c r="E450" s="274"/>
      <c r="F450" s="224"/>
      <c r="G450" s="224"/>
    </row>
    <row r="451" spans="1:7" s="223" customFormat="1">
      <c r="A451" s="222"/>
      <c r="C451" s="224"/>
      <c r="D451" s="274"/>
      <c r="E451" s="274"/>
      <c r="F451" s="224"/>
      <c r="G451" s="224"/>
    </row>
    <row r="452" spans="1:7" s="223" customFormat="1">
      <c r="A452" s="222"/>
      <c r="C452" s="224"/>
      <c r="D452" s="274"/>
      <c r="E452" s="274"/>
      <c r="F452" s="224"/>
      <c r="G452" s="224"/>
    </row>
    <row r="453" spans="1:7" s="223" customFormat="1">
      <c r="A453" s="222"/>
      <c r="C453" s="224"/>
      <c r="D453" s="274"/>
      <c r="E453" s="274"/>
      <c r="F453" s="224"/>
      <c r="G453" s="224"/>
    </row>
    <row r="454" spans="1:7" s="223" customFormat="1">
      <c r="A454" s="222"/>
      <c r="C454" s="224"/>
      <c r="D454" s="274"/>
      <c r="E454" s="274"/>
      <c r="F454" s="224"/>
      <c r="G454" s="224"/>
    </row>
    <row r="455" spans="1:7" s="223" customFormat="1">
      <c r="A455" s="222"/>
      <c r="C455" s="224"/>
      <c r="D455" s="274"/>
      <c r="E455" s="274"/>
      <c r="F455" s="224"/>
      <c r="G455" s="224"/>
    </row>
    <row r="456" spans="1:7" s="223" customFormat="1">
      <c r="A456" s="222"/>
      <c r="C456" s="224"/>
      <c r="D456" s="274"/>
      <c r="E456" s="274"/>
      <c r="F456" s="224"/>
      <c r="G456" s="224"/>
    </row>
    <row r="457" spans="1:7" s="223" customFormat="1">
      <c r="A457" s="222"/>
      <c r="C457" s="224"/>
      <c r="D457" s="274"/>
      <c r="E457" s="274"/>
      <c r="F457" s="224"/>
      <c r="G457" s="224"/>
    </row>
    <row r="458" spans="1:7" s="223" customFormat="1">
      <c r="A458" s="222"/>
      <c r="C458" s="224"/>
      <c r="D458" s="274"/>
      <c r="E458" s="274"/>
      <c r="F458" s="224"/>
      <c r="G458" s="224"/>
    </row>
    <row r="459" spans="1:7" s="223" customFormat="1">
      <c r="A459" s="222"/>
      <c r="C459" s="224"/>
      <c r="D459" s="274"/>
      <c r="E459" s="274"/>
      <c r="F459" s="224"/>
      <c r="G459" s="224"/>
    </row>
    <row r="460" spans="1:7" s="223" customFormat="1">
      <c r="A460" s="222"/>
      <c r="C460" s="224"/>
      <c r="D460" s="274"/>
      <c r="E460" s="274"/>
      <c r="F460" s="224"/>
      <c r="G460" s="224"/>
    </row>
    <row r="461" spans="1:7" s="223" customFormat="1">
      <c r="A461" s="222"/>
      <c r="C461" s="224"/>
      <c r="D461" s="274"/>
      <c r="E461" s="274"/>
      <c r="F461" s="224"/>
      <c r="G461" s="224"/>
    </row>
    <row r="462" spans="1:7" s="223" customFormat="1">
      <c r="A462" s="222"/>
      <c r="C462" s="224"/>
      <c r="D462" s="274"/>
      <c r="E462" s="274"/>
      <c r="F462" s="224"/>
      <c r="G462" s="224"/>
    </row>
    <row r="463" spans="1:7" s="223" customFormat="1">
      <c r="A463" s="222"/>
      <c r="C463" s="224"/>
      <c r="D463" s="274"/>
      <c r="E463" s="274"/>
      <c r="F463" s="224"/>
      <c r="G463" s="224"/>
    </row>
    <row r="464" spans="1:7" s="223" customFormat="1">
      <c r="A464" s="222"/>
      <c r="C464" s="224"/>
      <c r="D464" s="274"/>
      <c r="E464" s="274"/>
      <c r="F464" s="224"/>
      <c r="G464" s="224"/>
    </row>
    <row r="465" spans="1:7" s="223" customFormat="1">
      <c r="A465" s="222"/>
      <c r="C465" s="224"/>
      <c r="D465" s="274"/>
      <c r="E465" s="274"/>
      <c r="F465" s="224"/>
      <c r="G465" s="224"/>
    </row>
    <row r="466" spans="1:7" s="223" customFormat="1">
      <c r="A466" s="222"/>
      <c r="C466" s="224"/>
      <c r="D466" s="274"/>
      <c r="E466" s="274"/>
      <c r="F466" s="224"/>
      <c r="G466" s="224"/>
    </row>
    <row r="467" spans="1:7" s="223" customFormat="1">
      <c r="A467" s="222"/>
      <c r="C467" s="224"/>
      <c r="D467" s="274"/>
      <c r="E467" s="274"/>
      <c r="F467" s="224"/>
      <c r="G467" s="224"/>
    </row>
    <row r="468" spans="1:7" s="223" customFormat="1">
      <c r="A468" s="222"/>
      <c r="C468" s="224"/>
      <c r="D468" s="274"/>
      <c r="E468" s="274"/>
      <c r="F468" s="224"/>
      <c r="G468" s="224"/>
    </row>
    <row r="469" spans="1:7" s="223" customFormat="1">
      <c r="A469" s="222"/>
      <c r="C469" s="224"/>
      <c r="D469" s="274"/>
      <c r="E469" s="274"/>
      <c r="F469" s="224"/>
      <c r="G469" s="224"/>
    </row>
    <row r="470" spans="1:7" s="223" customFormat="1">
      <c r="A470" s="222"/>
      <c r="C470" s="224"/>
      <c r="D470" s="274"/>
      <c r="E470" s="274"/>
      <c r="F470" s="224"/>
      <c r="G470" s="224"/>
    </row>
    <row r="471" spans="1:7" s="223" customFormat="1">
      <c r="A471" s="222"/>
      <c r="C471" s="224"/>
      <c r="D471" s="274"/>
      <c r="E471" s="274"/>
      <c r="F471" s="224"/>
      <c r="G471" s="224"/>
    </row>
    <row r="472" spans="1:7" s="223" customFormat="1">
      <c r="A472" s="222"/>
      <c r="C472" s="224"/>
      <c r="D472" s="274"/>
      <c r="E472" s="274"/>
      <c r="F472" s="224"/>
      <c r="G472" s="224"/>
    </row>
    <row r="473" spans="1:7" s="223" customFormat="1">
      <c r="A473" s="222"/>
      <c r="C473" s="224"/>
      <c r="D473" s="274"/>
      <c r="E473" s="274"/>
      <c r="F473" s="224"/>
      <c r="G473" s="224"/>
    </row>
    <row r="474" spans="1:7" s="223" customFormat="1">
      <c r="A474" s="222"/>
      <c r="C474" s="224"/>
      <c r="D474" s="274"/>
      <c r="E474" s="274"/>
      <c r="F474" s="224"/>
      <c r="G474" s="224"/>
    </row>
    <row r="475" spans="1:7" s="223" customFormat="1">
      <c r="A475" s="222"/>
      <c r="C475" s="224"/>
      <c r="D475" s="274"/>
      <c r="E475" s="274"/>
      <c r="F475" s="224"/>
      <c r="G475" s="224"/>
    </row>
    <row r="476" spans="1:7" s="223" customFormat="1">
      <c r="A476" s="222"/>
      <c r="C476" s="224"/>
      <c r="D476" s="274"/>
      <c r="E476" s="274"/>
      <c r="F476" s="224"/>
      <c r="G476" s="224"/>
    </row>
    <row r="477" spans="1:7" s="223" customFormat="1">
      <c r="A477" s="222"/>
      <c r="C477" s="224"/>
      <c r="D477" s="274"/>
      <c r="E477" s="274"/>
      <c r="F477" s="224"/>
      <c r="G477" s="224"/>
    </row>
    <row r="478" spans="1:7" s="223" customFormat="1">
      <c r="A478" s="222"/>
      <c r="C478" s="224"/>
      <c r="D478" s="274"/>
      <c r="E478" s="274"/>
      <c r="F478" s="224"/>
      <c r="G478" s="224"/>
    </row>
    <row r="479" spans="1:7" s="223" customFormat="1">
      <c r="A479" s="222"/>
      <c r="C479" s="224"/>
      <c r="D479" s="274"/>
      <c r="E479" s="274"/>
      <c r="F479" s="224"/>
      <c r="G479" s="224"/>
    </row>
    <row r="480" spans="1:7" s="223" customFormat="1">
      <c r="A480" s="222"/>
      <c r="C480" s="224"/>
      <c r="D480" s="274"/>
      <c r="E480" s="274"/>
      <c r="F480" s="224"/>
      <c r="G480" s="224"/>
    </row>
    <row r="481" spans="1:7" s="223" customFormat="1">
      <c r="A481" s="222"/>
      <c r="C481" s="224"/>
      <c r="D481" s="274"/>
      <c r="E481" s="274"/>
      <c r="F481" s="224"/>
      <c r="G481" s="224"/>
    </row>
    <row r="482" spans="1:7" s="223" customFormat="1">
      <c r="A482" s="222"/>
      <c r="C482" s="224"/>
      <c r="D482" s="274"/>
      <c r="E482" s="274"/>
      <c r="F482" s="224"/>
      <c r="G482" s="224"/>
    </row>
    <row r="483" spans="1:7" s="223" customFormat="1">
      <c r="A483" s="222"/>
      <c r="C483" s="224"/>
      <c r="D483" s="274"/>
      <c r="E483" s="274"/>
      <c r="F483" s="224"/>
      <c r="G483" s="224"/>
    </row>
    <row r="484" spans="1:7" s="223" customFormat="1">
      <c r="A484" s="222"/>
      <c r="C484" s="224"/>
      <c r="D484" s="274"/>
      <c r="E484" s="274"/>
      <c r="F484" s="224"/>
      <c r="G484" s="224"/>
    </row>
    <row r="485" spans="1:7" s="223" customFormat="1">
      <c r="A485" s="222"/>
      <c r="C485" s="224"/>
      <c r="D485" s="274"/>
      <c r="E485" s="274"/>
      <c r="F485" s="224"/>
      <c r="G485" s="224"/>
    </row>
    <row r="486" spans="1:7" s="223" customFormat="1">
      <c r="A486" s="222"/>
      <c r="C486" s="224"/>
      <c r="D486" s="274"/>
      <c r="E486" s="274"/>
      <c r="F486" s="224"/>
      <c r="G486" s="224"/>
    </row>
    <row r="487" spans="1:7" s="223" customFormat="1">
      <c r="A487" s="222"/>
      <c r="C487" s="224"/>
      <c r="D487" s="274"/>
      <c r="E487" s="274"/>
      <c r="F487" s="224"/>
      <c r="G487" s="224"/>
    </row>
    <row r="488" spans="1:7" s="223" customFormat="1">
      <c r="A488" s="222"/>
      <c r="C488" s="224"/>
      <c r="D488" s="274"/>
      <c r="E488" s="274"/>
      <c r="F488" s="224"/>
      <c r="G488" s="224"/>
    </row>
    <row r="489" spans="1:7" s="223" customFormat="1">
      <c r="A489" s="222"/>
      <c r="C489" s="224"/>
      <c r="D489" s="274"/>
      <c r="E489" s="274"/>
      <c r="F489" s="224"/>
      <c r="G489" s="224"/>
    </row>
    <row r="490" spans="1:7" s="223" customFormat="1">
      <c r="A490" s="222"/>
      <c r="C490" s="224"/>
      <c r="D490" s="274"/>
      <c r="E490" s="274"/>
      <c r="F490" s="224"/>
      <c r="G490" s="224"/>
    </row>
    <row r="491" spans="1:7" s="223" customFormat="1">
      <c r="A491" s="222"/>
      <c r="C491" s="224"/>
      <c r="D491" s="274"/>
      <c r="E491" s="274"/>
      <c r="F491" s="224"/>
      <c r="G491" s="224"/>
    </row>
    <row r="492" spans="1:7" s="223" customFormat="1">
      <c r="A492" s="222"/>
      <c r="C492" s="224"/>
      <c r="D492" s="274"/>
      <c r="E492" s="274"/>
      <c r="F492" s="224"/>
      <c r="G492" s="224"/>
    </row>
    <row r="493" spans="1:7" s="223" customFormat="1">
      <c r="A493" s="222"/>
      <c r="C493" s="224"/>
      <c r="D493" s="274"/>
      <c r="E493" s="274"/>
      <c r="F493" s="224"/>
      <c r="G493" s="224"/>
    </row>
    <row r="494" spans="1:7" s="223" customFormat="1">
      <c r="A494" s="222"/>
      <c r="C494" s="224"/>
      <c r="D494" s="274"/>
      <c r="E494" s="274"/>
      <c r="F494" s="224"/>
      <c r="G494" s="224"/>
    </row>
    <row r="495" spans="1:7" s="223" customFormat="1">
      <c r="A495" s="222"/>
      <c r="C495" s="224"/>
      <c r="D495" s="274"/>
      <c r="E495" s="274"/>
      <c r="F495" s="224"/>
      <c r="G495" s="224"/>
    </row>
    <row r="496" spans="1:7" s="223" customFormat="1">
      <c r="A496" s="222"/>
      <c r="C496" s="224"/>
      <c r="D496" s="274"/>
      <c r="E496" s="274"/>
      <c r="F496" s="224"/>
      <c r="G496" s="224"/>
    </row>
    <row r="497" spans="1:7" s="223" customFormat="1">
      <c r="A497" s="222"/>
      <c r="C497" s="224"/>
      <c r="D497" s="274"/>
      <c r="E497" s="274"/>
      <c r="F497" s="224"/>
      <c r="G497" s="224"/>
    </row>
    <row r="498" spans="1:7" s="223" customFormat="1">
      <c r="A498" s="222"/>
      <c r="C498" s="224"/>
      <c r="D498" s="274"/>
      <c r="E498" s="274"/>
      <c r="F498" s="224"/>
      <c r="G498" s="224"/>
    </row>
    <row r="499" spans="1:7" s="223" customFormat="1">
      <c r="A499" s="222"/>
      <c r="C499" s="224"/>
      <c r="D499" s="274"/>
      <c r="E499" s="274"/>
      <c r="F499" s="224"/>
      <c r="G499" s="224"/>
    </row>
    <row r="500" spans="1:7" s="223" customFormat="1">
      <c r="A500" s="222"/>
      <c r="C500" s="224"/>
      <c r="D500" s="274"/>
      <c r="E500" s="274"/>
      <c r="F500" s="224"/>
      <c r="G500" s="224"/>
    </row>
    <row r="501" spans="1:7" s="223" customFormat="1">
      <c r="A501" s="222"/>
      <c r="C501" s="224"/>
      <c r="D501" s="274"/>
      <c r="E501" s="274"/>
      <c r="F501" s="224"/>
      <c r="G501" s="224"/>
    </row>
    <row r="502" spans="1:7" s="223" customFormat="1">
      <c r="A502" s="222"/>
      <c r="C502" s="224"/>
      <c r="D502" s="274"/>
      <c r="E502" s="274"/>
      <c r="F502" s="224"/>
      <c r="G502" s="224"/>
    </row>
    <row r="503" spans="1:7" s="223" customFormat="1">
      <c r="A503" s="222"/>
      <c r="C503" s="224"/>
      <c r="D503" s="274"/>
      <c r="E503" s="274"/>
      <c r="F503" s="224"/>
      <c r="G503" s="224"/>
    </row>
    <row r="504" spans="1:7" s="223" customFormat="1">
      <c r="A504" s="222"/>
      <c r="C504" s="224"/>
      <c r="D504" s="274"/>
      <c r="E504" s="274"/>
      <c r="F504" s="224"/>
      <c r="G504" s="224"/>
    </row>
    <row r="505" spans="1:7" s="223" customFormat="1">
      <c r="A505" s="222"/>
      <c r="C505" s="224"/>
      <c r="D505" s="274"/>
      <c r="E505" s="274"/>
      <c r="F505" s="224"/>
      <c r="G505" s="224"/>
    </row>
    <row r="506" spans="1:7" s="223" customFormat="1">
      <c r="A506" s="222"/>
      <c r="C506" s="224"/>
      <c r="D506" s="274"/>
      <c r="E506" s="274"/>
      <c r="F506" s="224"/>
      <c r="G506" s="224"/>
    </row>
    <row r="507" spans="1:7" s="223" customFormat="1">
      <c r="A507" s="222"/>
      <c r="C507" s="224"/>
      <c r="D507" s="274"/>
      <c r="E507" s="274"/>
      <c r="F507" s="224"/>
      <c r="G507" s="224"/>
    </row>
    <row r="508" spans="1:7" s="223" customFormat="1">
      <c r="A508" s="222"/>
      <c r="C508" s="224"/>
      <c r="D508" s="274"/>
      <c r="E508" s="274"/>
      <c r="F508" s="224"/>
      <c r="G508" s="224"/>
    </row>
    <row r="509" spans="1:7" s="223" customFormat="1">
      <c r="A509" s="222"/>
      <c r="C509" s="224"/>
      <c r="D509" s="274"/>
      <c r="E509" s="274"/>
      <c r="F509" s="224"/>
      <c r="G509" s="224"/>
    </row>
    <row r="510" spans="1:7" s="223" customFormat="1">
      <c r="A510" s="222"/>
      <c r="C510" s="224"/>
      <c r="D510" s="274"/>
      <c r="E510" s="274"/>
      <c r="F510" s="224"/>
      <c r="G510" s="224"/>
    </row>
    <row r="511" spans="1:7" s="223" customFormat="1">
      <c r="A511" s="222"/>
      <c r="C511" s="224"/>
      <c r="D511" s="274"/>
      <c r="E511" s="274"/>
      <c r="F511" s="224"/>
      <c r="G511" s="224"/>
    </row>
    <row r="512" spans="1:7" s="223" customFormat="1">
      <c r="A512" s="222"/>
      <c r="C512" s="224"/>
      <c r="D512" s="274"/>
      <c r="E512" s="274"/>
      <c r="F512" s="224"/>
      <c r="G512" s="224"/>
    </row>
    <row r="513" spans="1:7" s="223" customFormat="1">
      <c r="A513" s="222"/>
      <c r="C513" s="224"/>
      <c r="D513" s="274"/>
      <c r="E513" s="274"/>
      <c r="F513" s="224"/>
      <c r="G513" s="224"/>
    </row>
    <row r="514" spans="1:7" s="223" customFormat="1">
      <c r="A514" s="222"/>
      <c r="C514" s="224"/>
      <c r="D514" s="274"/>
      <c r="E514" s="274"/>
      <c r="F514" s="224"/>
      <c r="G514" s="224"/>
    </row>
    <row r="515" spans="1:7" s="223" customFormat="1">
      <c r="A515" s="222"/>
      <c r="C515" s="224"/>
      <c r="D515" s="274"/>
      <c r="E515" s="274"/>
      <c r="F515" s="224"/>
      <c r="G515" s="224"/>
    </row>
    <row r="516" spans="1:7" s="223" customFormat="1">
      <c r="A516" s="222"/>
      <c r="C516" s="224"/>
      <c r="D516" s="274"/>
      <c r="E516" s="274"/>
      <c r="F516" s="224"/>
      <c r="G516" s="224"/>
    </row>
    <row r="517" spans="1:7" s="223" customFormat="1">
      <c r="A517" s="222"/>
      <c r="C517" s="224"/>
      <c r="D517" s="274"/>
      <c r="E517" s="274"/>
      <c r="F517" s="224"/>
      <c r="G517" s="224"/>
    </row>
    <row r="518" spans="1:7" s="223" customFormat="1">
      <c r="A518" s="222"/>
      <c r="C518" s="224"/>
      <c r="D518" s="274"/>
      <c r="E518" s="274"/>
      <c r="F518" s="224"/>
      <c r="G518" s="224"/>
    </row>
    <row r="519" spans="1:7" s="223" customFormat="1">
      <c r="A519" s="222"/>
      <c r="C519" s="224"/>
      <c r="D519" s="274"/>
      <c r="E519" s="274"/>
      <c r="F519" s="224"/>
      <c r="G519" s="224"/>
    </row>
    <row r="520" spans="1:7" s="223" customFormat="1">
      <c r="A520" s="222"/>
      <c r="C520" s="224"/>
      <c r="D520" s="274"/>
      <c r="E520" s="274"/>
      <c r="F520" s="224"/>
      <c r="G520" s="224"/>
    </row>
    <row r="521" spans="1:7" s="223" customFormat="1">
      <c r="A521" s="222"/>
      <c r="C521" s="224"/>
      <c r="D521" s="274"/>
      <c r="E521" s="274"/>
      <c r="F521" s="224"/>
      <c r="G521" s="224"/>
    </row>
    <row r="522" spans="1:7" s="223" customFormat="1">
      <c r="A522" s="222"/>
      <c r="C522" s="224"/>
      <c r="D522" s="274"/>
      <c r="E522" s="274"/>
      <c r="F522" s="224"/>
      <c r="G522" s="224"/>
    </row>
    <row r="523" spans="1:7" s="223" customFormat="1">
      <c r="A523" s="222"/>
      <c r="C523" s="224"/>
      <c r="D523" s="274"/>
      <c r="E523" s="274"/>
      <c r="F523" s="224"/>
      <c r="G523" s="224"/>
    </row>
    <row r="524" spans="1:7" s="223" customFormat="1">
      <c r="A524" s="222"/>
      <c r="C524" s="224"/>
      <c r="D524" s="274"/>
      <c r="E524" s="274"/>
      <c r="F524" s="224"/>
      <c r="G524" s="224"/>
    </row>
    <row r="525" spans="1:7" s="223" customFormat="1">
      <c r="A525" s="222"/>
      <c r="C525" s="224"/>
      <c r="D525" s="274"/>
      <c r="E525" s="274"/>
      <c r="F525" s="224"/>
      <c r="G525" s="224"/>
    </row>
    <row r="526" spans="1:7" s="223" customFormat="1">
      <c r="A526" s="222"/>
      <c r="C526" s="224"/>
      <c r="D526" s="274"/>
      <c r="E526" s="274"/>
      <c r="F526" s="224"/>
      <c r="G526" s="224"/>
    </row>
    <row r="527" spans="1:7" s="223" customFormat="1">
      <c r="A527" s="222"/>
      <c r="C527" s="224"/>
      <c r="D527" s="274"/>
      <c r="E527" s="274"/>
      <c r="F527" s="224"/>
      <c r="G527" s="224"/>
    </row>
    <row r="528" spans="1:7" s="223" customFormat="1">
      <c r="A528" s="222"/>
      <c r="C528" s="224"/>
      <c r="D528" s="274"/>
      <c r="E528" s="274"/>
      <c r="F528" s="224"/>
      <c r="G528" s="224"/>
    </row>
    <row r="529" spans="1:7" s="223" customFormat="1">
      <c r="A529" s="222"/>
      <c r="C529" s="224"/>
      <c r="D529" s="274"/>
      <c r="E529" s="274"/>
      <c r="F529" s="224"/>
      <c r="G529" s="224"/>
    </row>
    <row r="530" spans="1:7" s="223" customFormat="1">
      <c r="A530" s="222"/>
      <c r="C530" s="224"/>
      <c r="D530" s="274"/>
      <c r="E530" s="274"/>
      <c r="F530" s="224"/>
      <c r="G530" s="224"/>
    </row>
    <row r="531" spans="1:7" s="223" customFormat="1">
      <c r="A531" s="222"/>
      <c r="C531" s="224"/>
      <c r="D531" s="274"/>
      <c r="E531" s="274"/>
      <c r="F531" s="224"/>
      <c r="G531" s="224"/>
    </row>
    <row r="532" spans="1:7" s="223" customFormat="1">
      <c r="A532" s="222"/>
      <c r="C532" s="224"/>
      <c r="D532" s="274"/>
      <c r="E532" s="274"/>
      <c r="F532" s="224"/>
      <c r="G532" s="224"/>
    </row>
    <row r="533" spans="1:7" s="223" customFormat="1">
      <c r="A533" s="222"/>
      <c r="C533" s="224"/>
      <c r="D533" s="274"/>
      <c r="E533" s="274"/>
      <c r="F533" s="224"/>
      <c r="G533" s="224"/>
    </row>
    <row r="534" spans="1:7" s="223" customFormat="1">
      <c r="A534" s="222"/>
      <c r="C534" s="224"/>
      <c r="D534" s="274"/>
      <c r="E534" s="274"/>
      <c r="F534" s="224"/>
      <c r="G534" s="224"/>
    </row>
    <row r="535" spans="1:7" s="223" customFormat="1">
      <c r="A535" s="222"/>
      <c r="C535" s="224"/>
      <c r="D535" s="274"/>
      <c r="E535" s="274"/>
      <c r="F535" s="224"/>
      <c r="G535" s="224"/>
    </row>
    <row r="536" spans="1:7" s="223" customFormat="1">
      <c r="A536" s="222"/>
      <c r="C536" s="224"/>
      <c r="D536" s="274"/>
      <c r="E536" s="274"/>
      <c r="F536" s="224"/>
      <c r="G536" s="224"/>
    </row>
    <row r="537" spans="1:7" s="223" customFormat="1">
      <c r="A537" s="222"/>
      <c r="C537" s="224"/>
      <c r="D537" s="274"/>
      <c r="E537" s="274"/>
      <c r="F537" s="224"/>
      <c r="G537" s="224"/>
    </row>
    <row r="538" spans="1:7" s="223" customFormat="1">
      <c r="A538" s="222"/>
      <c r="C538" s="224"/>
      <c r="D538" s="274"/>
      <c r="E538" s="274"/>
      <c r="F538" s="224"/>
      <c r="G538" s="224"/>
    </row>
    <row r="539" spans="1:7" s="223" customFormat="1">
      <c r="A539" s="222"/>
      <c r="C539" s="224"/>
      <c r="D539" s="274"/>
      <c r="E539" s="274"/>
      <c r="F539" s="224"/>
      <c r="G539" s="224"/>
    </row>
    <row r="540" spans="1:7" s="223" customFormat="1">
      <c r="A540" s="222"/>
      <c r="C540" s="224"/>
      <c r="D540" s="274"/>
      <c r="E540" s="274"/>
      <c r="F540" s="224"/>
      <c r="G540" s="224"/>
    </row>
    <row r="541" spans="1:7" s="223" customFormat="1">
      <c r="A541" s="222"/>
      <c r="C541" s="224"/>
      <c r="D541" s="274"/>
      <c r="E541" s="274"/>
      <c r="F541" s="224"/>
      <c r="G541" s="224"/>
    </row>
    <row r="542" spans="1:7" s="223" customFormat="1">
      <c r="A542" s="222"/>
      <c r="C542" s="224"/>
      <c r="D542" s="274"/>
      <c r="E542" s="274"/>
      <c r="F542" s="224"/>
      <c r="G542" s="224"/>
    </row>
    <row r="543" spans="1:7" s="223" customFormat="1">
      <c r="A543" s="222"/>
      <c r="C543" s="224"/>
      <c r="D543" s="274"/>
      <c r="E543" s="274"/>
      <c r="F543" s="224"/>
      <c r="G543" s="224"/>
    </row>
    <row r="544" spans="1:7" s="223" customFormat="1">
      <c r="A544" s="222"/>
      <c r="C544" s="224"/>
      <c r="D544" s="274"/>
      <c r="E544" s="274"/>
      <c r="F544" s="224"/>
      <c r="G544" s="224"/>
    </row>
    <row r="545" spans="1:7" s="223" customFormat="1">
      <c r="A545" s="222"/>
      <c r="C545" s="224"/>
      <c r="D545" s="274"/>
      <c r="E545" s="274"/>
      <c r="F545" s="224"/>
      <c r="G545" s="224"/>
    </row>
    <row r="546" spans="1:7" s="223" customFormat="1">
      <c r="A546" s="222"/>
      <c r="C546" s="224"/>
      <c r="D546" s="274"/>
      <c r="E546" s="274"/>
      <c r="F546" s="224"/>
      <c r="G546" s="224"/>
    </row>
    <row r="547" spans="1:7" s="223" customFormat="1">
      <c r="A547" s="222"/>
      <c r="C547" s="224"/>
      <c r="D547" s="274"/>
      <c r="E547" s="274"/>
      <c r="F547" s="224"/>
      <c r="G547" s="224"/>
    </row>
    <row r="548" spans="1:7" s="223" customFormat="1">
      <c r="A548" s="222"/>
      <c r="C548" s="224"/>
      <c r="D548" s="274"/>
      <c r="E548" s="274"/>
      <c r="F548" s="224"/>
      <c r="G548" s="224"/>
    </row>
    <row r="549" spans="1:7" s="223" customFormat="1">
      <c r="A549" s="222"/>
      <c r="C549" s="224"/>
      <c r="D549" s="274"/>
      <c r="E549" s="274"/>
      <c r="F549" s="224"/>
      <c r="G549" s="224"/>
    </row>
    <row r="550" spans="1:7" s="223" customFormat="1">
      <c r="A550" s="222"/>
      <c r="C550" s="224"/>
      <c r="D550" s="274"/>
      <c r="E550" s="274"/>
      <c r="F550" s="224"/>
      <c r="G550" s="224"/>
    </row>
    <row r="551" spans="1:7" s="223" customFormat="1">
      <c r="A551" s="222"/>
      <c r="C551" s="224"/>
      <c r="D551" s="274"/>
      <c r="E551" s="274"/>
      <c r="F551" s="224"/>
      <c r="G551" s="224"/>
    </row>
    <row r="552" spans="1:7" s="223" customFormat="1">
      <c r="A552" s="222"/>
      <c r="C552" s="224"/>
      <c r="D552" s="274"/>
      <c r="E552" s="274"/>
      <c r="F552" s="224"/>
      <c r="G552" s="224"/>
    </row>
    <row r="553" spans="1:7" s="223" customFormat="1">
      <c r="A553" s="222"/>
      <c r="C553" s="224"/>
      <c r="D553" s="274"/>
      <c r="E553" s="274"/>
      <c r="F553" s="224"/>
      <c r="G553" s="224"/>
    </row>
    <row r="554" spans="1:7" s="223" customFormat="1">
      <c r="A554" s="222"/>
      <c r="C554" s="224"/>
      <c r="D554" s="274"/>
      <c r="E554" s="274"/>
      <c r="F554" s="224"/>
      <c r="G554" s="224"/>
    </row>
    <row r="555" spans="1:7" s="223" customFormat="1">
      <c r="A555" s="222"/>
      <c r="C555" s="224"/>
      <c r="D555" s="274"/>
      <c r="E555" s="274"/>
      <c r="F555" s="224"/>
      <c r="G555" s="224"/>
    </row>
    <row r="556" spans="1:7" s="223" customFormat="1">
      <c r="A556" s="222"/>
      <c r="C556" s="224"/>
      <c r="D556" s="274"/>
      <c r="E556" s="274"/>
      <c r="F556" s="224"/>
      <c r="G556" s="224"/>
    </row>
    <row r="557" spans="1:7" s="223" customFormat="1">
      <c r="A557" s="222"/>
      <c r="C557" s="224"/>
      <c r="D557" s="274"/>
      <c r="E557" s="274"/>
      <c r="F557" s="224"/>
      <c r="G557" s="224"/>
    </row>
    <row r="558" spans="1:7" s="223" customFormat="1">
      <c r="A558" s="222"/>
      <c r="C558" s="224"/>
      <c r="D558" s="274"/>
      <c r="E558" s="274"/>
      <c r="F558" s="224"/>
      <c r="G558" s="224"/>
    </row>
    <row r="559" spans="1:7" s="223" customFormat="1">
      <c r="A559" s="222"/>
      <c r="C559" s="224"/>
      <c r="D559" s="274"/>
      <c r="E559" s="274"/>
      <c r="F559" s="224"/>
      <c r="G559" s="224"/>
    </row>
    <row r="560" spans="1:7" s="223" customFormat="1">
      <c r="A560" s="222"/>
      <c r="C560" s="224"/>
      <c r="D560" s="274"/>
      <c r="E560" s="274"/>
      <c r="F560" s="224"/>
      <c r="G560" s="224"/>
    </row>
    <row r="561" spans="1:7" s="223" customFormat="1">
      <c r="A561" s="222"/>
      <c r="C561" s="224"/>
      <c r="D561" s="274"/>
      <c r="E561" s="274"/>
      <c r="F561" s="224"/>
      <c r="G561" s="224"/>
    </row>
    <row r="562" spans="1:7" s="223" customFormat="1">
      <c r="A562" s="222"/>
      <c r="C562" s="224"/>
      <c r="D562" s="274"/>
      <c r="E562" s="274"/>
      <c r="F562" s="224"/>
      <c r="G562" s="224"/>
    </row>
    <row r="563" spans="1:7" s="223" customFormat="1">
      <c r="A563" s="222"/>
      <c r="C563" s="224"/>
      <c r="D563" s="274"/>
      <c r="E563" s="274"/>
      <c r="F563" s="224"/>
      <c r="G563" s="224"/>
    </row>
    <row r="564" spans="1:7" s="223" customFormat="1">
      <c r="A564" s="222"/>
      <c r="C564" s="224"/>
      <c r="D564" s="274"/>
      <c r="E564" s="274"/>
      <c r="F564" s="224"/>
      <c r="G564" s="224"/>
    </row>
    <row r="565" spans="1:7" s="223" customFormat="1">
      <c r="A565" s="222"/>
      <c r="C565" s="224"/>
      <c r="D565" s="274"/>
      <c r="E565" s="274"/>
      <c r="F565" s="224"/>
      <c r="G565" s="224"/>
    </row>
    <row r="566" spans="1:7" s="223" customFormat="1">
      <c r="A566" s="222"/>
      <c r="C566" s="224"/>
      <c r="D566" s="274"/>
      <c r="E566" s="274"/>
      <c r="F566" s="224"/>
      <c r="G566" s="224"/>
    </row>
    <row r="567" spans="1:7" s="223" customFormat="1">
      <c r="A567" s="222"/>
      <c r="C567" s="224"/>
      <c r="D567" s="274"/>
      <c r="E567" s="274"/>
      <c r="F567" s="224"/>
      <c r="G567" s="224"/>
    </row>
    <row r="568" spans="1:7" s="223" customFormat="1">
      <c r="A568" s="222"/>
      <c r="C568" s="224"/>
      <c r="D568" s="274"/>
      <c r="E568" s="274"/>
      <c r="F568" s="224"/>
      <c r="G568" s="224"/>
    </row>
    <row r="569" spans="1:7" s="223" customFormat="1">
      <c r="A569" s="222"/>
      <c r="C569" s="224"/>
      <c r="D569" s="274"/>
      <c r="E569" s="274"/>
      <c r="F569" s="224"/>
      <c r="G569" s="224"/>
    </row>
    <row r="570" spans="1:7" s="223" customFormat="1">
      <c r="A570" s="222"/>
      <c r="C570" s="224"/>
      <c r="D570" s="274"/>
      <c r="E570" s="274"/>
      <c r="F570" s="224"/>
      <c r="G570" s="224"/>
    </row>
    <row r="571" spans="1:7" s="223" customFormat="1">
      <c r="A571" s="222"/>
      <c r="C571" s="224"/>
      <c r="D571" s="274"/>
      <c r="E571" s="274"/>
      <c r="F571" s="224"/>
      <c r="G571" s="224"/>
    </row>
    <row r="572" spans="1:7" s="223" customFormat="1">
      <c r="A572" s="222"/>
      <c r="C572" s="224"/>
      <c r="D572" s="274"/>
      <c r="E572" s="274"/>
      <c r="F572" s="224"/>
      <c r="G572" s="224"/>
    </row>
    <row r="573" spans="1:7" s="223" customFormat="1">
      <c r="A573" s="222"/>
      <c r="C573" s="224"/>
      <c r="D573" s="274"/>
      <c r="E573" s="274"/>
      <c r="F573" s="224"/>
      <c r="G573" s="224"/>
    </row>
    <row r="574" spans="1:7" s="223" customFormat="1">
      <c r="A574" s="222"/>
      <c r="C574" s="224"/>
      <c r="D574" s="274"/>
      <c r="E574" s="274"/>
      <c r="F574" s="224"/>
      <c r="G574" s="224"/>
    </row>
    <row r="575" spans="1:7" s="223" customFormat="1">
      <c r="A575" s="222"/>
      <c r="C575" s="224"/>
      <c r="D575" s="274"/>
      <c r="E575" s="274"/>
      <c r="F575" s="224"/>
      <c r="G575" s="224"/>
    </row>
    <row r="576" spans="1:7" s="223" customFormat="1">
      <c r="A576" s="222"/>
      <c r="C576" s="224"/>
      <c r="D576" s="274"/>
      <c r="E576" s="274"/>
      <c r="F576" s="224"/>
      <c r="G576" s="224"/>
    </row>
    <row r="577" spans="1:7" s="223" customFormat="1">
      <c r="A577" s="222"/>
      <c r="C577" s="224"/>
      <c r="D577" s="274"/>
      <c r="E577" s="274"/>
      <c r="F577" s="224"/>
      <c r="G577" s="224"/>
    </row>
    <row r="578" spans="1:7" s="223" customFormat="1">
      <c r="A578" s="222"/>
      <c r="C578" s="224"/>
      <c r="D578" s="274"/>
      <c r="E578" s="274"/>
      <c r="F578" s="224"/>
      <c r="G578" s="224"/>
    </row>
    <row r="579" spans="1:7" s="223" customFormat="1">
      <c r="A579" s="222"/>
      <c r="C579" s="224"/>
      <c r="D579" s="274"/>
      <c r="E579" s="274"/>
      <c r="F579" s="224"/>
      <c r="G579" s="224"/>
    </row>
    <row r="580" spans="1:7" s="223" customFormat="1">
      <c r="A580" s="222"/>
      <c r="C580" s="224"/>
      <c r="D580" s="274"/>
      <c r="E580" s="274"/>
      <c r="F580" s="224"/>
      <c r="G580" s="224"/>
    </row>
    <row r="581" spans="1:7" s="223" customFormat="1">
      <c r="A581" s="222"/>
      <c r="C581" s="224"/>
      <c r="D581" s="274"/>
      <c r="E581" s="274"/>
      <c r="F581" s="224"/>
      <c r="G581" s="224"/>
    </row>
    <row r="582" spans="1:7" s="223" customFormat="1">
      <c r="A582" s="222"/>
      <c r="C582" s="224"/>
      <c r="D582" s="274"/>
      <c r="E582" s="274"/>
      <c r="F582" s="224"/>
      <c r="G582" s="224"/>
    </row>
    <row r="583" spans="1:7" s="223" customFormat="1">
      <c r="A583" s="222"/>
      <c r="C583" s="224"/>
      <c r="D583" s="274"/>
      <c r="E583" s="274"/>
      <c r="F583" s="224"/>
      <c r="G583" s="224"/>
    </row>
    <row r="584" spans="1:7" s="223" customFormat="1">
      <c r="A584" s="222"/>
      <c r="C584" s="224"/>
      <c r="D584" s="274"/>
      <c r="E584" s="274"/>
      <c r="F584" s="224"/>
      <c r="G584" s="224"/>
    </row>
    <row r="585" spans="1:7" s="223" customFormat="1">
      <c r="A585" s="222"/>
      <c r="C585" s="224"/>
      <c r="D585" s="274"/>
      <c r="E585" s="274"/>
      <c r="F585" s="224"/>
      <c r="G585" s="224"/>
    </row>
    <row r="586" spans="1:7" s="223" customFormat="1">
      <c r="A586" s="222"/>
      <c r="C586" s="224"/>
      <c r="D586" s="274"/>
      <c r="E586" s="274"/>
      <c r="F586" s="224"/>
      <c r="G586" s="224"/>
    </row>
    <row r="587" spans="1:7" s="223" customFormat="1">
      <c r="A587" s="222"/>
      <c r="C587" s="224"/>
      <c r="D587" s="274"/>
      <c r="E587" s="274"/>
      <c r="F587" s="224"/>
      <c r="G587" s="224"/>
    </row>
    <row r="588" spans="1:7" s="223" customFormat="1">
      <c r="A588" s="222"/>
      <c r="C588" s="224"/>
      <c r="D588" s="274"/>
      <c r="E588" s="274"/>
      <c r="F588" s="224"/>
      <c r="G588" s="224"/>
    </row>
    <row r="589" spans="1:7" s="223" customFormat="1">
      <c r="A589" s="222"/>
      <c r="C589" s="224"/>
      <c r="D589" s="274"/>
      <c r="E589" s="274"/>
      <c r="F589" s="224"/>
      <c r="G589" s="224"/>
    </row>
    <row r="590" spans="1:7" s="223" customFormat="1">
      <c r="A590" s="222"/>
      <c r="C590" s="224"/>
      <c r="D590" s="274"/>
      <c r="E590" s="274"/>
      <c r="F590" s="224"/>
      <c r="G590" s="224"/>
    </row>
    <row r="591" spans="1:7" s="223" customFormat="1">
      <c r="A591" s="222"/>
      <c r="C591" s="224"/>
      <c r="D591" s="274"/>
      <c r="E591" s="274"/>
      <c r="F591" s="224"/>
      <c r="G591" s="224"/>
    </row>
    <row r="592" spans="1:7" s="223" customFormat="1">
      <c r="A592" s="222"/>
      <c r="C592" s="224"/>
      <c r="D592" s="274"/>
      <c r="E592" s="274"/>
      <c r="F592" s="224"/>
      <c r="G592" s="224"/>
    </row>
    <row r="593" spans="1:7" s="223" customFormat="1">
      <c r="A593" s="222"/>
      <c r="C593" s="224"/>
      <c r="D593" s="274"/>
      <c r="E593" s="274"/>
      <c r="F593" s="224"/>
      <c r="G593" s="224"/>
    </row>
    <row r="594" spans="1:7" s="223" customFormat="1">
      <c r="A594" s="222"/>
      <c r="C594" s="224"/>
      <c r="D594" s="274"/>
      <c r="E594" s="274"/>
      <c r="F594" s="224"/>
      <c r="G594" s="224"/>
    </row>
    <row r="595" spans="1:7" s="223" customFormat="1">
      <c r="A595" s="222"/>
      <c r="C595" s="224"/>
      <c r="D595" s="274"/>
      <c r="E595" s="274"/>
      <c r="F595" s="224"/>
      <c r="G595" s="224"/>
    </row>
    <row r="596" spans="1:7" s="223" customFormat="1">
      <c r="A596" s="222"/>
      <c r="C596" s="224"/>
      <c r="D596" s="274"/>
      <c r="E596" s="274"/>
      <c r="F596" s="224"/>
      <c r="G596" s="224"/>
    </row>
    <row r="597" spans="1:7" s="223" customFormat="1">
      <c r="A597" s="222"/>
      <c r="C597" s="224"/>
      <c r="D597" s="274"/>
      <c r="E597" s="274"/>
      <c r="F597" s="224"/>
      <c r="G597" s="224"/>
    </row>
    <row r="598" spans="1:7" s="223" customFormat="1">
      <c r="A598" s="222"/>
      <c r="C598" s="224"/>
      <c r="D598" s="274"/>
      <c r="E598" s="274"/>
      <c r="F598" s="224"/>
      <c r="G598" s="224"/>
    </row>
    <row r="599" spans="1:7" s="223" customFormat="1">
      <c r="A599" s="222"/>
      <c r="C599" s="224"/>
      <c r="D599" s="274"/>
      <c r="E599" s="274"/>
      <c r="F599" s="224"/>
      <c r="G599" s="224"/>
    </row>
    <row r="600" spans="1:7" s="223" customFormat="1">
      <c r="A600" s="222"/>
      <c r="C600" s="224"/>
      <c r="D600" s="274"/>
      <c r="E600" s="274"/>
      <c r="F600" s="224"/>
      <c r="G600" s="224"/>
    </row>
    <row r="601" spans="1:7" s="223" customFormat="1">
      <c r="A601" s="222"/>
      <c r="C601" s="224"/>
      <c r="D601" s="274"/>
      <c r="E601" s="274"/>
      <c r="F601" s="224"/>
      <c r="G601" s="224"/>
    </row>
    <row r="602" spans="1:7" s="223" customFormat="1">
      <c r="A602" s="222"/>
      <c r="C602" s="224"/>
      <c r="D602" s="274"/>
      <c r="E602" s="274"/>
      <c r="F602" s="224"/>
      <c r="G602" s="224"/>
    </row>
    <row r="603" spans="1:7" s="223" customFormat="1">
      <c r="A603" s="222"/>
      <c r="C603" s="224"/>
      <c r="D603" s="274"/>
      <c r="E603" s="274"/>
      <c r="F603" s="224"/>
      <c r="G603" s="224"/>
    </row>
    <row r="604" spans="1:7" s="223" customFormat="1">
      <c r="A604" s="222"/>
      <c r="C604" s="224"/>
      <c r="D604" s="274"/>
      <c r="E604" s="274"/>
      <c r="F604" s="224"/>
      <c r="G604" s="224"/>
    </row>
    <row r="605" spans="1:7" s="223" customFormat="1">
      <c r="A605" s="222"/>
      <c r="C605" s="224"/>
      <c r="D605" s="274"/>
      <c r="E605" s="274"/>
      <c r="F605" s="224"/>
      <c r="G605" s="224"/>
    </row>
    <row r="606" spans="1:7" s="223" customFormat="1">
      <c r="A606" s="222"/>
      <c r="C606" s="224"/>
      <c r="D606" s="274"/>
      <c r="E606" s="274"/>
      <c r="F606" s="224"/>
      <c r="G606" s="224"/>
    </row>
    <row r="607" spans="1:7" s="223" customFormat="1">
      <c r="A607" s="222"/>
      <c r="C607" s="224"/>
      <c r="D607" s="274"/>
      <c r="E607" s="274"/>
      <c r="F607" s="224"/>
      <c r="G607" s="224"/>
    </row>
    <row r="608" spans="1:7" s="223" customFormat="1">
      <c r="A608" s="222"/>
      <c r="C608" s="224"/>
      <c r="D608" s="274"/>
      <c r="E608" s="274"/>
      <c r="F608" s="224"/>
      <c r="G608" s="224"/>
    </row>
    <row r="609" spans="1:7" s="223" customFormat="1">
      <c r="A609" s="222"/>
      <c r="C609" s="224"/>
      <c r="D609" s="274"/>
      <c r="E609" s="274"/>
      <c r="F609" s="224"/>
      <c r="G609" s="224"/>
    </row>
    <row r="610" spans="1:7" s="223" customFormat="1">
      <c r="A610" s="222"/>
      <c r="C610" s="224"/>
      <c r="D610" s="274"/>
      <c r="E610" s="274"/>
      <c r="F610" s="224"/>
      <c r="G610" s="224"/>
    </row>
    <row r="611" spans="1:7" s="223" customFormat="1">
      <c r="A611" s="222"/>
      <c r="C611" s="224"/>
      <c r="D611" s="274"/>
      <c r="E611" s="274"/>
      <c r="F611" s="224"/>
      <c r="G611" s="224"/>
    </row>
    <row r="612" spans="1:7" s="223" customFormat="1">
      <c r="A612" s="222"/>
      <c r="C612" s="224"/>
      <c r="D612" s="274"/>
      <c r="E612" s="274"/>
      <c r="F612" s="224"/>
      <c r="G612" s="224"/>
    </row>
    <row r="613" spans="1:7" s="223" customFormat="1">
      <c r="A613" s="222"/>
      <c r="C613" s="224"/>
      <c r="D613" s="274"/>
      <c r="E613" s="274"/>
      <c r="F613" s="224"/>
      <c r="G613" s="224"/>
    </row>
    <row r="614" spans="1:7" s="223" customFormat="1">
      <c r="A614" s="222"/>
      <c r="C614" s="224"/>
      <c r="D614" s="274"/>
      <c r="E614" s="274"/>
      <c r="F614" s="224"/>
      <c r="G614" s="224"/>
    </row>
    <row r="615" spans="1:7" s="223" customFormat="1">
      <c r="A615" s="222"/>
      <c r="C615" s="224"/>
      <c r="D615" s="274"/>
      <c r="E615" s="274"/>
      <c r="F615" s="224"/>
      <c r="G615" s="224"/>
    </row>
    <row r="616" spans="1:7" s="223" customFormat="1">
      <c r="A616" s="222"/>
      <c r="C616" s="224"/>
      <c r="D616" s="274"/>
      <c r="E616" s="274"/>
      <c r="F616" s="224"/>
      <c r="G616" s="224"/>
    </row>
    <row r="617" spans="1:7" s="223" customFormat="1">
      <c r="A617" s="222"/>
      <c r="C617" s="224"/>
      <c r="D617" s="274"/>
      <c r="E617" s="274"/>
      <c r="F617" s="224"/>
      <c r="G617" s="224"/>
    </row>
    <row r="618" spans="1:7" s="223" customFormat="1">
      <c r="A618" s="222"/>
      <c r="C618" s="224"/>
      <c r="D618" s="274"/>
      <c r="E618" s="274"/>
      <c r="F618" s="224"/>
      <c r="G618" s="224"/>
    </row>
    <row r="619" spans="1:7" s="223" customFormat="1">
      <c r="A619" s="222"/>
      <c r="C619" s="224"/>
      <c r="D619" s="274"/>
      <c r="E619" s="274"/>
      <c r="F619" s="224"/>
      <c r="G619" s="224"/>
    </row>
    <row r="620" spans="1:7" s="223" customFormat="1">
      <c r="A620" s="222"/>
      <c r="C620" s="224"/>
      <c r="D620" s="274"/>
      <c r="E620" s="274"/>
      <c r="F620" s="224"/>
      <c r="G620" s="224"/>
    </row>
    <row r="621" spans="1:7" s="223" customFormat="1">
      <c r="A621" s="222"/>
      <c r="C621" s="224"/>
      <c r="D621" s="274"/>
      <c r="E621" s="274"/>
      <c r="F621" s="224"/>
      <c r="G621" s="224"/>
    </row>
    <row r="622" spans="1:7" s="223" customFormat="1">
      <c r="A622" s="222"/>
      <c r="C622" s="224"/>
      <c r="D622" s="274"/>
      <c r="E622" s="274"/>
      <c r="F622" s="224"/>
      <c r="G622" s="224"/>
    </row>
    <row r="623" spans="1:7" s="223" customFormat="1">
      <c r="A623" s="222"/>
      <c r="C623" s="224"/>
      <c r="D623" s="274"/>
      <c r="E623" s="274"/>
      <c r="F623" s="224"/>
      <c r="G623" s="224"/>
    </row>
    <row r="624" spans="1:7" s="223" customFormat="1">
      <c r="A624" s="222"/>
      <c r="C624" s="224"/>
      <c r="D624" s="274"/>
      <c r="E624" s="274"/>
      <c r="F624" s="224"/>
      <c r="G624" s="224"/>
    </row>
    <row r="625" spans="1:7" s="223" customFormat="1">
      <c r="A625" s="222"/>
      <c r="C625" s="224"/>
      <c r="D625" s="274"/>
      <c r="E625" s="274"/>
      <c r="F625" s="224"/>
      <c r="G625" s="224"/>
    </row>
    <row r="626" spans="1:7" s="223" customFormat="1">
      <c r="A626" s="222"/>
      <c r="C626" s="224"/>
      <c r="D626" s="274"/>
      <c r="E626" s="274"/>
      <c r="F626" s="224"/>
      <c r="G626" s="224"/>
    </row>
    <row r="627" spans="1:7" s="223" customFormat="1">
      <c r="A627" s="222"/>
      <c r="C627" s="224"/>
      <c r="D627" s="274"/>
      <c r="E627" s="274"/>
      <c r="F627" s="224"/>
      <c r="G627" s="224"/>
    </row>
    <row r="628" spans="1:7" s="223" customFormat="1">
      <c r="A628" s="222"/>
      <c r="C628" s="224"/>
      <c r="D628" s="274"/>
      <c r="E628" s="274"/>
      <c r="F628" s="224"/>
      <c r="G628" s="224"/>
    </row>
    <row r="629" spans="1:7" s="223" customFormat="1">
      <c r="A629" s="222"/>
      <c r="C629" s="224"/>
      <c r="D629" s="274"/>
      <c r="E629" s="274"/>
      <c r="F629" s="224"/>
      <c r="G629" s="224"/>
    </row>
    <row r="630" spans="1:7" s="223" customFormat="1">
      <c r="A630" s="222"/>
      <c r="C630" s="224"/>
      <c r="D630" s="274"/>
      <c r="E630" s="274"/>
      <c r="F630" s="224"/>
      <c r="G630" s="224"/>
    </row>
    <row r="631" spans="1:7" s="223" customFormat="1">
      <c r="A631" s="222"/>
      <c r="C631" s="224"/>
      <c r="D631" s="274"/>
      <c r="E631" s="274"/>
      <c r="F631" s="224"/>
      <c r="G631" s="224"/>
    </row>
    <row r="632" spans="1:7" s="223" customFormat="1">
      <c r="A632" s="222"/>
      <c r="C632" s="224"/>
      <c r="D632" s="274"/>
      <c r="E632" s="274"/>
      <c r="F632" s="224"/>
      <c r="G632" s="224"/>
    </row>
    <row r="633" spans="1:7" s="223" customFormat="1">
      <c r="A633" s="222"/>
      <c r="C633" s="224"/>
      <c r="D633" s="274"/>
      <c r="E633" s="274"/>
      <c r="F633" s="224"/>
      <c r="G633" s="224"/>
    </row>
    <row r="634" spans="1:7" s="223" customFormat="1">
      <c r="A634" s="222"/>
      <c r="C634" s="224"/>
      <c r="D634" s="274"/>
      <c r="E634" s="274"/>
      <c r="F634" s="224"/>
      <c r="G634" s="224"/>
    </row>
    <row r="635" spans="1:7" s="223" customFormat="1">
      <c r="A635" s="222"/>
      <c r="C635" s="224"/>
      <c r="D635" s="274"/>
      <c r="E635" s="274"/>
      <c r="F635" s="224"/>
      <c r="G635" s="224"/>
    </row>
    <row r="636" spans="1:7" s="223" customFormat="1">
      <c r="A636" s="222"/>
      <c r="C636" s="224"/>
      <c r="D636" s="274"/>
      <c r="E636" s="274"/>
      <c r="F636" s="224"/>
      <c r="G636" s="224"/>
    </row>
    <row r="637" spans="1:7" s="223" customFormat="1">
      <c r="A637" s="222"/>
      <c r="C637" s="224"/>
      <c r="D637" s="274"/>
      <c r="E637" s="274"/>
      <c r="F637" s="224"/>
      <c r="G637" s="224"/>
    </row>
    <row r="638" spans="1:7" s="223" customFormat="1">
      <c r="A638" s="222"/>
      <c r="C638" s="224"/>
      <c r="D638" s="274"/>
      <c r="E638" s="274"/>
      <c r="F638" s="224"/>
      <c r="G638" s="224"/>
    </row>
    <row r="639" spans="1:7" s="223" customFormat="1">
      <c r="A639" s="222"/>
      <c r="C639" s="224"/>
      <c r="D639" s="274"/>
      <c r="E639" s="274"/>
      <c r="F639" s="224"/>
      <c r="G639" s="224"/>
    </row>
    <row r="640" spans="1:7" s="223" customFormat="1">
      <c r="A640" s="222"/>
      <c r="C640" s="224"/>
      <c r="D640" s="274"/>
      <c r="E640" s="274"/>
      <c r="F640" s="224"/>
      <c r="G640" s="224"/>
    </row>
    <row r="641" spans="1:7" s="223" customFormat="1">
      <c r="A641" s="222"/>
      <c r="C641" s="224"/>
      <c r="D641" s="274"/>
      <c r="E641" s="274"/>
      <c r="F641" s="224"/>
      <c r="G641" s="224"/>
    </row>
    <row r="642" spans="1:7" s="223" customFormat="1">
      <c r="A642" s="222"/>
      <c r="C642" s="224"/>
      <c r="D642" s="274"/>
      <c r="E642" s="274"/>
      <c r="F642" s="224"/>
      <c r="G642" s="224"/>
    </row>
    <row r="643" spans="1:7" s="223" customFormat="1">
      <c r="A643" s="222"/>
      <c r="C643" s="224"/>
      <c r="D643" s="274"/>
      <c r="E643" s="274"/>
      <c r="F643" s="224"/>
      <c r="G643" s="224"/>
    </row>
    <row r="644" spans="1:7" s="223" customFormat="1">
      <c r="A644" s="222"/>
      <c r="C644" s="224"/>
      <c r="D644" s="274"/>
      <c r="E644" s="274"/>
      <c r="F644" s="224"/>
      <c r="G644" s="224"/>
    </row>
    <row r="645" spans="1:7" s="223" customFormat="1">
      <c r="A645" s="222"/>
      <c r="C645" s="224"/>
      <c r="D645" s="274"/>
      <c r="E645" s="274"/>
      <c r="F645" s="224"/>
      <c r="G645" s="224"/>
    </row>
    <row r="646" spans="1:7" s="223" customFormat="1">
      <c r="A646" s="222"/>
      <c r="C646" s="224"/>
      <c r="D646" s="274"/>
      <c r="E646" s="274"/>
      <c r="F646" s="224"/>
      <c r="G646" s="224"/>
    </row>
    <row r="647" spans="1:7" s="223" customFormat="1">
      <c r="A647" s="222"/>
      <c r="C647" s="224"/>
      <c r="D647" s="274"/>
      <c r="E647" s="274"/>
      <c r="F647" s="224"/>
      <c r="G647" s="224"/>
    </row>
    <row r="648" spans="1:7" s="223" customFormat="1">
      <c r="A648" s="222"/>
      <c r="C648" s="224"/>
      <c r="D648" s="274"/>
      <c r="E648" s="274"/>
      <c r="F648" s="224"/>
      <c r="G648" s="224"/>
    </row>
    <row r="649" spans="1:7" s="223" customFormat="1">
      <c r="A649" s="222"/>
      <c r="C649" s="224"/>
      <c r="D649" s="274"/>
      <c r="E649" s="274"/>
      <c r="F649" s="224"/>
      <c r="G649" s="224"/>
    </row>
    <row r="650" spans="1:7" s="223" customFormat="1">
      <c r="A650" s="222"/>
      <c r="C650" s="224"/>
      <c r="D650" s="274"/>
      <c r="E650" s="274"/>
      <c r="F650" s="224"/>
      <c r="G650" s="224"/>
    </row>
    <row r="651" spans="1:7">
      <c r="A651" s="222"/>
      <c r="B651" s="223"/>
    </row>
  </sheetData>
  <mergeCells count="125">
    <mergeCell ref="D152:E152"/>
    <mergeCell ref="C87:G87"/>
    <mergeCell ref="A148:F148"/>
    <mergeCell ref="A151:F151"/>
    <mergeCell ref="D150:E150"/>
    <mergeCell ref="C121:G121"/>
    <mergeCell ref="C125:G125"/>
    <mergeCell ref="C127:G127"/>
    <mergeCell ref="C131:G131"/>
    <mergeCell ref="C135:G135"/>
    <mergeCell ref="C137:G137"/>
    <mergeCell ref="C139:G139"/>
    <mergeCell ref="C134:G134"/>
    <mergeCell ref="C136:G136"/>
    <mergeCell ref="C138:G138"/>
    <mergeCell ref="C76:G77"/>
    <mergeCell ref="C132:G133"/>
    <mergeCell ref="C102:G102"/>
    <mergeCell ref="C95:G96"/>
    <mergeCell ref="C99:G100"/>
    <mergeCell ref="C122:G123"/>
    <mergeCell ref="C120:G120"/>
    <mergeCell ref="A5:F5"/>
    <mergeCell ref="C52:G53"/>
    <mergeCell ref="C116:G116"/>
    <mergeCell ref="C117:G117"/>
    <mergeCell ref="C48:G48"/>
    <mergeCell ref="C49:G49"/>
    <mergeCell ref="C50:G50"/>
    <mergeCell ref="C89:G90"/>
    <mergeCell ref="C88:G88"/>
    <mergeCell ref="C97:G97"/>
    <mergeCell ref="C146:G147"/>
    <mergeCell ref="C140:G140"/>
    <mergeCell ref="C81:G82"/>
    <mergeCell ref="C83:G83"/>
    <mergeCell ref="C86:G86"/>
    <mergeCell ref="C91:G91"/>
    <mergeCell ref="C98:G98"/>
    <mergeCell ref="C101:G101"/>
    <mergeCell ref="C84:G84"/>
    <mergeCell ref="C85:G85"/>
    <mergeCell ref="C124:G124"/>
    <mergeCell ref="C126:G126"/>
    <mergeCell ref="C128:G128"/>
    <mergeCell ref="C141:G141"/>
    <mergeCell ref="C142:G143"/>
    <mergeCell ref="C144:G145"/>
    <mergeCell ref="C92:G92"/>
    <mergeCell ref="C93:G93"/>
    <mergeCell ref="C94:G94"/>
    <mergeCell ref="C119:G119"/>
    <mergeCell ref="C118:G118"/>
    <mergeCell ref="C130:G130"/>
    <mergeCell ref="C115:F115"/>
    <mergeCell ref="C129:G129"/>
    <mergeCell ref="C80:G80"/>
    <mergeCell ref="C67:G67"/>
    <mergeCell ref="C68:G68"/>
    <mergeCell ref="C69:G69"/>
    <mergeCell ref="C72:G72"/>
    <mergeCell ref="C60:G60"/>
    <mergeCell ref="A113:F113"/>
    <mergeCell ref="C24:G24"/>
    <mergeCell ref="C25:G25"/>
    <mergeCell ref="C26:G26"/>
    <mergeCell ref="C27:G27"/>
    <mergeCell ref="C41:F42"/>
    <mergeCell ref="C38:G39"/>
    <mergeCell ref="C46:G46"/>
    <mergeCell ref="C47:G47"/>
    <mergeCell ref="A43:F43"/>
    <mergeCell ref="C110:G110"/>
    <mergeCell ref="C111:G111"/>
    <mergeCell ref="C112:G112"/>
    <mergeCell ref="C109:G109"/>
    <mergeCell ref="C105:G105"/>
    <mergeCell ref="C106:G106"/>
    <mergeCell ref="C108:G108"/>
    <mergeCell ref="C107:G107"/>
    <mergeCell ref="C103:G104"/>
    <mergeCell ref="C7:G7"/>
    <mergeCell ref="C12:G12"/>
    <mergeCell ref="C13:G13"/>
    <mergeCell ref="C14:G14"/>
    <mergeCell ref="C8:G8"/>
    <mergeCell ref="C10:G10"/>
    <mergeCell ref="C11:G11"/>
    <mergeCell ref="C19:G19"/>
    <mergeCell ref="C15:G15"/>
    <mergeCell ref="C16:G16"/>
    <mergeCell ref="C17:G17"/>
    <mergeCell ref="C18:G18"/>
    <mergeCell ref="C35:G35"/>
    <mergeCell ref="C32:G33"/>
    <mergeCell ref="C36:G37"/>
    <mergeCell ref="C51:G51"/>
    <mergeCell ref="C54:G54"/>
    <mergeCell ref="C55:G55"/>
    <mergeCell ref="C9:G9"/>
    <mergeCell ref="C28:G28"/>
    <mergeCell ref="C29:G29"/>
    <mergeCell ref="C30:G30"/>
    <mergeCell ref="C31:G31"/>
    <mergeCell ref="C34:G34"/>
    <mergeCell ref="C21:G21"/>
    <mergeCell ref="C22:G22"/>
    <mergeCell ref="C23:G23"/>
    <mergeCell ref="C20:G20"/>
    <mergeCell ref="C45:F45"/>
    <mergeCell ref="C74:G74"/>
    <mergeCell ref="C56:G56"/>
    <mergeCell ref="A78:G78"/>
    <mergeCell ref="C73:G73"/>
    <mergeCell ref="C62:G62"/>
    <mergeCell ref="C63:G63"/>
    <mergeCell ref="C75:G75"/>
    <mergeCell ref="C70:G71"/>
    <mergeCell ref="C64:G64"/>
    <mergeCell ref="C65:G65"/>
    <mergeCell ref="C66:G66"/>
    <mergeCell ref="C61:G61"/>
    <mergeCell ref="C57:G57"/>
    <mergeCell ref="C58:G58"/>
    <mergeCell ref="C59:G59"/>
  </mergeCells>
  <phoneticPr fontId="6" type="noConversion"/>
  <pageMargins left="0.75" right="0.75" top="1" bottom="1" header="0.5" footer="0.5"/>
  <pageSetup scale="42" orientation="portrait" r:id="rId1"/>
  <headerFooter alignWithMargins="0"/>
  <colBreaks count="1" manualBreakCount="1">
    <brk id="8" max="15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Summary</vt:lpstr>
      <vt:lpstr>Lex WTPs 2007-2010</vt:lpstr>
      <vt:lpstr>2011 Actual Costs</vt:lpstr>
      <vt:lpstr>2012 Actual Costs</vt:lpstr>
      <vt:lpstr>ND WWTP 2012-2016</vt:lpstr>
      <vt:lpstr>RWV 2012-2016</vt:lpstr>
      <vt:lpstr>Supply Chain Assumptions</vt:lpstr>
      <vt:lpstr>Price Changes</vt:lpstr>
      <vt:lpstr>Chemical Assumptions</vt:lpstr>
      <vt:lpstr>SD 3 pass</vt:lpstr>
      <vt:lpstr>2014 SD Allocation</vt:lpstr>
      <vt:lpstr>Pumpage 2013</vt:lpstr>
      <vt:lpstr>Pumpage 2014</vt:lpstr>
      <vt:lpstr>Chem F13</vt:lpstr>
      <vt:lpstr>Chem F14</vt:lpstr>
      <vt:lpstr>\H</vt:lpstr>
      <vt:lpstr>\I</vt:lpstr>
      <vt:lpstr>\L</vt:lpstr>
      <vt:lpstr>\P</vt:lpstr>
      <vt:lpstr>\Q</vt:lpstr>
      <vt:lpstr>\R</vt:lpstr>
      <vt:lpstr>\S</vt:lpstr>
      <vt:lpstr>\T</vt:lpstr>
      <vt:lpstr>\X</vt:lpstr>
      <vt:lpstr>FORMS1</vt:lpstr>
      <vt:lpstr>FORMS2</vt:lpstr>
      <vt:lpstr>FORMS3</vt:lpstr>
      <vt:lpstr>'2011 Actual Costs'!Print_Area</vt:lpstr>
      <vt:lpstr>'2012 Actual Costs'!Print_Area</vt:lpstr>
      <vt:lpstr>'2014 SD Allocation'!Print_Area</vt:lpstr>
      <vt:lpstr>'Chem F13'!Print_Area</vt:lpstr>
      <vt:lpstr>'Chem F14'!Print_Area</vt:lpstr>
      <vt:lpstr>'Chemical Assumptions'!Print_Area</vt:lpstr>
      <vt:lpstr>'Lex WTPs 2007-2010'!Print_Area</vt:lpstr>
      <vt:lpstr>'Price Changes'!Print_Area</vt:lpstr>
      <vt:lpstr>QUARTER.1</vt:lpstr>
      <vt:lpstr>QUARTER.2</vt:lpstr>
      <vt:lpstr>QUARTER.3</vt:lpstr>
      <vt:lpstr>QUARTER.4</vt:lpstr>
      <vt:lpstr>WASTE</vt:lpstr>
    </vt:vector>
  </TitlesOfParts>
  <Company>AW</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Sheila Miller</dc:creator>
  <cp:lastModifiedBy>schneise</cp:lastModifiedBy>
  <cp:lastPrinted>2013-02-13T20:12:03Z</cp:lastPrinted>
  <dcterms:created xsi:type="dcterms:W3CDTF">2009-09-21T15:49:14Z</dcterms:created>
  <dcterms:modified xsi:type="dcterms:W3CDTF">2013-02-13T20:12:04Z</dcterms:modified>
</cp:coreProperties>
</file>